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06B33698-840F-9D48-BA3B-8AC8D5C36DF2}"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<sst xmlns="http://schemas.openxmlformats.org/spreadsheetml/2006/main" count="59852" uniqueCount="19345">
  <si>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</si>
  <si>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</si>
  <si>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</si>
  <si>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</si>
  <si>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</si>
  <si>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</si>
  <si>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</si>
  <si>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</si>
  <si>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</si>
  <si>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</si>
  <si>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</si>
  <si>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</si>
  <si>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</si>
  <si>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</si>
  <si>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</si>
  <si>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</si>
  <si>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</si>
  <si>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</si>
  <si>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</si>
  <si>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</si>
  <si>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</si>
  <si>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</si>
  <si>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</si>
  <si>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</si>
  <si>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</si>
  <si>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</si>
  <si>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</si>
  <si>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</si>
  <si>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</si>
  <si>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</si>
  <si>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</si>
  <si>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</si>
  <si>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</si>
  <si>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</si>
  <si>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</si>
  <si>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</si>
  <si>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</si>
  <si>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</si>
  <si>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</si>
  <si>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</si>
  <si>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</si>
  <si>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</si>
  <si>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</si>
  <si>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</si>
  <si>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</si>
  <si>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</si>
  <si>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</si>
  <si>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</si>
  <si>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</si>
  <si>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</si>
  <si>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</si>
  <si>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</si>
  <si>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</si>
  <si>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</si>
  <si>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</si>
  <si>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</si>
  <si>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</si>
  <si>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</si>
  <si>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</si>
  <si>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</si>
  <si>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</si>
  <si>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</si>
  <si>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</si>
  <si>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</si>
  <si>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</si>
  <si>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</si>
  <si>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</si>
  <si>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</si>
  <si>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</si>
  <si>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</si>
  <si>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</si>
  <si>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</si>
  <si>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</si>
  <si>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Simpson, C; Hosking, JS; Mitchell, D; Betts, RA; Shuckburgh, E</t>
  </si>
  <si>
    <t/>
  </si>
  <si>
    <t>Simpson, Charles; Hosking, J. Scott; Mitchell, Dann; Betts, Richard A.; Shuckburgh, Emily</t>
  </si>
  <si>
    <t>Regional disparities and seasonal differences in climate risk to rice labour</t>
  </si>
  <si>
    <t>ENVIRONMENTAL RESEARCH LETTERS</t>
  </si>
  <si>
    <t>English</t>
  </si>
  <si>
    <t>Article</t>
  </si>
  <si>
    <t>seasonal; climate change; agriculture; heat stress</t>
  </si>
  <si>
    <t>HEAT EXPOSURE; STRESS; HARVESTERS; IMPACTS</t>
  </si>
  <si>
    <t>The 880 million agricultural workers of the world are especially vulnerable to increasing heat stress due to climate change, affecting the health of individuals and reducing labour productivity. In this study, we focus on rice harvests across Asia and estimate the future impact on labour productivity by considering changes in climate at the time of the annual harvest. During these specific times of the year, heat stress is often high compared to the rest of the year. Examining climate simulations of the Coupled Model Intercomparison Project 6 (CMIP6), we identified that labour productivity metrics for the rice harvest, based on local wet-bulb globe temperature, are strongly correlated with global mean near-surface air temperature in the long term (p MUCH LESS-THAN 0.01, R (2) &gt; 0.98 in all models). Limiting global warming to 1.5 degrees C rather than 2.0 degrees C prevents a clear reduction in labour capacity of 1% across all Asia and 2% across Southeast Asia, affecting the livelihoods of around 100 million people. Due to differences in mechanization between and within countries, we find that rice labour is especially vulnerable in Indonesia, the Philippines, Bangladesh, and the Indian states of West Bengal and Kerala. Our results highlight the regional disparities and importance in considering seasonal differences in the estimation of the effect of climate change on labour productivity and occupational heat-stress.</t>
  </si>
  <si>
    <t>[Simpson, Charles; Hosking, J. Scott] British Antarctic Survey, Cambridge CB3 OET, England; [Simpson, Charles] UCL, Inst Environm Design &amp; Engn, Cent House,14 Upper Woburn Pl, London WC1H 0NN, England; [Hosking, J. Scott] Alan Turing Inst, 96 Euston Rd, London NW1 2DB, England; [Mitchell, Dann] Univ Bristol, Univ Rd, Bristol BS8 1SS, Avon, England; [Betts, Richard A.] Met Off Hadley Ctr, FitzRoy Rd, Exeter EX1 3PB, Devon, England; [Betts, Richard A.] Univ Exeter, Global Syst Inst, Laver Bldg,North Pk Rd, Exeter EX4 4QE, Devon, England; [Shuckburgh, Emily] Univ Cambridge, Dept Comp Sci &amp; Technol, JJ Thomson Ave, Cambridge CB3 0FD, England</t>
  </si>
  <si>
    <t>UK Research &amp; Innovation (UKRI); Natural Environment Research Council (NERC); NERC British Antarctic Survey; University of London; University College London; University of Bristol; Met Office - UK; Hadley Centre; University of Exeter; University of Cambridge</t>
  </si>
  <si>
    <t>Simpson, C (corresponding author), British Antarctic Survey, Cambridge CB3 OET, England.;Simpson, C (corresponding author), UCL, Inst Environm Design &amp; Engn, Cent House,14 Upper Woburn Pl, London WC1H 0NN, England.</t>
  </si>
  <si>
    <t>charles.simpson@ucl.ac.uk</t>
  </si>
  <si>
    <t>Simpson, Charles/ADR-1004-2022; Mitchell, Daniel/U-6509-2018; Hosking, Scott/D-3437-2013</t>
  </si>
  <si>
    <t>Simpson, Charles/0000-0001-9356-5833; Shuckburgh, Emily/0000-0001-9206-3444; Mitchell, Daniel/0000-0002-0117-3486; Hosking, Scott/0000-0002-3646-3504</t>
  </si>
  <si>
    <t>NERC EMERGENCE project [NE/S004726/1, NE/S004645/1, NE/S005242/1]; BEIS/Defra Met Office Hadley Centre Climate Programme [GA01101]; Wellcome Trust HEROIC project [216035/Z/19/Z]; CMIP6; ESGF; NERC [NE/R009554/1, NE/S004645/1, NE/S004726/1, bas0100032] Funding Source: UKRI</t>
  </si>
  <si>
    <t>NERC EMERGENCE project; BEIS/Defra Met Office Hadley Centre Climate Programme; Wellcome Trust HEROIC project(Wellcome Trust); CMIP6; ESGF; NERC(UK Research &amp; Innovation (UKRI)Natural Environment Research Council (NERC))</t>
  </si>
  <si>
    <t>All authors are funded by the NERC EMERGENCE project: C S, J S H and E S by NE/S004726/1, R A B by NE/S004645/1, and D M by NE/S005242/1. The work of R A B also forms part of the BEIS/Defra Met Office Hadley Centre Climate Programme (GA01101). C S is also funded by the Wellcome Trust HEROIC project (216035/Z/19/Z). This project made use of the JASMIN computer service (jasmin.ac.uk), and CEDA archive (ceda.ac.uk). Thanks to the developers of the following software packages: Geopandas, Xarray, Cartopy, Psychrolib. We acknowledge the World Climate Research Programme, which, through its Working Group on Coupled Modelling, coordinated and promoted CMIP6. We thank the climate modelling groups for producing and making available their model output, the Earth System Grid Federation (ESGF) for archiving the data and providing access, and the multiple funding agencies who support CMIP6 and ESGF.</t>
  </si>
  <si>
    <t>IOP Publishing Ltd</t>
  </si>
  <si>
    <t>BRISTOL</t>
  </si>
  <si>
    <t>TEMPLE CIRCUS, TEMPLE WAY, BRISTOL BS1 6BE, ENGLAND</t>
  </si>
  <si>
    <t>1748-9326</t>
  </si>
  <si>
    <t>ENVIRON RES LETT</t>
  </si>
  <si>
    <t>Environ. Res. Lett.</t>
  </si>
  <si>
    <t>DEC</t>
  </si>
  <si>
    <t>10.1088/1748-9326/ac3288</t>
  </si>
  <si>
    <t>Environmental Sciences; Meteorology &amp; Atmospheric Sciences</t>
  </si>
  <si>
    <t>Science Citation Index Expanded (SCI-EXPANDED)</t>
  </si>
  <si>
    <t>Environmental Sciences &amp; Ecology; Meteorology &amp; Atmospheric Sciences</t>
  </si>
  <si>
    <t>WX4XD</t>
  </si>
  <si>
    <t>Green Published, Green Accepted, gold</t>
  </si>
  <si>
    <t>2024-04-21</t>
  </si>
  <si>
    <t>WOS:000718599900001</t>
  </si>
  <si>
    <t>Barnes, DKA; Sands, CJ; Paulsen, ML; Moreno, B; Moreau, C; Held, C; Downey, R; Bax, N; Stark, JS; Zwerschke, N</t>
  </si>
  <si>
    <t>Barnes, D. K. A.; Sands, C. J.; Paulsen, M. L.; Moreno, B.; Moreau, C.; Held, C.; Downey, R.; Bax, N.; Stark, J. S.; Zwerschke, N.</t>
  </si>
  <si>
    <t>Societal importance of Antarctic negative feedbacks on climate change: blue carbon gains from sea ice, ice shelf and glacier losses (vol 108, 43, 2021)</t>
  </si>
  <si>
    <t>SCIENCE OF NATURE</t>
  </si>
  <si>
    <t>Correction</t>
  </si>
  <si>
    <t>[Barnes, D. K. A.; Sands, C. J.; Zwerschke, N.] British Antarctic Survey, NERC, Cambridge, England; [Stark, J. S.] Australian Antarctic Div, Hobart, Tas, Australia; [Paulsen, M. L.] Aarhus Univ, Aarhus, Denmark; [Moreno, B.] Univ Cient Sur, Lima, Peru; [Moreau, C.] Univ Libre Bruxelles, Brussels, Belgium; [Held, C.] Alfred Wegner Inst, Bremerhaven, Germany; [Downey, R.] Australian Natl Univ, Canberra, ACT, Australia; [Bax, N.] South Atlantic Environm Res Inst, Stanley, South Atlantic, Falkland Island</t>
  </si>
  <si>
    <t>UK Research &amp; Innovation (UKRI); Natural Environment Research Council (NERC); NERC British Antarctic Survey; Australian Antarctic Division; Aarhus University; Universidad Cientifica del Sur (CIENTIFICA); Universite Libre de Bruxelles; Helmholtz Association; Alfred Wegener Institute, Helmholtz Centre for Polar &amp; Marine Research; Australian National University</t>
  </si>
  <si>
    <t>Barnes, DKA (corresponding author), British Antarctic Survey, NERC, Cambridge, England.</t>
  </si>
  <si>
    <t>dkab@bas.ac.uk</t>
  </si>
  <si>
    <t>Downey, Rachel/Q-4156-2019</t>
  </si>
  <si>
    <t>Moreau, Camille/0000-0002-0981-7442; Zwerschke, Nadescha/0000-0003-4099-8269</t>
  </si>
  <si>
    <t>SPRINGER HEIDELBERG</t>
  </si>
  <si>
    <t>HEIDELBERG</t>
  </si>
  <si>
    <t>TIERGARTENSTRASSE 17, D-69121 HEIDELBERG, GERMANY</t>
  </si>
  <si>
    <t>0028-1042</t>
  </si>
  <si>
    <t>1432-1904</t>
  </si>
  <si>
    <t>SCI NAT-HEIDELBERG</t>
  </si>
  <si>
    <t>Sci. Nat.</t>
  </si>
  <si>
    <t>10.1007/s00114-021-01759-5</t>
  </si>
  <si>
    <t>Multidisciplinary Sciences</t>
  </si>
  <si>
    <t>Science &amp; Technology - Other Topics</t>
  </si>
  <si>
    <t>WF2IC</t>
  </si>
  <si>
    <t>Bronze, Green Published</t>
  </si>
  <si>
    <t>WOS:000706133600001</t>
  </si>
  <si>
    <t>Saheed, PP; Mitra, AK; Momin, IM; Pant, V</t>
  </si>
  <si>
    <t>Saheed, P. P.; Mitra, Ashis K.; Momin, Imranali M.; Pant, Vimlesh</t>
  </si>
  <si>
    <t>Antarctic winter sea-ice seasonal simulation with a coupled model: Evaluation of mean features and biases</t>
  </si>
  <si>
    <t>JOURNAL OF EARTH SYSTEM SCIENCE</t>
  </si>
  <si>
    <t>Antarctic sea-ice; model simulation; coupled model; sea-ice verification</t>
  </si>
  <si>
    <t>CONFIGURATION; TRENDS</t>
  </si>
  <si>
    <t>For Earth's climate system, the study of the seasonal variability of sea-ice is important as the sea-ice has a significant impact on the net radiative flux, which can influence the mean seasonal behaviours of the atmosphere and ocean. In this study, the seasonal hindcast of 14 austral winter seasons is conducted to assess the skill of a coupled model in simulating the seasonal Antarctic sea-ice and its connection with the other ocean and atmospheric variables. The GloSea4 set-up of the HadGEM3 coupled model is used for the seasonal simulations at the NCMRWF. The model could reproduce the sea-ice extent over the Antarctic for the Austral winter seasons with an average correlation value of 0.98. However, there are moderate biases in the sea-ice concentration. The sea-ice thickness in the model generally shows negative bias, which is not seen to be related to the surface air temperature biases in the coupled system. The moderate positive (warm) biases in the sea surface temperature extending into the upper ocean (30 m), combined with the sea-ice drift bias pattern away from the sea-ice region are the main reasons for the underestimation of sea-ice thickness in the model. The sea surface current bias pattern shows a poleward component that brings the warm water from the warm biased locations of the exterior region into the sea-ice region and explains the presence of warmer waters in the sea-ice regions. The anti-clockwise bias in the surface wind is seen to impact the surface current, Antarctic circumpolar current (ACC), having a similar anti-clockwise current bias. Despite these moderate biases in the model, the inter-annual variability of sea-ice extent is having a reasonably good skill. The model is suitable for extended/seasonal prediction of sea-ice during Austral winter for Antarctic.</t>
  </si>
  <si>
    <t>[Saheed, P. P.; Mitra, Ashis K.; Momin, Imranali M.] Minist Earth Sci, Natl Ctr Medium Range Weather Forecasting, Noida, UP, India; [Saheed, P. P.; Pant, Vimlesh] Indian Inst Technol, Ctr Atmospher Sci, New Delhi, India</t>
  </si>
  <si>
    <t>Ministry of Earth Sciences (MoES) - India; National Centre for Medium Range Weather Forecasting (NCMRWF); Indian Institute of Technology System (IIT System); Indian Institute of Technology (IIT) - Delhi</t>
  </si>
  <si>
    <t>Saheed, PP (corresponding author), Minist Earth Sci, Natl Ctr Medium Range Weather Forecasting, Noida, UP, India.;Saheed, PP (corresponding author), Indian Inst Technol, Ctr Atmospher Sci, New Delhi, India.</t>
  </si>
  <si>
    <t>saheed@ncmrwf.gov.in</t>
  </si>
  <si>
    <t>INDIAN ACAD SCIENCES</t>
  </si>
  <si>
    <t>BANGALORE</t>
  </si>
  <si>
    <t>C V RAMAN AVENUE, SADASHIVANAGAR, P B #8005, BANGALORE 560 080, INDIA</t>
  </si>
  <si>
    <t>2347-4327</t>
  </si>
  <si>
    <t>0973-774X</t>
  </si>
  <si>
    <t>J EARTH SYST SCI</t>
  </si>
  <si>
    <t>J. Earth Syst. Sci.</t>
  </si>
  <si>
    <t>10.1007/s12040-021-01714-y</t>
  </si>
  <si>
    <t>Geosciences, Multidisciplinary; Multidisciplinary Sciences</t>
  </si>
  <si>
    <t>Geology; Science &amp; Technology - Other Topics</t>
  </si>
  <si>
    <t>WC7KR</t>
  </si>
  <si>
    <t>WOS:000704433500002</t>
  </si>
  <si>
    <t>Boyden, P; Casella, E; Daly, C; Rovere, A</t>
  </si>
  <si>
    <t>Boyden, Patrick; Casella, Elisa; Daly, Christopher; Rovere, Alessio</t>
  </si>
  <si>
    <t>Hurricane Matthew in 2100: effects of extreme sea level rise scenarios on a highly valued coastal area (Palm Beach, FL, USA)</t>
  </si>
  <si>
    <t>GEO-MARINE LETTERS</t>
  </si>
  <si>
    <t>STORM-SURGE; TROPICAL CYCLONES; MORPHODYNAMICS; OVERWASH; EROSION; FLORIDA</t>
  </si>
  <si>
    <t>Sea-level rise represents a severe hazard for populations living within low-elevation coastal zones and is already largely affecting coastal communities worldwide. As sea level continues to rise following unabated greenhouse gas emissions, the exposure of coastal communities to inundation and erosion will increase exponentially. These impacts will be further magnified under extreme storm conditions. In this paper, we focus on one of the most valuable coastal real estate markets globally (Palm Beach, FL). We use XBeach, an open-source hydro and morphodynamic model, to assess the impact of a major tropical cyclone (Hurricane Matthew, 2016) under three different sea-level scenarios. The first scenario (modern sea level) serves as a baseline against which other model runs are evaluated. The other two runs use different 2100 sea-level projections, localized to the study site: (i) IPCC RCP 8.5 (0.83 m by 2100) and (ii) same as (i), but including enhanced Antarctic ice loss (1.62 m by 2100). Our results show that the effective doubling of future sea level under heightened Antarctic ice loss amplifies flow velocity and wave height, leading to a 46% increase in eroded beach volume and the overtopping of coastal protection structures. This further exacerbates the vulnerability of coastal properties on the island, leading to significant increases in parcel inundation.</t>
  </si>
  <si>
    <t>[Boyden, Patrick; Rovere, Alessio] Univ Bremen, MARUM Ctr Marine Environm Sci, Bremen, Germany; [Casella, Elisa] ZMT Leibniz Ctr Trop Marine Res, Bremen, Germany; [Daly, Christopher] Leiden Univ Coll, Leiden, Netherlands</t>
  </si>
  <si>
    <t>University of Bremen; Leibniz Zentrum fur Marine Tropenforschung (ZMT)</t>
  </si>
  <si>
    <t>Boyden, P (corresponding author), Univ Bremen, MARUM Ctr Marine Environm Sci, Bremen, Germany.</t>
  </si>
  <si>
    <t>pboyden@marum.de</t>
  </si>
  <si>
    <t>IPO, PAGES/JXY-7546-2024; Rovere, Alessio/C-4262-2011</t>
  </si>
  <si>
    <t>Boyden, Patrick/0000-0002-2757-7761; Rovere, Alessio/0000-0001-5575-1168</t>
  </si>
  <si>
    <t>Projekt DEAL; Institutional Strategy of the University of Bremen - German Excellence Initiative [ABPZuK-03/2014]</t>
  </si>
  <si>
    <t>Projekt DEAL; Institutional Strategy of the University of Bremen - German Excellence Initiative</t>
  </si>
  <si>
    <t>Open Access funding enabled and organized by Projekt DEAL. This research was financially supported by the Institutional Strategy of the University of Bremen, funded by the German Excellence Initiative (ABPZuK-03/2014).</t>
  </si>
  <si>
    <t>SPRINGER</t>
  </si>
  <si>
    <t>NEW YORK</t>
  </si>
  <si>
    <t>ONE NEW YORK PLAZA, SUITE 4600, NEW YORK, NY, UNITED STATES</t>
  </si>
  <si>
    <t>0276-0460</t>
  </si>
  <si>
    <t>1432-1157</t>
  </si>
  <si>
    <t>GEO-MAR LETT</t>
  </si>
  <si>
    <t>Geo-Mar. Lett.</t>
  </si>
  <si>
    <t>10.1007/s00367-021-00715-6</t>
  </si>
  <si>
    <t>Geosciences, Multidisciplinary; Oceanography</t>
  </si>
  <si>
    <t>Geology; Oceanography</t>
  </si>
  <si>
    <t>UN1NM</t>
  </si>
  <si>
    <t>Green Published, hybrid</t>
  </si>
  <si>
    <t>WOS:000693788900002</t>
  </si>
  <si>
    <t>Rudolph, EM; Hedding, DW; Nel, W</t>
  </si>
  <si>
    <t>Rudolph, Elizabeth M.; Hedding, David W.; Nel, Werner</t>
  </si>
  <si>
    <t>The glacial geomorphology of sub-Antarctic Marion Island</t>
  </si>
  <si>
    <t>JOURNAL OF MAPS</t>
  </si>
  <si>
    <t>Sub-Antarctic; Marion Island; glacial geomorphology; mapping; palaeo-ice extent; Quaternary landscape evolution</t>
  </si>
  <si>
    <t>MAXIMUM; HISTORY; DEGLACIATION; EXTENT; COVER</t>
  </si>
  <si>
    <t>Since the discovery of glacial features on sub-Antarctic Marion Island, the character and extent of a historic glacial period have remained an important research focus for earth science investigations. Previous glacial reconstructions were limited to mostly pre-GPS field observations and pre-digital mapping through a Geographic Information System. With the aid of GPS field mapping, high-resolution satellite imagery and a digital surface model with a 1 x 1 m cell resolution, this paper provides a comprehensive, geo-rectified spatial geodatabase and map of Marion Island's glacial geomorphology. The geodatabase includes an inventory of glacial erosional (e.g. striations) and depositional (e.g. moraines) features compiled from existing records as well as new features mapped from recent field observations. The final map and the geodatabase, which is downloadable as ESRI layer-package files, will aid future field investigations and modelling applications to understand Marion Island's Quaternary landscape evolution and post-glacial ecological succession.</t>
  </si>
  <si>
    <t>[Rudolph, Elizabeth M.] Univ Free State, Dept Geog, ZA-9300 Bloemfontein, South Africa; [Hedding, David W.] Univ South Africa, Dept Geog, Florida, South Africa; [Nel, Werner] Univ Ft Hare, Dept Geog &amp; Environm Sci, Alice, South Africa</t>
  </si>
  <si>
    <t>University of the Free State; University of South Africa; University of Fort Hare</t>
  </si>
  <si>
    <t>Rudolph, EM (corresponding author), Univ Free State, Dept Geog, ZA-9300 Bloemfontein, South Africa.</t>
  </si>
  <si>
    <t>rudolphem@ufs.ac.za</t>
  </si>
  <si>
    <t>Hedding, David William/F-3044-2011; Rudolph, Elizabeth M/GOJ-7266-2022</t>
  </si>
  <si>
    <t>Hedding, David William/0000-0002-9748-4499; Rudolph, Elizabeth M/0000-0002-3823-3278; Nel, Werner/0000-0002-3769-4937</t>
  </si>
  <si>
    <t>South African National Research Foundation [SANAP-NRF: 129235]</t>
  </si>
  <si>
    <t>South African National Research Foundation(National Research Foundation - South Africa)</t>
  </si>
  <si>
    <t>This work was supported by the South African National Research Foundation under Grant [SANAP-NRF: 129235].</t>
  </si>
  <si>
    <t>TAYLOR &amp; FRANCIS LTD</t>
  </si>
  <si>
    <t>ABINGDON</t>
  </si>
  <si>
    <t>2-4 PARK SQUARE, MILTON PARK, ABINGDON OR14 4RN, OXON, ENGLAND</t>
  </si>
  <si>
    <t>1744-5647</t>
  </si>
  <si>
    <t>J MAPS</t>
  </si>
  <si>
    <t>J. Maps</t>
  </si>
  <si>
    <t>DEC 1</t>
  </si>
  <si>
    <t>10.1080/17445647.2021.1931970</t>
  </si>
  <si>
    <t>Geography; Geography, Physical</t>
  </si>
  <si>
    <t>Science Citation Index Expanded (SCI-EXPANDED); Social Science Citation Index (SSCI)</t>
  </si>
  <si>
    <t>Geography; Physical Geography</t>
  </si>
  <si>
    <t>SL1QB</t>
  </si>
  <si>
    <t>gold</t>
  </si>
  <si>
    <t>WOS:000656692900001</t>
  </si>
  <si>
    <t>Kvale, K; Keller, DP; Koeve, W; Meissner, KJ; Somes, CJ; Yao, WX; Oschlies, A</t>
  </si>
  <si>
    <t>Kvale, Karin; Keller, David P.; Koeve, Wolfgang; Meissner, Katrin J.; Somes, Christopher J.; Yao, Wanxuan; Oschlies, Andreas</t>
  </si>
  <si>
    <t>Explicit silicate cycling in the Kiel Marine Biogeochemistry Model version 3 (KMBM3) embedded in the UVic ESCM version 2.9</t>
  </si>
  <si>
    <t>GEOSCIENTIFIC MODEL DEVELOPMENT</t>
  </si>
  <si>
    <t>SYSTEM CLIMATE MODEL; EARTH SYSTEM; GAS CONCENTRATIONS; CALCIUM-CARBONATE; SOUTHERN-OCEAN; PHYTOPLANKTON; UNIVERSITY; TRANSPORT; IMPACTS; WATER</t>
  </si>
  <si>
    <t>We describe and test a new model of biological marine silicate cycling, implemented in the Kid Marine Biogeochemical Model version 3 (KMBM3), embedded in the University of Victoria Earth System Climate Model (UVic ESCM) version 2.9. This new model adds diatoms, which are a key component of the biological carbon pump, to an existing ecosystem model. This new model combines previously published parameterizations of a diatom functional type, opal production and export with a novel, temperature-dependent dissolution scheme. Modelled steady-state biogeochemical rates, carbon and nutrient distributions are similar to those found in previous model versions. The new model performs well against independent ocean biogeochemical indicators and captures the large-scale features of the marine silica cycle to a degree comparable to similar Earth system models. Furthermore, it is computationally efficient, allowing both fully coupled, long-timescale transient simulations and offline transport matrix spinups. We assess the fully coupled model against modern ocean observations, the historical record starting from 1960 and a business-as-usual atmospheric CO2 forcing to the year 2300. The model simulates a global decline in net primary production (NPP) of 1.4 % having occurred since the 1960s, with the strongest declines in the tropics, northern midlatitudes and Southern Ocean. The simulated global decline in NPP reverses after the year 2100 (forced by the extended RCP8.5 CO2 concentration scenario), and NPP returns to 98 % of the pre-industrial rate by 2300. This recovery is dominated by increasing primary production in the Southern Ocean, mostly by calcifying phytoplankton. Large increases in calcifying phytoplankton in the Southern Ocean offset a decline in the low latitudes, producing a global net calcite export in 2300 that varies only slightly from pre-industrial rates. Diatom distribution moves southward in our simulations, following the receding Antarctic ice front, but diatoms are outcompeted by calcifiers across most of their pre-industrial Southern Ocean habitat. Global opal export production thus drops to 75 % of its pre-industrial value by 2300. Model nutrients such as phosphate, silicate and nitrate build up along the Southern Ocean particle export pathway, but dissolved iron (for which ocean sources are held constant) increases in the upper ocean. This different behaviour of iron is attributed to a reduction of low-latitude NPP (and consequently, a reduction in both uptake and export and particle, including calcite scavenging), an increase in seawater temperatures (raising the solubility of particulate iron) and stratification that traps the iron near the surface. These results are meant to serve as a baseline for sensitivity assessments to be undertaken with this model in the future.</t>
  </si>
  <si>
    <t>[Kvale, Karin; Keller, David P.; Koeve, Wolfgang; Somes, Christopher J.; Yao, Wanxuan; Oschlies, Andreas] GEOMAR Helmholtz Ctr Ocean Res Kiel, Dusternbrooker Weg 20, D-24105 Kiel, Germany; [Meissner, Katrin J.] UNSW, Climate Change Res Ctr, Level 4 Mathews Bldg, Sydney, NSW, Australia; [Meissner, Katrin J.] ARC Ctr Excellence Climate Extremes, Sydney, NSW, Australia; [Kvale, Karin] GNS Sci, 1 Fairway Dr,Avalon 5010,POB 30368, Lower Hutt 5040, New Zealand</t>
  </si>
  <si>
    <t>Helmholtz Association; GEOMAR Helmholtz Center for Ocean Research Kiel; University of New South Wales Sydney; GNS Science - New Zealand</t>
  </si>
  <si>
    <t>Kvale, K (corresponding author), GEOMAR Helmholtz Ctr Ocean Res Kiel, Dusternbrooker Weg 20, D-24105 Kiel, Germany.;Kvale, K (corresponding author), GNS Sci, 1 Fairway Dr,Avalon 5010,POB 30368, Lower Hutt 5040, New Zealand.</t>
  </si>
  <si>
    <t>k.kvale@gns.cri.nz</t>
  </si>
  <si>
    <t>Oschlies, Andreas/F-9749-2012; Kvale, Karin F/A-7597-2013; Kvale, Karin/T-1231-2018; Keller, David P/F-4864-2013; Koeve, Wolfgang/B-6362-2008</t>
  </si>
  <si>
    <t>Kvale, Karin/0000-0001-8043-5431; Meissner, Katrin/0000-0002-0716-7415; Koeve, Wolfgang/0000-0002-2298-9230; Somes, Christopher/0000-0003-2635-7617</t>
  </si>
  <si>
    <t>GEOMAR Helmholtz Centre for Ocean Research, Kiel; New Zealand Ministry of Business, Innovation and Employment through the Global Change through Time programme; Australian Research Council [DP180100048, DP180102357]; National Computational Merit Allocation scheme; Intersect allocation scheme; UNSW HPC at NCI scheme</t>
  </si>
  <si>
    <t>GEOMAR Helmholtz Centre for Ocean Research, Kiel; New Zealand Ministry of Business, Innovation and Employment through the Global Change through Time programme(New Zealand Ministry of Business, Innovation and Employment (MBIE)); Australian Research Council(Australian Research Council); National Computational Merit Allocation scheme; Intersect allocation scheme; UNSW HPC at NCI scheme</t>
  </si>
  <si>
    <t>The authors would like to acknowledge computer resources made available by Kiel University, as well as topical discussion with Michael Eby at the University of Victoria, plotting scripts from Andreas Schmittner (Oregon State University) and Iris Kriest (GEOMAR), plotting scripts and data from Markus Pahlow (GEOMAR), Hannah Geisinger who created a hydrothermal silicate mask, Himadri Saini for code testing and the rest of the Biogeochemical Modelling Department at GEOMAR for their kindness and expertise. Karin Kvale acknowledges support from GEOMAR Helmholtz Centre for Ocean Research, Kiel, and the New Zealand Ministry of Business, Innovation and Employment through the Global Change through Time programme. Katrin J. Meissner acknowledges support from the Australian Research Council (grant nos. DP180100048 and DP180102357). Model tuning was performed in part at the NCI National Facility at the Australian National University, through awards under the National Computational Merit Allocation scheme, the Intersect allocation scheme and the UNSW HPC at NCI scheme. Figure plotting used the Ferret plotting programme. Ferret is a product of NOAA's Pacific Marine Environmental Laboratory.</t>
  </si>
  <si>
    <t>COPERNICUS GESELLSCHAFT MBH</t>
  </si>
  <si>
    <t>GOTTINGEN</t>
  </si>
  <si>
    <t>BAHNHOFSALLEE 1E, GOTTINGEN, 37081, GERMANY</t>
  </si>
  <si>
    <t>1991-959X</t>
  </si>
  <si>
    <t>1991-9603</t>
  </si>
  <si>
    <t>GEOSCI MODEL DEV</t>
  </si>
  <si>
    <t>Geosci. Model Dev.</t>
  </si>
  <si>
    <t>NOV 30</t>
  </si>
  <si>
    <t>10.5194/gmd-14-7255-2021</t>
  </si>
  <si>
    <t>Geosciences, Multidisciplinary</t>
  </si>
  <si>
    <t>Geology</t>
  </si>
  <si>
    <t>XF2SQ</t>
  </si>
  <si>
    <t>gold, Green Submitted</t>
  </si>
  <si>
    <t>WOS:000723926300001</t>
  </si>
  <si>
    <t>Li, QM; Xiao, WS; Wang, RJ; Chen, ZH</t>
  </si>
  <si>
    <t>Li, Qingmiao; Xiao, Wenshen; Wang, Rujian; Chen, Zhihua</t>
  </si>
  <si>
    <t>Diatom based reconstruction of climate evolution through the Last Glacial Maximum to Holocene in the Cosmonaut Sea, East Antarctica</t>
  </si>
  <si>
    <t>DEEP-SEA RESEARCH PART II-TOPICAL STUDIES IN OCEANOGRAPHY</t>
  </si>
  <si>
    <t>Southern Ocean; Antarctic Ice Sheet; Deglaciation; Diatoms</t>
  </si>
  <si>
    <t>SOUTHERN-OCEAN SEDIMENTS; LUTZOW-HOLM BAY; ICE-SHEET; LATE QUATERNARY; SURFACE TEMPERATURE; PRYDZ BAY; ATLANTIC SECTOR; PACIFIC SECTOR; INDIAN SECTOR; ADELIE LAND</t>
  </si>
  <si>
    <t>Diatom composition has been studied in two cores retrieved from the Cosmonaut Sea, East Antarctica, during the 36th Chinese Antarctic Research Expedition. The resulting diatom data are compared to other records from the Southern Ocean and the deglaciation history of the Antarctic ice sheet to reveal the climatic response of the ice-proximal environment to the melting of the ice sheet from the Last Glacial Maximum (LGM) to Holocene. The LGM is marked by low productivity and extensive sea ice cover that resulted in poor preservation of diatom frustules. The last deglacial warming process is facilitated by the bipolar seesaw effect. The environment in the Cosmonaut Sea is primarily influenced by the melting of the West Antarctic Ice Sheet (WAIS) during the last deglaciation, while the East Antarctic Ice Sheet (EAIS) remained relatively stable. Maximum sea ice retreat and southward intrusion of the warm Circumpolar Deep Water facilitate the melting of the EAIS during the early Holocene. The developing cavity under the WAIS is suggested to be responsible for the mid-late Holocene cooling in the Cosmonaut Sea. This indicates that the deglaciation of the WAIS is a primary control of environmental changes in the Cosmonaut Sea, despite its ice proximal location adjacent to the EAIS.</t>
  </si>
  <si>
    <t>[Li, Qingmiao; Xiao, Wenshen; Wang, Rujian] Tongji Univ, State Key Lab Marine Geol, Shanghai 200092, Peoples R China; [Chen, Zhihua] Minist Nat Resources, Inst Oceanog 1, Qingdao 266061, Peoples R China</t>
  </si>
  <si>
    <t>Tongji University; First Institute of Oceanography, Ministry of Natural Resources; Ministry of Natural Resources of the People's Republic of China</t>
  </si>
  <si>
    <t>Xiao, WS (corresponding author), Tongji Univ, State Key Lab Marine Geol, Shanghai 200092, Peoples R China.</t>
  </si>
  <si>
    <t>wxiao@tongji.edu.cn</t>
  </si>
  <si>
    <t>Chinese Arctic and Antarctic Administration (IRASCC2020-2022) [01-03-02D, CXPT2020008]; Natural Science Foundation of China [42030401, 41776191]; Tongji SKL [MG20190106]; NSFC [41676191]; CAAA [RFSOCC2020-2025]</t>
  </si>
  <si>
    <t>Chinese Arctic and Antarctic Administration (IRASCC2020-2022); Natural Science Foundation of China(National Natural Science Foundation of China (NSFC)); Tongji SKL; NSFC(National Natural Science Foundation of China (NSFC)); CAAA</t>
  </si>
  <si>
    <t>This research is funded by the Chinese Arctic and Antarctic Admin-istration (IRASCC2020-2022-No. 01-03-02D and CXPT2020008) , the Natural Science Foundation of China (42030401, 41776191) , and Tongji SKL (MG20190106) . ZC's work is supported by NSFC (41676191) and CAAA (RFSOCC2020-2025) . This is a contribution to the 36th Chinese Antarctic Research Expedition conducted by R/V Xuelong 2. Polar Research Institute of China is acknowledged for providing the sediment samples. We thank the two anonymous reviewers and editor for their constructive comments.</t>
  </si>
  <si>
    <t>PERGAMON-ELSEVIER SCIENCE LTD</t>
  </si>
  <si>
    <t>OXFORD</t>
  </si>
  <si>
    <t>THE BOULEVARD, LANGFORD LANE, KIDLINGTON, OXFORD OX5 1GB, ENGLAND</t>
  </si>
  <si>
    <t>0967-0645</t>
  </si>
  <si>
    <t>1879-0100</t>
  </si>
  <si>
    <t>DEEP-SEA RES PT II</t>
  </si>
  <si>
    <t>Deep-Sea Res. Part II-Top. Stud. Oceanogr.</t>
  </si>
  <si>
    <t>10.1016/j.dsr2.2021.104960</t>
  </si>
  <si>
    <t>NOV 2021</t>
  </si>
  <si>
    <t>Oceanography</t>
  </si>
  <si>
    <t>XH5MU</t>
  </si>
  <si>
    <t>WOS:000725479300002</t>
  </si>
  <si>
    <t>Landwehr, S; Volpi, M; Haumann, FA; Robinson, CM; Thurnherr, I; Ferracci, V; Baccarini, A; Thomas, J; Gorodetskaya, I; Tatzelt, C; Henning, S; Modini, RL; Forrer, HJ; Lin, YJ; Cassar, N; Simó, R; Hassler, C; Moallemi, A; Fawcett, SE; Harris, N; Airs, R; Derkani, MH; Alberello, A; Toffoli, A; Chen, G; Rodríguez-Ros, P; Zamanillo, M; Cortés-Greus, P; Xue, L; Bolas, CG; Leonard, KC; Perez-Cruz, F; Walton, D; Schmale, J</t>
  </si>
  <si>
    <t>Landwehr, Sebastian; Volpi, Michele; Haumann, F. Alexander; Robinson, Charlotte M.; Thurnherr, Iris; Ferracci, Valerio; Baccarini, Andrea; Thomas, Jenny; Gorodetskaya, Irina; Tatzelt, Christian; Henning, Silvia; Modini, Rob L.; Forrer, Heather J.; Lin, Yajuan; Cassar, Nicolas; Simo, Rafel; Hassler, Christel; Moallemi, Alireza; Fawcett, Sarah E.; Harris, Neil; Airs, Ruth; Derkani, Marzieh H.; Alberello, Alberto; Toffoli, Alessandro; Chen, Gang; Rodriguez-Ros, Pablo; Zamanillo, Marina; Cortes-Greus, Pau; Xue, Lei; Bolas, Conor G.; Leonard, Katherine C.; Perez-Cruz, Fernando; Walton, David; Schmale, Julia</t>
  </si>
  <si>
    <t>Exploring the coupled ocean and atmosphere system with a data science approach applied to observations from the Antarctic Circumnavigation Expedition</t>
  </si>
  <si>
    <t>EARTH SYSTEM DYNAMICS</t>
  </si>
  <si>
    <t>NET COMMUNITY PRODUCTION; NATURAL IRON FERTILIZATION; MARINE BOUNDARY-LAYER; SOUTHERN-OCEAN; SEA-ICE; PHAEOCYSTIS-ANTARCTICA; ISOTOPIC COMPOSITION; PHYTOPLANKTON BLOOM; DIMETHYL SULFIDE; DEUTERIUM EXCESS</t>
  </si>
  <si>
    <t>The Southern Ocean is a critical component of Earth's climate system, but its remoteness makes it challenging to develop a holistic understanding of its processes from the small scale to the large scale. As a result, our knowledge of this vast region remains largely incomplete. The Antarctic Circumnavigation Expedition (ACE, austral summer 2016/2017) surveyed a large number of variables describing the state of the ocean and the atmosphere, the freshwater cycle, atmospheric chemistry, and ocean biogeochemistry and microbiology. This circumpolar cruise included visits to 12 remote islands, the marginal ice zone, and the Antarctic coast. Here, we use 111 of the observed variables to study the latitudinal gradients, seasonality, shorter-term variations, geographic setting of environmental processes, and interactions between them over the duration of 90 d. To reduce the dimensionality and complexity of the dataset and make the relations between variables interpretable we applied an unsupervised machine learning method, the sparse principal component analysis (sPCA), which describes environmental processes through 14 latent variables. To derive a robust statistical perspective on these processes and to estimate the uncertainty in the sPCA decomposition, we have developed a bootstrap approach. Our results provide a proof of concept that sPCA with uncertainty analysis is able to identify temporal patterns from diurnal to seasonal cycles, as well as geographical gradients and hotspots of interaction between environmental compartments. While confirming many well known processes, our analysis provides novel insights into the Southern Ocean water cycle (freshwater fluxes), trace gases (interplay between seasonality, sources, and sinks), and microbial communities (nutrient limitation and island mass effects at the largest scale ever reported). More specifically, we identify the important role of the oceanic circulations, frontal zones, and islands in shaping the nutrient availability that controls biological community composition and productivity; the fact that sea ice controls sea water salinity, dampens the wave field, and is associated with increased phytoplankton growth and net community productivity possibly due to iron fertilisation and reduced light limitation; and the clear regional patterns of aerosol characteristics that have emerged, stressing the role of the sea state, atmospheric chemical processing, and source processes near hotspots for the availability of cloud condensation nuclei and hence cloud formation. A set of key variables and their combinations, such as the difference between the air and sea surface temperature, atmospheric pressure, sea surface height, geostrophic currents, upper-ocean layer light intensity, surface wind speed and relative humidity played an important role in our analysis, highlighting the necessity for Earth system models to represent them adequately. In conclusion, our study highlights the use of sPCA to identify key ocean-atmosphere interactions across physical, chemical, and biological processes and their associated spatio-temporal scales. It thereby fills an important gap between simple correlation analyses and complex Earth system models. The sPCA processing code is available as open-access from the following link: https://renkulab.io/gitlab/ACE-ASAID/spca-decomposition (last access: 29 March 2021). As we show here, it can be used for an exploration of environmental data that is less prone to cognitive biases (and confirmation biases in particular) compared to traditional regression analysis that might be affected by the underlying research question.</t>
  </si>
  <si>
    <t>[Landwehr, Sebastian; Baccarini, Andrea; Schmale, Julia] Ecole Polytech Fed Lausanne, Extreme Environm Res Lab, Lausanne, Switzerland; [Volpi, Michele; Perez-Cruz, Fernando] Swiss Fed Inst Technol, Swiss Data Sci Ctr, Zurich, Switzerland; [Haumann, F. Alexander] Princeton Univ, Atmospher &amp; Ocean Sci Program, Princeton, NJ 08540 USA; [Haumann, F. Alexander; Walton, David] British Antarctic Survey, Cambridge CB3 0ET, England; [Robinson, Charlotte M.] Curtin Univ, Sch Earth &amp; Planetary Sci, Remote Sensing &amp; Satellite Res Grp, Kent St, Bentley, WA 6102, Australia; [Thurnherr, Iris] Swiss Fed Inst Technol, Inst Atmospher &amp; Climate Sci, Zurich, Switzerland; [Thurnherr, Iris] Univ Bergen, Geophys Inst, Bergen, Norway; [Thurnherr, Iris] Bjerknes Ctr Climate Res, Bergen, Norway; [Ferracci, Valerio; Harris, Neil] Cranfield Univ, Ctr Environm &amp; Agr Informat, Sch Water Energy &amp; Environm, Coll Rd, Cranfield MK43 0AL, Beds, England; [Thomas, Jenny; Hassler, Christel] Swiss Polar Inst, Lausanne, Switzerland; [Gorodetskaya, Irina] Univ Aveiro, Ctr Environm &amp; Marine Studies, Dept Phys, Aveiro, Portugal; [Gorodetskaya, Irina; Leonard, Katherine C.] Ecole Polytech Fed Lausanne, Lab Cryospher Sci, Lausanne, Switzerland; [Tatzelt, Christian; Henning, Silvia] Leibniz Inst Tropospher Res, Leipzig, Germany; [Baccarini, Andrea; Modini, Rob L.; Moallemi, Alireza; Chen, Gang] Paul Scherrer Inst, Lab Atmospher Chem, Villigen, Switzerland; [Forrer, Heather J.; Fawcett, Sarah E.] Univ Cape Town, Dept Oceanog, ZA-7701 Cape Town, South Africa; [Forrer, Heather J.] Florida State Univ, Earth Ocean &amp; Atmospher Sci Dept, Tallahassee, FL 32306 USA; [Lin, Yajuan; Cassar, Nicolas] Duke Univ, Nicholas Sch Environm, Div Earth &amp; Climate Sci, Durham, NC 27708 USA; [Lin, Yajuan; Cassar, Nicolas] Univ Brest, Lab Sci Environm Marin, Brest, France; [Lin, Yajuan] Duke Kunshan Univ, Suzhou, Jiangsu, Peoples R China; [Simo, Rafel; Rodriguez-Ros, Pablo; Zamanillo, Marina; Cortes-Greus, Pau] Inst Ciencies Mar ICM CSIC, Barcelona, Catalonia, Spain; [Hassler, Christel] Univ Geneva, Dept Ford Environm &amp; Aquat Sci, Geneva, Switzerland; [Airs, Ruth] Plymouth Marine Lab, Plymouth PL1 3DH, Devon, England; [Derkani, Marzieh H.; Toffoli, Alessandro] Univ Melbourne, Fac Engn &amp; Informat Technol, Dept Infrastruct Engn, Parkville, Vic 3010, Australia; [Alberello, Alberto] Univ Tokyo, Grad Sch Frontier Sci, Kashiwa, Chiba, Japan; [Xue, Lei] SUNY Syracuse, Coll Environm Sci &amp; Forestry, Dept Chem, Syracuse, NY 13210 USA; [Bolas, Conor G.] ITOPF Ltd, London EC1Y 1DT, England; [Leonard, Katherine C.] Univ Colorado, Cooperat Inst Res Environm Sci, Boulder, CO 80309 USA; [Perez-Cruz, Fernando] Swiss Fed Inst Technol, Dept Comp Sci, Zurich, Switzerland</t>
  </si>
  <si>
    <t>Swiss Federal Institutes of Technology Domain; Ecole Polytechnique Federale de Lausanne; Swiss Federal Institutes of Technology Domain; ETH Zurich; Princeton University; National Oceanic Atmospheric Admin (NOAA) - USA; UK Research &amp; Innovation (UKRI); Natural Environment Research Council (NERC); NERC British Antarctic Survey; Curtin University; Swiss Federal Institutes of Technology Domain; ETH Zurich; University of Bergen; Bjerknes Centre for Climate Research; Cranfield University; Universidade de Aveiro; Swiss Federal Institutes of Technology Domain; Ecole Polytechnique Federale de Lausanne; Leibniz Institut fur Tropospharenforschung (TROPOS); Swiss Federal Institutes of Technology Domain; Paul Scherrer Institute; University of Cape Town; State University System of Florida; Florida State University; Duke University; Centre National de la Recherche Scientifique (CNRS); Ifremer; Institut de Recherche pour le Developpement (IRD); Universite de Bretagne Occidentale; Duke Kunshan University; Consejo Superior de Investigaciones Cientificas (CSIC); CSIC - Centro Mediterraneo de Investigaciones Marinas y Ambientales (CMIMA); CSIC - Instituto de Ciencias del Mar (ICM); University of Geneva; Plymouth Marine Laboratory; University of Melbourne; University of Tokyo; State University of New York (SUNY) System; State University of New York (SUNY) College of Environmental Science &amp; Forestry; University of Colorado System; University of Colorado Boulder; Swiss Federal Institutes of Technology Domain; ETH Zurich</t>
  </si>
  <si>
    <t>Landwehr, S; Schmale, J (corresponding author), Ecole Polytech Fed Lausanne, Extreme Environm Res Lab, Lausanne, Switzerland.</t>
  </si>
  <si>
    <t>sebastian.landwehr@gmail.com; julia.schmale@epfl.ch</t>
  </si>
  <si>
    <t>Cassar, Nicolas/B-4260-2011; Chen, Gang (Ian)/AAB-5536-2019; Ferracci, Valerio/G-3368-2016; Haumann, Alexander/J-6679-2014; Modini, Rob/AAF-6036-2019; baccarini, andrea/R-7251-2018; Pereira, Fernando/HNR-7786-2023; Schmale, Julia Yvonne/Q-3942-2019; Henning, Silvia/C-1114-2014; Volpi, Michele/R-4172-2016; Gorodetskaya, Irina/K-1987-2015</t>
  </si>
  <si>
    <t>Chen, Gang (Ian)/0000-0002-1507-4622; Ferracci, Valerio/0000-0001-6647-993X; Haumann, Alexander/0000-0002-8218-977X; Modini, Rob/0000-0002-2982-1369; baccarini, andrea/0000-0003-4614-247X; Schmale, Julia Yvonne/0000-0002-1048-7962; Henning, Silvia/0000-0001-9267-7825; Simo, Rafel/0000-0003-3276-7663; Landwehr, Sebastian/0000-0003-2622-577X; Volpi, Michele/0000-0003-2771-0750; Thomas, Jen/0000-0002-5986-7026; Thurnherr, Iris/0000-0003-3647-0373; perez-cruz, fernando/0000-0001-8996-5076; Gorodetskaya, Irina/0000-0002-2294-7823; Harris, Neil/0000-0003-1256-3006; Toffoli, Alessandro/0000-0003-3112-6856</t>
  </si>
  <si>
    <t>Schweizerischer Nationalfonds zur Forderung der Wissenschaftlichen Forschung [PZ00P2_142684, P2EZP2_175162, P400P2_186681, 200021_169090, PP00P2_166197]; Council for Scientific and Industrial Research, South Africa [SNA2011112600001]; CSIR Southern Ocean Carbon and Climate Observatory (SOCCO) programme; Swiss National Science Foundation (SNF) [PZ00P2_142684, P400P2_186681, P2EZP2_175162, PP00P2_166197] Funding Source: Swiss National Science Foundation (SNF); NERC [bas0100033] Funding Source: UKRI</t>
  </si>
  <si>
    <t>Schweizerischer Nationalfonds zur Forderung der Wissenschaftlichen Forschung(Swiss National Science Foundation (SNSF)); Council for Scientific and Industrial Research, South Africa(Council of Scientific &amp; Industrial Research (CSIR) - India); CSIR Southern Ocean Carbon and Climate Observatory (SOCCO) programme; Swiss National Science Foundation (SNF)(Swiss National Science Foundation (SNSF)); NERC(UK Research &amp; Innovation (UKRI)Natural Environment Research Council (NERC))</t>
  </si>
  <si>
    <t>This research has been supported by the Schweizerischer Nationalfonds zur Forderung der Wissenschaftlichen Forschung (grant nos. PZ00P2_142684, P2EZP2_175162, P400P2_186681, 200021_169090, and PP00P2_166197), the Council for Scientific and Industrial Research, South Africa (grant no. SNA2011112600001), and the CSIR Southern Ocean Carbon and Climate Observatory (SOCCO) programme).</t>
  </si>
  <si>
    <t>2190-4979</t>
  </si>
  <si>
    <t>2190-4987</t>
  </si>
  <si>
    <t>EARTH SYST DYNAM</t>
  </si>
  <si>
    <t>Earth Syst. Dynam.</t>
  </si>
  <si>
    <t>10.5194/esd-12-1295-2021</t>
  </si>
  <si>
    <t>XF2NJ</t>
  </si>
  <si>
    <t>Green Submitted, Green Accepted, Green Published, gold</t>
  </si>
  <si>
    <t>WOS:000723912200001</t>
  </si>
  <si>
    <t>Tedersoo, L; Mikryukov, V; Anslan, S; Bahram, M; Khalid, AN; Corrales, A; Agan, A; Vasco-Palacios, AM; Saitta, A; Antonelli, A; Rinaldi, AC; Verbeken, A; Sulistyo, BP; Tamgnoue, B; Furneaux, B; Ritter, CD; Nyamukondiwa, C; Sharp, C; Marín, C; Dai, DQ; Gohar, D; Sharmah, D; Biersma, EM; Cameron, EK; De Crop, E; Otsing, E; Davydov, EA; Albornoz, FE; Brearley, FQ; Buegger, F; Gates, G; Zahn, G; Bonito, G; Hiiesalu, I; Hiiesalu, I; Zettur, I; Barrio, IC; Pärn, J; Heilmann-Clausen, J; Ankuda, J; Kupagme, JY; Sarapuu, J; Maciá-Vicente, JG; Fovo, JD; Geml, J; Alatalo, JM; Alvarez-Manjarrez, J; Monkai, J; Poldmaa, K; Runnel, K; Adamson, K; Bråthen, KA; Pritsch, K; Tchan, KI; Armolaitis, K; Hyde, KD; Newsham, KK; Panksep, K; Adebola, LA; Lamit, LJ; Saba, M; Cáceres, MED; Tuomi, M; Gryzenhout, M; Bauters, M; Bálint, M; Wijayawardene, N; Hagh-Doust, N; Yorou, NS; Kurina, O; Mortimer, PE; Meidl, P; Nilsson, RH; Puusepp, R; Casique-Valdés, R; Drenkhan, R; Garibay-Orijel, R; Godoy, R; Alfarraj, S; Rahimlou, S; Polme, S; Dudov, SV; Mundra, S; Ahmed, T; Netherway, T; Henkel, TW; Roslin, T; Fedosov, VE; Onipchenko, VG; Yasanthika, WAE; Lim, YW; Piepenbring, M; Klavina, D; Koljalg, U; Abarenkov, K</t>
  </si>
  <si>
    <t>Tedersoo, Leho; Mikryukov, Vladimir; Anslan, Sten; Bahram, Mohammad; Khalid, Abdul Nasir; Corrales, Adriana; Agan, Ahto; Vasco-Palacios, Aida-M; Saitta, Alessandro; Antonelli, Alexandre; Rinaldi, Andrea C.; Verbeken, Annemieke; Sulistyo, Bobby P.; Tamgnoue, Boris; Furneaux, Brendan; Ritter, Camila Duarte; Nyamukondiwa, Casper; Sharp, Cathy; Marin, Cesar; Dai, D. Q.; Gohar, Daniyal; Sharmah, Dipon; Biersma, Elisabeth Machteld; Cameron, Erin K.; De Crop, Eske; Otsing, Eveli; Davydov, Evgeny A.; Albornoz, Felipe E.; Brearley, Francis Q.; Buegger, Franz; Gates, Genevieve; Zahn, Geoffrey; Bonito, Gregory; Hiiesalu, Indrek; Hiiesalu, Inga; Zettur, Irma; Barrio, Isabel C.; Parn, Jaan; Heilmann-Clausen, Jacob; Ankuda, Jelena; Kupagme, John Y.; Sarapuu, Joosep; Macia-Vicente, Jose G.; Fovo, Joseph Djeugap; Geml, Jozsef; Alatalo, Juha M.; Alvarez-Manjarrez, Julieta; Monkai, Jutamart; Poldmaa, Kadri; Runnel, Kadri; Adamson, Kalev; Brathen, Kari A.; Pritsch, Karin; Tchan, Kassim, I; Armolaitis, Kestutis; Hyde, Kevin D.; Newsham, Kevin K.; Panksep, Kristel; Adebola, Lateef A.; Lamit, Louis J.; Saba, Malka; da Silva Caceres, Marcela E.; Tuomi, Maria; Gryzenhout, Marieka; Bauters, Marijn; Balint, Miklos; Wijayawardene, Nalin; Hagh-Doust, Niloufar; Yorou, Nourou S.; Kurina, Olavi; Mortimer, Peter E.; Meidl, Peter; Nilsson, R. Henrik; Puusepp, Rasmus; Casique-Valdes, Rebeca; Drenkhan, Rein; Garibay-Orijel, Roberto; Godoy, Roberto; Alfarraj, Saleh; Rahimlou, Saleh; Polme, Sergei; Dudov, Sergey, V; Mundra, Sunil; Ahmed, Talaat; Netherway, Tarquin; Henkel, Terry W.; Roslin, Tomas; Fedosov, Vladimir E.; Onipchenko, Vladimir G.; Yasanthika, W. A. Erandi; Lim, Young Woon; Piepenbring, Meike; Klavina, Darta; Koljalg, Urmas; Abarenkov, Kessy</t>
  </si>
  <si>
    <t>The Global Soil Mycobiome consortium dataset for boosting fungal diversity research</t>
  </si>
  <si>
    <t>FUNGAL DIVERSITY</t>
  </si>
  <si>
    <t>Soil fungi; Global dataset; PacBio sequencing; Fungal richness</t>
  </si>
  <si>
    <t>IDENTIFICATION</t>
  </si>
  <si>
    <t>Fungi are highly important biotic components of terrestrial ecosystems, but we still have a very limited understanding about their diversity and distribution. This data article releases a global soil fungal dataset of the Global Soil Mycobiome consortium (GSMc) to boost further research in fungal diversity, biogeography and macroecology. The dataset comprises 722,682 fungal operational taxonomic units (OTUs) derived from PacBio sequencing of full-length ITS and 18S-V9 variable regions from 3200 plots in 108 countries on all continents. The plots are supplied with geographical and edaphic metadata. The OTUs are taxonomically and functionally assigned to guilds and other functional groups. The entire dataset has been corrected by excluding chimeras, index-switch artefacts and potential contamination. The dataset is more inclusive in terms of geographical breadth and phylogenetic diversity of fungi than previously published data. The GSMc dataset is available over the PlutoF repository.</t>
  </si>
  <si>
    <t>[Tedersoo, Leho; Mikryukov, Vladimir; Anslan, Sten; Agan, Ahto; Gohar, Daniyal; Otsing, Eveli; Hiiesalu, Indrek; Hiiesalu, Inga; Zettur, Irma; Kupagme, John Y.; Poldmaa, Kadri; Runnel, Kadri; Hagh-Doust, Niloufar; Puusepp, Rasmus; Rahimlou, Saleh; Polme, Sergei; Koljalg, Urmas; Abarenkov, Kessy] Univ Tartu, Mycol &amp; Microbiol Ctr, Tartu, Estonia; [Mikryukov, Vladimir; Anslan, Sten; Hiiesalu, Indrek; Hiiesalu, Inga; Parn, Jaan; Sarapuu, Joosep; Poldmaa, Kadri; Runnel, Kadri; Hagh-Doust, Niloufar] Inst Ecol &amp; Earth Sci, Tartu, Estonia; [Bahram, Mohammad; Netherway, Tarquin; Roslin, Tomas] Swedish Univ Agr Sci, Dept Ecol, Uppsala, Sweden; [Khalid, Abdul Nasir] Univ Punjab, Dept Bot, Quaid E Azam Campus, Lahore, Pakistan; [Corrales, Adriana] Univ Rosario, Fac Ciencias Nat, Ctr Invest Microbiol &amp; Biotecnol UR CIMBIUR, Bogota, Colombia; [Vasco-Palacios, Aida-M] Univ Antioquia UdeA, Escuela Microbiol, Grp Microbiol Ambiental &amp; BioMicro, Medellin, Colombia; [Saitta, Alessandro] Univ Palermo, Dept Agr Food &amp; Forest Sci, Palermo, Italy; [Antonelli, Alexandre] Royal Bot Gardens, Surrey, England; [Rinaldi, Andrea C.] Univ Cagliari, Dept Biomed Sci, Cagliari, Italy; [Verbeken, Annemieke; De Crop, Eske] Univ Ghent, Dept Biol, Res Grp Mycol, Ghent, Belgium; [Sulistyo, Bobby P.] Indonesia Int Inst Life Sci, Dept Biomed, Jakarta, Indonesia; [Tamgnoue, Boris; Fovo, Joseph Djeugap] Univ Dschang, Fac Agron &amp; Agr Sci, Dept Plant Protect, Plant Pathol &amp; Agr Zool Res Unit, Dschang, Cameroon; [Furneaux, Brendan; Meidl, Peter] Uppsala Univ, Dept Ecol &amp; Genet, Uppsala, Sweden; [Ritter, Camila Duarte] Univ Duisburg Essen, Eukaryot Microbiol, Essen, Germany; [Nyamukondiwa, Casper] Botswana Int Univ Sci &amp; Technol, Dept Biol Sci &amp; Biotechnol, Palapye, Botswana; [Sharp, Cathy] Nat Hist Museum Zimbabwe, Bulawayo, Zimbabwe; [Marin, Cesar] Czech Acad Sci, Inst Bot, Pruhonice, Czech Republic; [Dai, D. Q.; Wijayawardene, Nalin] Qujing Normal Univ, Coll Biol Resource &amp; Food Engn, Ctr Yunnan Plateau Biol Resources Protect &amp; Utili, Qujing, Peoples R China; [Sharmah, Dipon] Pondicherry Univ, Dept Bot, Jawaharlal Nehru Rajkeeya Mahavidyalaya, Port Blair, India; [Biersma, Elisabeth Machteld; Newsham, Kevin K.] NERC, British Antarctic Survey, Cambridge, England; [Biersma, Elisabeth Machteld] Univ Copenhagen, Nat Hist Museum Denmark, Copenhagen, Denmark; [Cameron, Erin K.] St Marys Univ, Dept Environm Sci, Halifax, NS, Canada; [Davydov, Evgeny A.] Altai State Univ, Barnaul, Russia; [Albornoz, Felipe E.] CSIRO Land &amp; Water, Wembley, WA, Australia; [Brearley, Francis Q.] Manchester Metropolitan Univ, Dept Nat Sci, Manchester, Lancs, England; [Buegger, Franz; Pritsch, Karin] Helmholtz Zentrum Munchen, Deutsch Forschungszentrum Gesundheit &amp; Umwelt, Inst Biochem Plant Pathol, Neuherberg, Germany; [Gates, Genevieve] Tasmanian Inst Agr, Hobart, Tas, Australia; [Zahn, Geoffrey] Utah Valley Univ, Biol Dept, Orem, UT USA; [Bonito, Gregory] Michigan State Univ, Plant Soil &amp; Microbial Sci, E Lansing, MI 48824 USA; [Barrio, Isabel C.] Agr Univ Iceland, Fac Environm &amp; Forest Sci, Reykjavik, Iceland; [Heilmann-Clausen, Jacob] Univ Copenhagen, GLOBE Inst, Ctr Macroecol Evolut &amp; Climate, Copenhagen, Denmark; [Ankuda, Jelena; Armolaitis, Kestutis] Lithuanian Res Ctr Agr &amp; Forestry LAMMC, Inst Forestry, Dept Ecol, Kaunas Distr, Lithuania; [Macia-Vicente, Jose G.] Wageningen Univ &amp; Res, Plant Ecol &amp; Nat Conservat, Wageningen, Netherlands; [Geml, Jozsef] Eszterhazy Karoly Univ, Lendulet Environm Microbiome Res Grp, Eger, Hungary; [Alatalo, Juha M.; Ahmed, Talaat] Qatar Univ, Environm Sci Ctr, Doha, Qatar; [Alvarez-Manjarrez, Julieta] Univ Nacl Autonoma Mexico, Inst Geol, Mexico City, DF, Mexico; [Monkai, Jutamart; Hyde, Kevin D.; Yasanthika, W. A. Erandi] Mae Fah Luang Univ, Ctr Excellence Fungal Res, Chiang Rai, Thailand; [Adamson, Kalev; Drenkhan, Rein] Estonian Univ Life Sci, Inst Forestry &amp; Rural Engn, Tartu, Estonia; [Brathen, Kari A.; Tuomi, Maria] UiT Arctic Univ Norway, Dept Arctic &amp; Marine Biol, Tromso, Norway; [Tchan, Kassim, I] Univ Parakou, Fac Agron, Res Unit Trop Mycol &amp; Plant Soil Fungi Interact, Parakou, Benin; [Panksep, Kristel] Estonian Univ Life Sci, Chair Hydrobiol &amp; Fishery, Tartu, Estonia; [Adebola, Lateef A.] Univ Ilorin, Dept Plant Biol, Ilorin, Nigeria; [Lamit, Louis J.] Syracuse Univ, Dept Biol, Syracuse, NY 13244 USA; [Lamit, Louis J.] SUNY Coll Environm Sci &amp; Forestry, Dept Environm &amp; Forest Biol, Syracuse, NY 13210 USA; [Saba, Malka] Quaid I Azam Univ, Dept Plant Sci, Islamabad, Pakistan; [da Silva Caceres, Marcela E.] Univ Fed Sergipe, Dept Biociencias, Itabaiana, Sergipe, Brazil; [Gryzenhout, Marieka] Univ Free State, Fac Nat Sci, Dept Genet, Bloemfontein, South Africa; [Bauters, Marijn] Univ Ghent, Dept Environm, Ghent, Belgium; [Balint, Miklos] LOEWE Ctr Translat Biodivers Genom, Frankfurt, Germany; [Yorou, Nourou S.] Univ Parakou, Fac Agron, Parakou, Benin; [Kurina, Olavi] Estonian Univ Life Sci, Inst Agr &amp; Environm Sci, Tartu, Estonia; [Mortimer, Peter E.] Chinese Acad Sci, Kunming Inst Bot, CAS Key Lab Plant Divers &amp; Biogeog East Asia, Kunming, Yunnan, Peoples R China; [Nilsson, R. Henrik] Univ Gothenburg, Gothenburg Global Biodivers Ctr, Dept Biol &amp; Environm Sci, Gothenburg, Sweden; [Casique-Valdes, Rebeca] Univ Autonoma Coahuila, Inst Ciencias &amp; Humanidades Lic Salvador Gonzalez, Saltillo, Coahuila, Mexico; [Garibay-Orijel, Roberto] Univ Nacl Autonoma Mexico, Inst Biol, Mexico City, DF, Mexico; [Godoy, Roberto] Univ Austral Chile, Inst Ciencias Ambientales &amp; Evolut, Valdivia, Chile; [Alfarraj, Saleh] King Saud Univ, Coll Sci, Zool Dept, Riyadh, Saudi Arabia; [Dudov, Sergey, V; Fedosov, Vladimir E.; Onipchenko, Vladimir G.] Lomonosov Moscow State Univ, Dept Ecol &amp; Plant Geog, Moscow, Russia; [Mundra, Sunil] United Arab Emirates Univ, Coll Sci, Dept Biol, Abu Dhabi, U Arab Emirates; [Henkel, Terry W.] Humboldt State Univ, Dept Biol Sci, Arcata, CA 95521 USA; [Fedosov, Vladimir E.] Bot Garden Inst FEB RAS, Vladivostok, Russia; [Lim, Young Woon] Seoul Natl Univ, Sch Biol Sci, Seoul, South Korea; [Lim, Young Woon] Seoul Natl Univ, Inst Microbiol, Seoul, South Korea; [Piepenbring, Meike] Goethe Univ Frankfurt Main, Mycol Working Grp, Frankfurt, Germany; [Klavina, Darta] Latvian State Forest Res Inst Silava, Salaspils, Latvia; [Koljalg, Urmas; Abarenkov, Kessy] Univ Tartu, Nat Hist Museum, Tartu, Estonia</t>
  </si>
  <si>
    <t>University of Tartu; University of Tartu; Tartu University Institute of Ecology &amp; Earth Sciences; Swedish University of Agricultural Sciences; University of Punjab; Universidad del Rosario; Universidad de Antioquia; University of Palermo; Royal Botanic Gardens, Kew; University of Cagliari; Ghent University; Indonesia International Institute for Life-Sciences (i3L); Universite de Dschang; Uppsala University; University of Duisburg Essen; Czech Academy of Sciences; Institute of Botany of the Czech Academy of Sciences; Qujing Normal University; Pondicherry University; UK Research &amp; Innovation (UKRI); Natural Environment Research Council (NERC); NERC British Antarctic Survey; University of Copenhagen; Saint Marys University - Canada; Altai State University; Commonwealth Scientific &amp; Industrial Research Organisation (CSIRO); Manchester Metropolitan University; Helmholtz Association; Helmholtz-Center Munich - German Research Center for Environmental Health; University of Tasmania; Utah System of Higher Education; Utah Valley University; Michigan State University; University of Copenhagen; Wageningen University &amp; Research; Eszterhazy Karoly Catholic University; Qatar University; Universidad Nacional Autonoma de Mexico; Mae Fah Luang University; Estonian University of Life Sciences; UiT The Arctic University of Tromso; University of Parakou; Estonian University of Life Sciences; University of Ilorin; Syracuse University; State University of New York (SUNY) System; State University of New York (SUNY) College of Environmental Science &amp; Forestry; Quaid I Azam University; Universidade Federal de Sergipe; University of the Free State; Ghent University; University of Parakou; Estonian University of Life Sciences; Chinese Academy of Sciences; Kunming Institute of Botany, CAS; University of Gothenburg; Universidad Autonoma de Coahuila; Universidad Nacional Autonoma de Mexico; Universidad Austral de Chile; King Saud University; Lomonosov Moscow State University; United Arab Emirates University; California State University System; California State Polytechnic University, Humboldt; Russian Academy of Sciences; Botanical Garden Institute of the Far Eastern Branch of the Russian Academy of Sciences; Seoul National University (SNU); Seoul National University (SNU); Goethe University Frankfurt; Latvian State Forest Research Institute Silava; University of Tartu</t>
  </si>
  <si>
    <t>Tedersoo, L (corresponding author), Univ Tartu, Mycol &amp; Microbiol Ctr, Tartu, Estonia.</t>
  </si>
  <si>
    <t>leho.tedersoo@ut.ee</t>
  </si>
  <si>
    <t>Tedersoo, Leho/H-3541-2012; Bråthen, Kari Anne/AAN-4666-2020; Panksep, Kristel/H-3360-2016; Hyde, Kevin/F-7890-2010; Barrio, Isabel C/F-8566-2010; Antonelli, Alexandre/A-5353-2011; Davydov, Evgeny/K-4521-2013; Alfarraj, Saleh/AHE-7705-2022; Põldmaa, Kadri/AAB-8631-2019; Bahram, Mohammad/A-9766-2010; Hiiesalu, Inga/A-9313-2015; Biersma, Elisabeth Machteld/JKI-1084-2023; Yasanthika, Erandi/ADW-1754-2022; Onipchenko, Vladimir G./V-4244-2018; Gohar, Daniyal/AAJ-2843-2021; Fedosov, Vladimir E./P-7066-2014; Zahn, Geoffrey/JFJ-2722-2023; Hagh Doust, Niloufar/HPG-4669-2023; Gryzenhout, Marieka/C-5165-2008; Khalid, Abdul Nasir/AAD-9325-2020; Adamson, Kalev/H-3366-2016; Mikryukov, Vladimir/A-8369-2011; Duarte Ritter, CAMILA/AFR-8742-2022; Hagh Doust, Niloufar/IZP-7786-2023; Macia-Vicente, Jose Gaspar/I-5665-2019; Kurina, Olavi/A-8106-2013; Caceres, Marcela E S/H-7039-2012; Geml, Jozsef/C-2223-2018; Pärn, Jaan/H-2638-2012; Nilsson, R. Henrik/A-6062-2009; Panksep, Kristel/AAC-8130-2019; Anslan, Sten/AIC-0235-2022; Panksep, Kristel/G-1677-2017; YOROU, NOUROU SOULEMANE/AAE-2754-2022; Alvarez-Manjarrez, Julieta/KFB-6974-2024; Monkai, Jutamart/ADB-8760-2022; Vasco, Aida/HJI-8776-2023; Abarenkov, Kessy/H-9611-2015; Rinaldi, Andrea/N-1007-2019; Biersma, Elisabeth Machteld/AAL-9818-2020; Marín, César/B-3596-2018; garibay orijel, roberto/F-9360-2013; Mundra, Sunil/H-8642-2016; Roslin, Tomas/E-8648-2016; Alatalo, Juha/C-1269-2018</t>
  </si>
  <si>
    <t>Bråthen, Kari Anne/0000-0003-0942-1074; Panksep, Kristel/0000-0003-4743-6111; Barrio, Isabel C/0000-0002-8120-5248; Antonelli, Alexandre/0000-0003-1842-9297; Davydov, Evgeny/0000-0002-2316-8506; Bahram, Mohammad/0000-0002-9539-3307; Gohar, Daniyal/0000-0003-0312-1142; Zahn, Geoffrey/0000-0002-8691-692X; Hagh Doust, Niloufar/0000-0003-0616-5829; Khalid, Abdul Nasir/0000-0002-5635-8031; Adamson, Kalev/0000-0002-8810-8838; Mikryukov, Vladimir/0000-0003-2786-2690; Duarte Ritter, CAMILA/0000-0002-3371-7425; Hagh Doust, Niloufar/0000-0003-0616-5829; Macia-Vicente, Jose Gaspar/0000-0002-7174-7270; Geml, Jozsef/0000-0001-8745-0423; Nilsson, R. Henrik/0000-0002-8052-0107; Panksep, Kristel/0000-0003-4743-6111; YOROU, NOUROU SOULEMANE/0000-0001-6997-811X; Alvarez-Manjarrez, Julieta/0000-0002-5581-7443; Rinaldi, Andrea/0000-0002-9352-1037; Biersma, Elisabeth Machteld/0000-0002-9877-2177; Marín, César/0000-0002-2529-8929; Otsing, Eveli/0000-0001-7416-257X; Vasco-Palacios, Aida/0000-0003-0539-9711; garibay orijel, roberto/0000-0002-6977-7550; Mundra, Sunil/0000-0002-0535-118X; Armolaitis, Kestutis/0000-0001-8295-2440; Ankuda, Jelena/0000-0002-9446-7802; Netherway, Tarquin/0000-0002-9049-9225; Koljalg, Urmas/0000-0002-5171-1668; Gryzenhout, Marieka/0000-0002-9224-4277; Monkai, Jutamart/0000-0001-6043-0625; Roslin, Tomas/0000-0002-2957-4791; Alatalo, Juha/0000-0001-5084-850X; Sulistyo, Bobby/0000-0002-5203-4822; Furneaux, Brendan/0000-0003-3522-7363; Rahimlou, Saleh/0000-0003-0427-1329; Albornoz, Felipe/0000-0001-9526-0945</t>
  </si>
  <si>
    <t>Estonian Science Foundation [PRG632, PSG136, MOBTP198, PUT1170]; Norway-Baltic EEA financial mechanism [EMP442]; Novo Nordisk Fonden (Silva Nova); RSF [19-14-00038]; DSFP-2021; NERC [bas0100036] Funding Source: UKRI</t>
  </si>
  <si>
    <t>Estonian Science Foundation; Norway-Baltic EEA financial mechanism; Novo Nordisk Fonden (Silva Nova); RSF(Russian Science Foundation (RSF)); DSFP-2021; NERC(UK Research &amp; Innovation (UKRI)Natural Environment Research Council (NERC))</t>
  </si>
  <si>
    <t>The bulk of this work was supported by the Estonian Science Foundation (Grant Nos. PRG632, PSG136, MOBTP198, PUT1170), Norway-Baltic EEA financial mechanism (Grant No. EMP442), RSF19-14-00038, DSFP-2021 and Novo Nordisk Fonden (Silva Nova).</t>
  </si>
  <si>
    <t>1560-2745</t>
  </si>
  <si>
    <t>1878-9129</t>
  </si>
  <si>
    <t>FUNGAL DIVERS</t>
  </si>
  <si>
    <t>Fungal Divers.</t>
  </si>
  <si>
    <t>NOV</t>
  </si>
  <si>
    <t>10.1007/s13225-021-00493-7</t>
  </si>
  <si>
    <t>Mycology</t>
  </si>
  <si>
    <t>XU8HQ</t>
  </si>
  <si>
    <t>Green Accepted</t>
  </si>
  <si>
    <t>WOS:000723974500001</t>
  </si>
  <si>
    <t>Zwier, M; van der Bilt, WGM; de Stigter, H; Bjune, AE</t>
  </si>
  <si>
    <t>Zwier, Maaike; van der Bilt, Willem G. M.; de Stigter, Henko; Bjune, Anne E.</t>
  </si>
  <si>
    <t>Pollen evidence of variations in Holocene climate and Southern Hemisphere Westerly Wind strength on sub-Antarctic South Georgia</t>
  </si>
  <si>
    <t>HOLOCENE</t>
  </si>
  <si>
    <t>Holocene; long-distance pollen transport; palaeoclimate; palynology; Southern Hemisphere Westerlies; Southern Ocean</t>
  </si>
  <si>
    <t>GLACIER FLUCTUATIONS; ENVIRONMENTAL-CHANGE; ATMOSPHERIC CO2; EXOTIC POLLEN; SW PATAGONIA; RECORD; PENINSULA; HISTORY; ISLAND; OCEAN</t>
  </si>
  <si>
    <t>The Southern Hemisphere Westerlies (SHW) play a major role in the global climate system. The winds drive ocean circulation and affect the Southern Oceans' ability to take up atmospheric CO2. Recently, the SHW core belt has strengthened and shifted south, but there is an insufficient understanding of its long-term behaviour. Palaeoclimatic records are key for capturing long-term variability through the SHW's effect on surface temperature and moisture availability. However, terrestrial records are sparse in the Southern Hemisphere. We use a palynological record from Lake Diamond on sub-Antarctic South Georgia to provide reconstructions of vegetation and climate for the last similar to 10,000 years. Influx of long-distance transported pollen is used as a measure of surface wind strength. Changes in relative pollen abundance of native taxa occupying either upland (cold) or lowland (warm) environments indicate local climatic variability. On South Georgia, we find long-distance transported pollen from South American taxa, mainly Nothofagus and Ephedra. They show a general increase in abundance throughout the Holocene, with peak influxes between 5700-5400, 2800-1500 and 1000-500 cal yr BP. These intervals coincide with colder periods inferred from the palynological record, suggesting that SHW variation and temperature on South Georgia are highly connected. Agreement with palaeoecological records from eastern Patagonia show that climatic changes have been regionally consistent. The record from Lake Diamond further illustrates the importance of remote islands in contributing to a deeper understanding of atmospheric circulation and climatic variability in the sub-Antarctic.</t>
  </si>
  <si>
    <t>[Zwier, Maaike; Bjune, Anne E.] Univ Bergen, Dept Biol Sci, Thormohlensgate 53A, N-5006 Bergen, Norway; [Zwier, Maaike; van der Bilt, Willem G. M.; Bjune, Anne E.] Univ Bergen, Bjerknes Ctr Climate Res, Thormohlensgate 53A, N-5006 Bergen, Norway; [van der Bilt, Willem G. M.] Univ Bergen, Dept Earth Sci, Bergen, Norway; [de Stigter, Henko] NIOZ Royal Netherlands Inst Sea Res, Yerseke, Netherlands</t>
  </si>
  <si>
    <t>University of Bergen; University of Bergen; Bjerknes Centre for Climate Research; University of Bergen; Utrecht University; Royal Netherlands Institute for Sea Research (NIOZ)</t>
  </si>
  <si>
    <t>Zwier, M (corresponding author), Univ Bergen, Dept Biol Sci, Thormohlensgate 53A, N-5006 Bergen, Norway.;Zwier, M (corresponding author), Univ Bergen, Bjerknes Ctr Climate Res, Thormohlensgate 53A, N-5006 Bergen, Norway.</t>
  </si>
  <si>
    <t>maaike.zwier@uib.no</t>
  </si>
  <si>
    <t>; de Stigter, Hendrik Corstiaan/ABC-8757-2021</t>
  </si>
  <si>
    <t>van der Bilt, Willem/0000-0003-3157-451X; Zwier, Maaike/0000-0001-7029-7266; de Stigter, Hendrik Corstiaan/0000-0002-4878-6546</t>
  </si>
  <si>
    <t>Norwegian Research Council (NFR) [210004]; L. Meltzers Hoyskolefond; Olaf Grolle Olsens legat til Universitetet i Bergen med tilforsel av arv etter Miranda Bodtker</t>
  </si>
  <si>
    <t>Norwegian Research Council (NFR)(Research Council of Norway); L. Meltzers Hoyskolefond; Olaf Grolle Olsens legat til Universitetet i Bergen med tilforsel av arv etter Miranda Bodtker</t>
  </si>
  <si>
    <t>The author(s) disclosed receipt of the following financial support for the research, authorship, and/or publication of this article: The SHIFTS project was funded by the Norwegian Research Council (NFR grant nr. 210004). Fieldwork was supported by funding to AEB from L. Meltzers Hoyskolefond in 2011 and MZ was supported by the Olaf Grolle Olsens legat til Universitetet i Bergen med tilforsel av arv etter Miranda Bodtker.</t>
  </si>
  <si>
    <t>SAGE PUBLICATIONS LTD</t>
  </si>
  <si>
    <t>LONDON</t>
  </si>
  <si>
    <t>1 OLIVERS YARD, 55 CITY ROAD, LONDON EC1Y 1SP, ENGLAND</t>
  </si>
  <si>
    <t>0959-6836</t>
  </si>
  <si>
    <t>1477-0911</t>
  </si>
  <si>
    <t>Holocene</t>
  </si>
  <si>
    <t>MAR</t>
  </si>
  <si>
    <t>10.1177/09596836211060495</t>
  </si>
  <si>
    <t>Geography, Physical; Geosciences, Multidisciplinary</t>
  </si>
  <si>
    <t>Physical Geography; Geology</t>
  </si>
  <si>
    <t>ZD6RB</t>
  </si>
  <si>
    <t>Green Published</t>
  </si>
  <si>
    <t>WOS:000726604600001</t>
  </si>
  <si>
    <t>Dobrica, E; Ohtaki, KK; Engrand, C</t>
  </si>
  <si>
    <t>Dobrica, E.; Ohtaki, K. K.; Engrand, C.</t>
  </si>
  <si>
    <t>Dolomites in hydrated fine-grained Antarctic micrometeorites: Effective tools for analyzing secondary processes</t>
  </si>
  <si>
    <t>GEOCHIMICA ET COSMOCHIMICA ACTA</t>
  </si>
  <si>
    <t>Carbonates; Micrometeorite; Transmission electron microscope; Shock metamorphism; Asteroid</t>
  </si>
  <si>
    <t>INTERPLANETARY DUST PARTICLES; TRANSMISSION ELECTRON-MICROSCOPY; PARENT BODY; CARBONACEOUS CHONDRITES; SHOCK METAMORPHISM; AQUEOUS ALTERATION; CM CHONDRITES; CI CHONDRITES; TAGISH LAKE; RICH MICROMETEORITES</t>
  </si>
  <si>
    <t>We report detailed transmission electron microscope (TEM) observations of carbonates from one hydrated fine-grained Antarctic micrometeorite (H-FgMM). These carbonates show the occurrence of complex chemical variations and microstructures that provide important evidence regarding the formation and evolution of rarely analyzed H-FgMMs. The chemical variations were identified at both micrometer and nanometer scales, indicating that these carbonates formed under localized fluid conditions that suggest a variable chemical microenvironment. Individual carbonates grew from isolated reservoirs of fluid. Moreover, these carbonates contain manganese amounts almost twice as high as those measured in CM chondrites but similar to those identified in CI chondrites. Their particular compositions indicate reducing and progressively evolving conditions in the fluid from which these carbonates precipitated, probably due to water consumption during phyllosilicates formation. In addition to the compositional variability, microstructural features are pervasive in these carbonates, similar to those described in heavily shocked meteorites indicating that these carbonates were probably modified during shock processes after their formation. Since carbonates are highly susceptible to shock metamorphism, we suggest that it is essential to investigate their structure in detail before interpreting the isotopic measurements related to the time of their formation. Additionally, associated with carbonates, ubiquitous phosphates were identified in the micrometeorite analyzed. Future studies of these mineral associations will provide us further insight into the formation and evolution of asteroids, especially since they were both identified in the surface materials of Ryugu and Bennu. (c) 2021 Elsevier Ltd. All rights reserved.</t>
  </si>
  <si>
    <t>[Dobrica, E.; Ohtaki, K. K.] Univ Hawaii Manoa, Sch Ocean Earth Sci &amp; Technol, Hawaii Inst Geophys &amp; Planetol, Honolulu, HI 96822 USA; [Engrand, C.] Univ Paris Saclay, IJCLab, CNRS IN2P3, Orsay Campus, F-91405 Orsay, France</t>
  </si>
  <si>
    <t>University of Hawaii System; University of Hawaii Manoa; Universite Paris Saclay; Universite Paris Cite; Centre National de la Recherche Scientifique (CNRS); CNRS - National Institute of Nuclear and Particle Physics (IN2P3)</t>
  </si>
  <si>
    <t>Dobrica, E (corresponding author), Univ Hawaii Manoa, Sch Ocean Earth Sci &amp; Technol, Hawaii Inst Geophys &amp; Planetol, Honolulu, HI 96822 USA.</t>
  </si>
  <si>
    <t>dobrica@hawaii.edu</t>
  </si>
  <si>
    <t>ANR [COMETOR 18-CE31-0011]; Region Ile de France (DIM-ACAV); PNP; CNES; IN2P3; Labex P2IO in France; Office of Science, Basic Energy Sciences; U.S. Department of Energy; NASA [NNH16ZDA001N]</t>
  </si>
  <si>
    <t>ANR(Agence Nationale de la Recherche (ANR)); Region Ile de France (DIM-ACAV)(Region Ile-de-France); PNP; CNES(Centre National D'etudes Spatiales); IN2P3; Labex P2IO in France; Office of Science, Basic Energy Sciences(United States Department of Energy (DOE)); U.S. Department of Energy(United States Department of Energy (DOE)); NASA(National Aeronautics &amp; Space Administration (NASA))</t>
  </si>
  <si>
    <t>We thank the associate editor, Dr. E. Quirico, and our review-ers, Dr. M. Genge and two anonymous reviewers, for their insight-ful and constructive comments that helped to improve this manuscript. The Antarctic Micrometeorite collection at Dome C benefits from the logistical help from IPEV and PNRA. This work was supported by ANR (Project COMETOR 18-CE31-0011) , Region Ile de France (DIM-ACAV) , PNP, CNES, IN2P3 and Labex P2IO in France. We would also like to thank Dr. John Brad-ley for many helpful comments and discussions. Electron micro-scopy was performed in the Advanced Electron Microscopy Center (AEMC) at the University of Hawai'i at Ma?noa and the Molecular Foundry. Work at the Molecular Foundry was sup-ported by the Office of Science, Basic Energy Sciences and U.S. Department of Energy. This work was funded by NASA grant NNH16ZDA001N to E. Dobrica (PI) . This is Hawaii Institute of Geophysics and Planetology publication No. HIGP 2452 and School of Ocean and Earth Science and Technology publication No. SOEST 11434.</t>
  </si>
  <si>
    <t>0016-7037</t>
  </si>
  <si>
    <t>1872-9533</t>
  </si>
  <si>
    <t>GEOCHIM COSMOCHIM AC</t>
  </si>
  <si>
    <t>Geochim. Cosmochim. Acta</t>
  </si>
  <si>
    <t>JAN 15</t>
  </si>
  <si>
    <t>10.1016/j.gca.2021.11.018</t>
  </si>
  <si>
    <t>Geochemistry &amp; Geophysics</t>
  </si>
  <si>
    <t>YI8UQ</t>
  </si>
  <si>
    <t>Green Submitted, hybrid</t>
  </si>
  <si>
    <t>WOS:000744118300008</t>
  </si>
  <si>
    <t>Claustre, H; Legendre, L; Boyd, PW; Levy, M</t>
  </si>
  <si>
    <t>Claustre, Herve; Legendre, Louis; Boyd, Philip W.; Levy, Marina</t>
  </si>
  <si>
    <t>The Oceans' Biological Carbon Pumps: Framework for a Research Observational Community Approach</t>
  </si>
  <si>
    <t>FRONTIERS IN MARINE SCIENCE</t>
  </si>
  <si>
    <t>Review</t>
  </si>
  <si>
    <t>biological carbon pumps; robotic observations; integrated observations; ships; satellites; floats; gliders; moorings</t>
  </si>
  <si>
    <t>PARTICULATE ORGANIC-CARBON; HIGH-RESOLUTION OBSERVATIONS; EDDY-DRIVEN SUBDUCTION; SOUTHERN-OCEAN; MIXED-LAYER; PHYTOPLANKTON COMMUNITY; PARTICLE-SIZE; BIOOPTICAL PROPERTIES; VERTICAL MIGRATION; ATLANTIC-OCEAN</t>
  </si>
  <si>
    <t>A recent paradigm explains that the downward pumping of biogenic carbon in the ocean is performed by the combined action of six different biological carbon pumps (BCPs): the biological gravitational pump, the physically driven pumps (Mixed Layer Pump, Eddy Subduction Pump and Large-scale Subduction Pump), and the animal-driven pumps (diurnal and seasonal vertical migrations of zooplankton and larger animals). Here, we propose a research community approach to implement the new paradigm through the integrated study of these BCPs in the World Ocean. The framework to investigate the BCPs combines measurements from different observational platforms, i.e., oceanographic ships, satellites, moorings, and robots (gliders, floats, and robotic surface vehicles such as wavegliders and saildrones). We describe the following aspects of the proposed research framework: variables and processes to be measured in both the euphotic and twilight zones for the different BCPs; spatial and temporal scales of occurrence of the various BCPs; selection of key regions for integrated studies of the BCPs; multi-platform observational strategies; and upscaling of results from regional observations to the global ocean using deterministic models combined with data assimilation and machine learning to make the most of the wealth of unique measurements. The proposed approach has the potential not only to bring together a large multidisciplinary community of researchers, but also to usher the community toward a new era of discoveries in ocean sciences.</t>
  </si>
  <si>
    <t>[Claustre, Herve; Legendre, Louis] Sorbonne Univ, CNRS, Lab Oceanog Villefranche LOV, Villefranche Sur Mer, France; [Boyd, Philip W.] Univ Tasmania, Inst Marine &amp; Antarctic Studies, Hobart, Tas, Australia; [Levy, Marina] Sorbonne Univ, LOCEAN, IPSL, CNRS,IRD,MNHN, Paris, France</t>
  </si>
  <si>
    <t>Centre National de la Recherche Scientifique (CNRS); Sorbonne Universite; University of Tasmania; Centre National de la Recherche Scientifique (CNRS); Universite Paris Cite; Sorbonne Universite; Institut de Recherche pour le Developpement (IRD); Museum National d'Histoire Naturelle (MNHN)</t>
  </si>
  <si>
    <t>Claustre, H (corresponding author), Sorbonne Univ, CNRS, Lab Oceanog Villefranche LOV, Villefranche Sur Mer, France.</t>
  </si>
  <si>
    <t>herve.claustre@imev-mer.fr</t>
  </si>
  <si>
    <t>Boyd, Philip W/J-7624-2014; CLAUSTRE, Herve/E-6877-2011; Claustre, Herve/JPL-2367-2023; Levy, Marina/A-1315-2012</t>
  </si>
  <si>
    <t>CLAUSTRE, Herve/0000-0001-6243-0258; Levy, Marina/0000-0003-2961-608X</t>
  </si>
  <si>
    <t>FRONTIERS MEDIA SA</t>
  </si>
  <si>
    <t>LAUSANNE</t>
  </si>
  <si>
    <t>AVENUE DU TRIBUNAL FEDERAL 34, LAUSANNE, CH-1015, SWITZERLAND</t>
  </si>
  <si>
    <t>2296-7745</t>
  </si>
  <si>
    <t>FRONT MAR SCI</t>
  </si>
  <si>
    <t>Front. Mar. Sci.</t>
  </si>
  <si>
    <t>NOV 29</t>
  </si>
  <si>
    <t>10.3389/fmars.2021.780052</t>
  </si>
  <si>
    <t>Environmental Sciences; Marine &amp; Freshwater Biology</t>
  </si>
  <si>
    <t>Environmental Sciences &amp; Ecology; Marine &amp; Freshwater Biology</t>
  </si>
  <si>
    <t>YI3XF</t>
  </si>
  <si>
    <t>Green Published, gold</t>
  </si>
  <si>
    <t>WOS:000743783700001</t>
  </si>
  <si>
    <t>Dodino, S; Riccialdelli, L; Polito, MJ; Pütz, K; Brasso, RL; Rey, AR</t>
  </si>
  <si>
    <t>Dodino, Samanta; Riccialdelli, Luciana; Polito, Michael J.; Puetz, Klemens; Brasso, Rebecka L.; Raya Rey, Andrea</t>
  </si>
  <si>
    <t>Mercury exposure driven by geographic and trophic factors in Magellanic penguins from Tierra del Fuego</t>
  </si>
  <si>
    <t>MARINE POLLUTION BULLETIN</t>
  </si>
  <si>
    <t>Seabirds; Mercury; Trophic niche; Contamination niche; Austral Ocean</t>
  </si>
  <si>
    <t>STABLE-ISOTOPE ANALYSIS; SPHENISCUS-MAGELLANICUS; FEATHERS; OCEAN; NICHE; CONTAMINATION; DIET; AGE; BIOACCUMULATION; BIOINDICATORS</t>
  </si>
  <si>
    <t>Penguins accumulate mercury due to their long-life span together with their high trophic position. We sampled adult and juveniles' feathers from three colonies of Spheniscus magellanicus from Tierra del Fuego along an inshore-offshore corridor. We integrated toxicological information (mercury concentrations) and foraging biomarkers (813C, 815N) into a common data analysis framework (isotopic niche analysis) to evaluate the influence of age, location, and foraging behaviors on mercury concentrations. Adults had higher feather mercury concentrations, 813C, and 815N values compared to juveniles. Also, adult and juvenile feather mercury concentrations differed between colonies, with lower mercury concentrations at the nearest inshore colony relative to the farther offshore colonies. Trophic position and the isotopic niche analyses suggest that this geographic gradient in mercury concentrations is due to differences in colonies' foraging areas. Understanding penguins' exposure to mercury derived from local food webs is a crucial first step in evaluating the impacts of this heavy metal on their conservation status.</t>
  </si>
  <si>
    <t>[Dodino, Samanta; Riccialdelli, Luciana; Raya Rey, Andrea] Consejo Nacl Invest Cient &amp; Tecn, Ctr Austral Invest Cient, Ecol &amp; Conservac Vida Silvestre, Ushuaia, Tierra Fuego, Argentina; [Polito, Michael J.] Louisiana State Univ, Dept Oceanog &amp; Coastal Sci, Baton Rouge, LA 70803 USA; [Puetz, Klemens] Antarctic Res Trust, Bremervorde, Germany; [Brasso, Rebecka L.] Weber State Univ, Ogden, UT 84408 USA; [Raya Rey, Andrea] Univ Nacl Tierra Fuego, Inst Ciencias Polares Ambiente &amp; Recursos Nat, Ushuaia, Argentina; [Raya Rey, Andrea] Wildlife Conservat Soc, Buenos Aires, DF, Argentina</t>
  </si>
  <si>
    <t>Consejo Nacional de Investigaciones Cientificas y Tecnicas (CONICET); Louisiana State University System; Louisiana State University; Utah System of Higher Education; Weber State University</t>
  </si>
  <si>
    <t>Dodino, S (corresponding author), Consejo Nacl Invest Cient &amp; Tecn, Ctr Austral Invest Cient, Ecol &amp; Conservac Vida Silvestre, Ushuaia, Tierra Fuego, Argentina.</t>
  </si>
  <si>
    <t>s.dodino@conicet.gov.ar</t>
  </si>
  <si>
    <t>Brasso, Rebecka L/I-7014-2013; Polito, Michael/G-9118-2012; Dodino, Samanta/HHS-1916-2022</t>
  </si>
  <si>
    <t>Polito, Michael/0000-0001-8639-4431; Dodino, Samanta/0000-0002-5091-6063</t>
  </si>
  <si>
    <t>Agencia Nacional de Promocion Cientifica y Tecnologica [PICT 2012-1832, PICT 2014-1870]; Wildlife Conservation Society; Consejo Nacional de Investigaciones Cientificas y Tecnicas (CONICET); Antarctic Research Trust; CONICET</t>
  </si>
  <si>
    <t>Agencia Nacional de Promocion Cientifica y Tecnologica(ANPCyTSpanish Government); Wildlife Conservation Society; Consejo Nacional de Investigaciones Cientificas y Tecnicas (CONICET)(Consejo Nacional de Investigaciones Cientificas y Tecnicas (CONICET)); Antarctic Research Trust; CONICET(Consejo Nacional de Investigaciones Cientificas y Tecnicas (CONICET))</t>
  </si>
  <si>
    <t>This study was financially supported by the Agencia Nacional de Promocion Cientifica y Tecnologica (PICT 2012-1832, PICT 2014-1870), Wildlife Conservation Society, Consejo Nacional de Investigaciones Cientificas y Tecnicas (CONICET), and the Antarctic Research Trust. We would like to thank Ulises Balza and Nicolas A. Lois for technical help with stable isotope analysis and samples collection. We acknowledge Andres and Alejandro Greco from Piratur SA for transportation to Martillo Island; and the Centro Austral de Investigaciones Cientificas (CADIC), Museo Acatushun de Aves y Mamiferos Marinos Australes, and Ea. Harberton, which provided logistical support. Research by S.D. was carried out under a PhD fellowship from CONICET.</t>
  </si>
  <si>
    <t>0025-326X</t>
  </si>
  <si>
    <t>1879-3363</t>
  </si>
  <si>
    <t>MAR POLLUT BULL</t>
  </si>
  <si>
    <t>Mar. Pollut. Bull.</t>
  </si>
  <si>
    <t>JAN</t>
  </si>
  <si>
    <t>10.1016/j.marpolbul.2021.113184</t>
  </si>
  <si>
    <t>XY9CG</t>
  </si>
  <si>
    <t>Green Submitted</t>
  </si>
  <si>
    <t>WOS:000737260800011</t>
  </si>
  <si>
    <t>Zhao, Y; Sun, CX; Huang, LY; Zhang, X; Zhang, GJ; Che, Q; Li, DH; Zhu, TJ</t>
  </si>
  <si>
    <t>Zhao, Yi; Sun, Chunxiao; Huang, Luyao; Zhang, Xiao; Zhang, Guojian; Che, Qian; Li, Dehai; Zhu, Tianjiao</t>
  </si>
  <si>
    <t>Talarodrides A-F, Nonadrides from the Antarctic Sponge-Derived Fungus Talaromyces sp. HDN1820200</t>
  </si>
  <si>
    <t>JOURNAL OF NATURAL PRODUCTS</t>
  </si>
  <si>
    <t>Article; Early Access</t>
  </si>
  <si>
    <t>ABSOLUTE-CONFIGURATION; BIOSYNTHESIS; CP-225,917; PROLIFERATION; METABOLITES; CP-263,114; TOXICITY; ASSAY</t>
  </si>
  <si>
    <t>Six new nonadride derivatives, named talarodrides A-F (1-6), were isolated from the Antarctic sponge-derived fungus Talaromyces sp. HDN1820200. All structures including the absolute configurations were deduced by extensive spectroscopic analysis and computational ECD calculations. Compounds 1-4 share a rare caged bicyclo[4.3.1]-deca-1,6-diene with a bridgehead olefin and maleic anhydride core skeleton, while compounds S and 6 possess the first case of a naturally occurring 5/7/6 methanocyclonona[c]-furan skeleton. Talarodride A (1) and talarodride B (2) showed selective inhibitory effects against Proteus mirabilis and Vibrio parahemolyticus with MICs of 3.13-12.5 mu M.</t>
  </si>
  <si>
    <t>[Zhao, Yi; Sun, Chunxiao; Huang, Luyao; Zhang, Xiao; Zhang, Guojian; Che, Qian; Li, Dehai; Zhu, Tianjiao] Ocean Univ China, Sch Med &amp; Pharm, Chinese Minist Educ, Key Lab Marine Drugs, Qingdao 266003, Peoples R China; [Zhang, Guojian; Li, Dehai] Qingdao Natl Lab Marine Sci &amp; Technol, Lab Marine Drugs &amp; Bioprol, Qingdao 266237, Peoples R China; [Li, Dehai] Pilot Natl Lab Marine Sci &amp; Technol, Open Studio Druggabil Res Marine Nat Prod, Qingdao 266237, Peoples R China</t>
  </si>
  <si>
    <t>Ocean University of China; Laoshan Laboratory; Laoshan Laboratory</t>
  </si>
  <si>
    <t>Li, DH; Zhu, TJ (corresponding author), Ocean Univ China, Sch Med &amp; Pharm, Chinese Minist Educ, Key Lab Marine Drugs, Qingdao 266003, Peoples R China.;Li, DH (corresponding author), Qingdao Natl Lab Marine Sci &amp; Technol, Lab Marine Drugs &amp; Bioprol, Qingdao 266237, Peoples R China.;Li, DH (corresponding author), Pilot Natl Lab Marine Sci &amp; Technol, Open Studio Druggabil Res Marine Nat Prod, Qingdao 266237, Peoples R China.</t>
  </si>
  <si>
    <t>dehaili@ouc.edu.cn; zhutj@ouc.edu.cn</t>
  </si>
  <si>
    <t>Li, Dehai/G-7656-2012</t>
  </si>
  <si>
    <t>Li, Dehai/0000-0002-7191-2002</t>
  </si>
  <si>
    <t>National Natural Science Foundation of China [41876216]; National Key R&amp;D Program of China [2018YFC1406705]; National Science and Technology Major Project for Significant New Drugs Development [2018ZX09735004]; Marine S&amp;T Fund of Shandong Province for Qingdao Pilot National Laboratory for Marine Science and Technology [2018SDKJ0401-2]; Major Basic Research Programs of Natural Science Foundation of Shandong Province [ZR2019ZD18]; Fundamental Research Funds for the Central Universities [201941001]; Taishan Scholar Youth Expert Program in Shandong Province [tsqn201812021]; Youth Innovation Plan of Shandong Province [2019KJM004]</t>
  </si>
  <si>
    <t>National Natural Science Foundation of China(National Natural Science Foundation of China (NSFC)); National Key R&amp;D Program of China; National Science and Technology Major Project for Significant New Drugs Development; Marine S&amp;T Fund of Shandong Province for Qingdao Pilot National Laboratory for Marine Science and Technology; Major Basic Research Programs of Natural Science Foundation of Shandong Province; Fundamental Research Funds for the Central Universities(Fundamental Research Funds for the Central Universities); Taishan Scholar Youth Expert Program in Shandong Province; Youth Innovation Plan of Shandong Province</t>
  </si>
  <si>
    <t>This work was financially supported by the National Natural Science Foundation of China (41876216), National Key R&amp;D Program of China (grant 2018YFC1406705), the National Science and Technology Major Project for Significant New Drugs Development (2018ZX09735004), the Marine S&amp;T Fund of Shandong Province for Qingdao Pilot National Laboratory for Marine Science and Technology (2018SDKJ0401-2), Major Basic Research Programs of Natural Science Foundation of Shandong Province (ZR2019ZD18), the Fundamental Research Funds for the Central Universities (201941001), the Taishan Scholar Youth Expert Program in Shandong Province (tsqn201812021), and the Youth Innovation Plan of Shandong Province (2019KJM004).</t>
  </si>
  <si>
    <t>AMER CHEMICAL SOC</t>
  </si>
  <si>
    <t>WASHINGTON</t>
  </si>
  <si>
    <t>1155 16TH ST, NW, WASHINGTON, DC 20036 USA</t>
  </si>
  <si>
    <t>0163-3864</t>
  </si>
  <si>
    <t>1520-6025</t>
  </si>
  <si>
    <t>J NAT PROD</t>
  </si>
  <si>
    <t>J. Nat. Prod.</t>
  </si>
  <si>
    <t>2021 NOV 29</t>
  </si>
  <si>
    <t>10.1021/acs.jnatprod.100203</t>
  </si>
  <si>
    <t>Plant Sciences; Chemistry, Medicinal; Pharmacology &amp; Pharmacy</t>
  </si>
  <si>
    <t>Plant Sciences; Pharmacology &amp; Pharmacy</t>
  </si>
  <si>
    <t>XU7TD</t>
  </si>
  <si>
    <t>WOS:000734461400001</t>
  </si>
  <si>
    <t>Fedderke, MA; Graham, PW; Kimball, DFJ; Kalia, S</t>
  </si>
  <si>
    <t>Fedderke, Michael A.; Graham, Peter W.; Kimball, Derek F. Jackson; Kalia, Saarik</t>
  </si>
  <si>
    <t>Search for dark-photon dark matter in the SuperMAG geomagnetic field dataset</t>
  </si>
  <si>
    <t>PHYSICAL REVIEW D</t>
  </si>
  <si>
    <t>MAGNETIC PULSATIONS; MAGNETOMETER ARRAY</t>
  </si>
  <si>
    <t>In our recent companion paper [Fedderke et al. Phys. Rev. D 104, 075023 (2021)], we pointed out a novel signature of ultralight kinetically mixed dark-photon dark matter. This signature is a quasimonochromatic, time-oscillating terrestrial magnetic field that takes a particular pattern over the surface of Earth. In this work, we present a search for this signal in existing, unshielded magnetometer data recorded by geographically dispersed, geomagnetic stations. The dataset comes from the SuperMAG Collaboration and consists of measurements taken with one-minute cadence since 1970, with Oo500 thorn stations contributing in all. We aggregate the magnetic field measurements from all stations by projecting them onto a small set of global vector spherical harmonics (VSH) that capture the expected vectorial pattern of the signal at each station. Within each dark-photon coherence time, we use a data-driven technique to estimate the broadband background noise in the data, and search for excess narrow-band power in this set of VSH components; we stack the searches in distinct coherence times incoherently. Following a Bayesian analysis approach that allows us to account for the stochastic nature of the dark-photon dark-matter field, we set exclusion bounds on the kinetic-mixing parameter in the dark-photon dark-matter mass range 2 x 10(-18) eV less than or similar to m(A') less than or similar to 7 x 10(-17) eV (corresponding to frequencies 6 x 10(-4) Hz less than or similar to f(A') less than or similar to 2 x 10(-2) Hz). These limits are complementary to various existing astrophysical constraints. Although our main analysis also identifies a number of candidate signals in the SuperMAG dataset, these appear to either fail or be in tension with various additional robustness checks we apply to those candidates. We report no robust and significant evidence for a dark-photon dark-matter signal in the SuperMAG dataset.</t>
  </si>
  <si>
    <t>[Fedderke, Michael A.] Johns Hopkins Univ, Dept Phys &amp; Astron, Baltimore, MD 21218 USA; [Graham, Peter W.; Kalia, Saarik] Stanford Univ, Stanford Inst Theoret Phys, Dept Phys, Stanford, CA 94305 USA; [Graham, Peter W.] Stanford Univ, Kavli Inst Particle Astrophys &amp; Cosmol, Stanford, CA 94305 USA; [Kimball, Derek F. Jackson] Calif State Univ East Bay, Dept Phys, Hayward, CA 94542 USA</t>
  </si>
  <si>
    <t>Johns Hopkins University; Stanford University; Stanford University; California State University System; California State University East Bay</t>
  </si>
  <si>
    <t>Fedderke, MA (corresponding author), Johns Hopkins Univ, Dept Phys &amp; Astron, Baltimore, MD 21218 USA.;Graham, PW; Kalia, S (corresponding author), Stanford Univ, Stanford Inst Theoret Phys, Dept Phys, Stanford, CA 94305 USA.;Graham, PW (corresponding author), Stanford Univ, Kavli Inst Particle Astrophys &amp; Cosmol, Stanford, CA 94305 USA.;Kimball, DFJ (corresponding author), Calif State Univ East Bay, Dept Phys, Hayward, CA 94542 USA.</t>
  </si>
  <si>
    <t>mfedderke@jhu.edu; pwgraham@stanford.edu; derek.jacksonkimball@csueastbay.edu; saarik@stanford.edu</t>
  </si>
  <si>
    <t>Kalia, Saarik/0000-0002-7362-6501; Fedderke, Michael A./0000-0002-1319-1622; Graham, Peter/0000-0002-1600-1601; Jackson Kimball, Derek/0000-0003-2479-6034</t>
  </si>
  <si>
    <t>Simons Investigator Grant [824870]; DOE [DE-SC0012012]; NSF [PHY-2014215, PHY-1707875, DGE-1656518, ATM-0646323, AGS-1003580]; DOE HEP QuantISED Award [100495]; Gordon and Betty Moore Foundation [GBMF7946]; U.S. Department of Energy, Office of Science, National Quantum Information Science Research Centers, Superconducting Quantum Materials and Systems Center (SQMS) [DE-AC02-07CH11359]; Simons Foundation; NASA [NNX08AM32G S03]; Heising-Simons Foundation</t>
  </si>
  <si>
    <t>Simons Investigator Grant; DOE(United States Department of Energy (DOE)); NSF(National Science Foundation (NSF)); DOE HEP QuantISED Award; Gordon and Betty Moore Foundation(Gordon and Betty Moore Foundation); U.S. Department of Energy, Office of Science, National Quantum Information Science Research Centers, Superconducting Quantum Materials and Systems Center (SQMS)(United States Department of Energy (DOE)); Simons Foundation; NASA(National Aeronautics &amp; Space Administration (NASA)); Heising-Simons Foundation</t>
  </si>
  <si>
    <t>We thank Surjeet Rajendran, Dmitry Budker, and Alex Sushkov for enlightening conversations at early stages ofthis project. We also thank Ari Cukierman, Michael Coughlin, Reed Essick, Pat Meyers, and Jan Harms for useful correspondence regarding data analysis. M. A. F. would like to thank the Berkeley Center for Theoretical Physics at the University of California Berkeley and Lawrence Berkeley National Laboratory for their longterm hospitality during which the earliest stages of this work were completed. M. A. F., P. W. G., and S. K. were supported by the Simons Investigator Grant No. 824870, DOE Grant No. DE-SC0012012, NSF Grant No. PHY-2014215, DOE HEP QuantISED Award No. 100495, and the Gordon and Betty Moore Foundation Grant No. GBMF7946. This work was also supported by the U.S. Department of Energy, Office of Science, National Quantum Information Science Research Centers, Superconducting Quantum Materials and Systems Center (SQMS) under Contract No. DE-AC02-07CH11359. D. F. J. K. was supported by NSF Grant No. PHY-1707875 as well as the Simons and Heising-Simons Foundations. S. K. was also supported by NSF Grant No. DGE-1656518. Some of the computing for this project was performed on the Sherlock cluster. We would like to thank Stanford University and the Stanford Research Computing Center for providing computational resources and support that contributed to these research results. We gratefully acknowledge the SuperMAG Collaboration for maintaining and providing the database of ground magnetometer data that were analyzed in this work and in Ref. [42] , and we thank Jesper W. Gjerloev for helpful correspondence regarding technical aspects of the SuperMAG data. SuperMAG receives funding from NSF Grants No. ATM-0646323 and No. AGS-1003580, and NASA Grant No. NNX08AM32G S03. We acknowledge those who contributed data to the SuperMAG Collaboration: INTERMAGNET, Alan Thomson; CARISMA, PI Ian Mann; CANMOS, Geomagnetism Unit of the Geological Survey of Canada; the S-RAMP Database, PI K. Yumoto and Dr. K. Shiokawa; the SPIDR database; AARI, PI Oleg Troshichev; the MACCS program, PI M. Engebretson; GIMA; MEASURE, UCLA IGPP and Florida Institute of Technology; SAMBA, PI Eftyhia Zesta; 210 Chain, PI K. Yumoto; SAMNET, PI Farideh Honary; IMAGE, PI Liisa Juusola; Finnish Meteorological Institute, PI Liisa Juusola; Sodankyla Geophysical Observatory, PI Tero Raita; UiT the Arctic University of Norway, TromsO Geophysical Observatory, PI Magnar G. Johnsen; GFZ German Research Centre for Geosciences, PI Jurgen Matzka; Institute of Geophysics, Polish Academy of Sciences, PI Anne Neska and Jan Reda; Polar Geophysical Institute, PI Alexander Yahnin and Yarolav Sakharov; Geological Survey of Sweden, PI Gerhard Schwarz; Swedish Institute of Space Physics, PI Masatoshi Yamauchi; AUTUMN, PI Martin Connors; DTU Space, Thom Edwards and PI Anna Willer; south pole and McMurdo Magnetometer, PIs Louis J. Lanzarotti and Alan T. Weatherwax; ICESTAR; RAPIDMAG; British Antarctic Survey; McMac, PI Dr. Peter Chi; BGS, PI Dr. Susan Macmillan; Pushkov Institute of Terrestrial Magnetism, Ionosphere and Radio Wave Propagation; MFGI, PI B. Heilig; Institute of Geophysics, Polish Academy of Sciences, PI Anne Neska and Jan Reda; University of L'Aquila, PI M. Vellante; BCMT, V. Lesur and A. Chambodut; data obtained in cooperation with Geoscience Australia, PI Marina Costelloe; AALPIP, co-PIs Bob Clauer and Michael Hartinger; SuperMAG, PI Jesper W. Gjerloev; data obtained in cooperation with the Australian Bureau of Meteorology, PI Richard Marshall.; We thank INTERMAGNET for promoting high standards of magnetic observatory practice [94] .</t>
  </si>
  <si>
    <t>AMER PHYSICAL SOC</t>
  </si>
  <si>
    <t>COLLEGE PK</t>
  </si>
  <si>
    <t>ONE PHYSICS ELLIPSE, COLLEGE PK, MD 20740-3844 USA</t>
  </si>
  <si>
    <t>2470-0010</t>
  </si>
  <si>
    <t>2470-0029</t>
  </si>
  <si>
    <t>PHYS REV D</t>
  </si>
  <si>
    <t>Phys. Rev. D</t>
  </si>
  <si>
    <t>10.1103/PhysRevD.104.095032</t>
  </si>
  <si>
    <t>Astronomy &amp; Astrophysics; Physics, Particles &amp; Fields</t>
  </si>
  <si>
    <t>Astronomy &amp; Astrophysics; Physics</t>
  </si>
  <si>
    <t>XG8QK</t>
  </si>
  <si>
    <t>hybrid, Green Submitted</t>
  </si>
  <si>
    <t>WOS:000725012100010</t>
  </si>
  <si>
    <t>Shi, JR; Talley, LD; Xie, SP; Peng, QH; Liu, W</t>
  </si>
  <si>
    <t>Shi, Jia-Rui; Talley, Lynne D.; Xie, Shang-Ping; Peng, Qihua; Liu, Wei</t>
  </si>
  <si>
    <t>Ocean warming and accelerating Southern Ocean zonal flow</t>
  </si>
  <si>
    <t>NATURE CLIMATE CHANGE</t>
  </si>
  <si>
    <t>ANTARCTIC CIRCUMPOLAR CURRENT; EDDY SATURATION; DECADAL CHANGES; TIME-SERIES; MODEL; TRANSPORT; TRENDS; VENTILATION; CLIMATE; HEAT</t>
  </si>
  <si>
    <t>The remoteness and paucity of historic observations of the Southern Ocean limit understanding of the effects of climate change on circulation. Using observations, CMIP6 and eddy-resolving models, this Article shows that acceleration of its zonal flow emerged in recent decades as a result of uneven ocean warming. The Southern Ocean (&gt;30 degrees S) has taken up a large amount of anthropogenic heat north of the Subantarctic Front (SAF) of the Antarctic Circumpolar Current (ACC). Poor sampling before the 1990s and decadal variability have heretofore masked the ocean's dynamic response to this warming. Here we use the lengthening satellite altimetry and Argo float records to show robust acceleration of zonally averaged Southern Ocean zonal flow at 48 degrees S-58 degrees S. This acceleration is reproduced in a hierarchy of climate models, including an ocean-eddy-resolving model. Anthropogenic ocean warming is the dominant driver, as large (small) heat gain in the downwelling (upwelling) regime north (south) of the SAF causes zonal acceleration on the northern flank of the ACC and adjacent subtropics due to increased baroclinicity; strengthened wind stress is of secondary importance. In Drake Passage, little warming occurs and the SAF velocity remains largely unchanged. Continued ocean warming could further accelerate Southern Ocean zonal flow.</t>
  </si>
  <si>
    <t>[Shi, Jia-Rui; Talley, Lynne D.; Xie, Shang-Ping; Peng, Qihua] Univ Calif San Diego, Scripps Inst Oceanog, La Jolla, CA 92093 USA; [Shi, Jia-Rui] Woods Hole Oceanog Inst, Woods Hole, MA 02543 USA; [Peng, Qihua] Chinese Acad Sci, South China Sea Inst Oceanol, State Key Lab Trop Oceanog, Guangzhou, Peoples R China; [Liu, Wei] Univ Calif Riverside, Dept Earth &amp; Planetary Sci, Riverside, CA 92521 USA</t>
  </si>
  <si>
    <t>University of California System; University of California San Diego; Scripps Institution of Oceanography; Woods Hole Oceanographic Institution; Chinese Academy of Sciences; South China Sea Institute of Oceanology, CAS; University of California System; University of California Riverside</t>
  </si>
  <si>
    <t>Shi, JR (corresponding author), Univ Calif San Diego, Scripps Inst Oceanog, La Jolla, CA 92093 USA.;Shi, JR (corresponding author), Woods Hole Oceanog Inst, Woods Hole, MA 02543 USA.</t>
  </si>
  <si>
    <t>jia-rui.shi@whoi.edu</t>
  </si>
  <si>
    <t>Xie, Shang-Ping/C-1254-2009; Shi, Jia-Rui/HNJ-0985-2023</t>
  </si>
  <si>
    <t>Xie, Shang-Ping/0000-0002-3676-1325; Shi, Jia-Rui/0000-0001-7505-1281; Talley, Lynne/0000-0003-1574-729X</t>
  </si>
  <si>
    <t>US National Science Foundation [AGS-1637450, OCE-2123422]; Southern Ocean Carbon and Climate Observations and Modeling project under National Science Foundation [PLR-1425989]; Southern Ocean Carbon and Climate Observations and Modeling project; National Natural Science Foundation of China [42005035]; Regents' Faculty Fellowship; Alfred P. Sloan Foundation</t>
  </si>
  <si>
    <t>US National Science Foundation(National Science Foundation (NSF)); Southern Ocean Carbon and Climate Observations and Modeling project under National Science Foundation; Southern Ocean Carbon and Climate Observations and Modeling project; National Natural Science Foundation of China(National Natural Science Foundation of China (NSFC)); Regents' Faculty Fellowship; Alfred P. Sloan Foundation(Alfred P. Sloan Foundation)</t>
  </si>
  <si>
    <t>We thank S. T. Gille, S. Sun and Y. Lu for enlightening discussions. J.-R.S. is supported by the US National Science Foundation (AGS-1637450) and the Southern Ocean Carbon and Climate Observations and Modeling project under National Science Foundation Award PLR-1425989. L.D.T. is also supported by the Southern Ocean Carbon and Climate Observations and Modeling project. Q.P. is supported by the National Natural Science Foundation of China (42005035). W.L. is supported by the Regents' Faculty Fellowship, Alfred P. Sloan Foundation Research Fellowship and US National Science Foundation (OCE-2123422).</t>
  </si>
  <si>
    <t>NATURE PORTFOLIO</t>
  </si>
  <si>
    <t>BERLIN</t>
  </si>
  <si>
    <t>HEIDELBERGER PLATZ 3, BERLIN, 14197, GERMANY</t>
  </si>
  <si>
    <t>1758-678X</t>
  </si>
  <si>
    <t>1758-6798</t>
  </si>
  <si>
    <t>NAT CLIM CHANGE</t>
  </si>
  <si>
    <t>Nat. Clim. Chang.</t>
  </si>
  <si>
    <t>+</t>
  </si>
  <si>
    <t>10.1038/s41558-021-01212-5</t>
  </si>
  <si>
    <t>Environmental Sciences; Environmental Studies; Meteorology &amp; Atmospheric Sciences</t>
  </si>
  <si>
    <t>XJ7KN</t>
  </si>
  <si>
    <t>WOS:000723552200001</t>
  </si>
  <si>
    <t>Tarling, GA; Freer, JJ; Banas, NS; Belcher, A; Blackwell, M; Castellani, C; Cook, KB; Cottier, FR; Daase, M; Johnson, ML; Last, KS; Lindeque, PK; Mayor, DJ; Mitchell, E; Parry, HE; Speirs, DC; Stowasser, G; Wootton, M</t>
  </si>
  <si>
    <t>Tarling, Geraint A.; Freer, Jennifer J.; Banas, Neil S.; Belcher, Anna; Blackwell, Mayleen; Castellani, Claudia; Cook, Kathryn B.; Cottier, Finlo R.; Daase, Malin; Johnson, Magnus L.; Last, Kim S.; Lindeque, Penelope K.; Mayor, Daniel J.; Mitchell, Elaine; Parry, Helen E.; Speirs, Douglas C.; Stowasser, Gabriele; Wootton, Marianne</t>
  </si>
  <si>
    <t>Can a key boreal Calanus copepod species now complete its life-cycle in the Arctic? Evidence and implications for Arctic food-webs</t>
  </si>
  <si>
    <t>AMBIO</t>
  </si>
  <si>
    <t>Biogeography; Fram Strait; Life-cycle; Ocean warming; Sea-ice loss; Zooplankton</t>
  </si>
  <si>
    <t>NORTH-ATLANTIC; BARENTS SEA; ZOOPLANKTON VARIABILITY; MARINE COPEPOD; LIPID-CONTENT; FINMARCHICUS; HYPERBOREUS; OCEAN; REPRODUCTION; GLACIALIS</t>
  </si>
  <si>
    <t>The changing Arctic environment is affecting zooplankton that support its abundant wildlife. We examined how these changes are influencing a key zooplankton species, Calanus finmarchicus, principally found in the North Atlantic but expatriated to the Arctic. Close to the ice-edge in the Fram Strait, we identified areas that, since the 1980s, are increasingly favourable to C. finmarchicus. Field-sampling revealed part of the population there to be capable of amassing enough reserves to overwinter. Early developmental stages were also present in early summer, suggesting successful local recruitment. This extension to suitable C. finmarchicus habitat is most likely facilitated by the long-term retreat of the ice-edge, allowing phytoplankton to bloom earlier and for longer and through higher temperatures increasing copepod developmental rates. The increased capacity for this species to complete its life-cycle and prosper in the Fram Strait can change community structure, with large consequences to regional food-webs.</t>
  </si>
  <si>
    <t>[Tarling, Geraint A.; Freer, Jennifer J.; Belcher, Anna; Stowasser, Gabriele] British Antarctic Survey, Madingley Rd, Cambridge CB3 0ET, England; [Banas, Neil S.; Speirs, Douglas C.] Univ Strathclyde, Dept Math &amp; Stat, Livingstone Tower,26 Richmond St, Glasgow G1 1XH, Lanark, Scotland; [Blackwell, Mayleen] Univ Franche Comte, 3 Rue Claude Goudimel, F-25000 Besancon, France; [Castellani, Claudia; Lindeque, Penelope K.; Parry, Helen E.] Plymouth Marine Lab, Prospect Pl, Plymouth PL1 3DH, Devon, England; [Cook, Kathryn B.] Natl Oceanog Ctr, Ocean BioGeosci Grp, European Way, Southampton SO14 3ZH, Hants, England; [Cottier, Finlo R.; Last, Kim S.; Mitchell, Elaine] Scottish Assoc Marine Sci, Dunstaffnage Marine Lab, Oban PA37 1QA, Argyll &amp; Bute, Scotland; [Daase, Malin] UiT Arctic Univ Norway, Inst Arctic &amp; Marine Biol, N-9037 Tromso, Norway; [Johnson, Magnus L.] Univ Hull, Dept Biol &amp; Marine Sci, Kingston Upon Hull HU6 7RX, N Humberside, England; [Mayor, Daniel J.] Natl Oceanog Ctr, Marine Ecosyst Proc Subgrp, European Way, Southampton SO14 3ZH, Hants, England; [Wootton, Marianne] Citadel Hill, Plymouth PL1 2PB, Devon, England</t>
  </si>
  <si>
    <t>UK Research &amp; Innovation (UKRI); Natural Environment Research Council (NERC); NERC British Antarctic Survey; University of Strathclyde; Universite de Franche-Comte; Plymouth Marine Laboratory; NERC National Oceanography Centre; University of Southampton; UHI Millennium Institute; UiT The Arctic University of Tromso; University of Hull; University of Southampton; NERC National Oceanography Centre</t>
  </si>
  <si>
    <t>Tarling, GA (corresponding author), British Antarctic Survey, Madingley Rd, Cambridge CB3 0ET, England.</t>
  </si>
  <si>
    <t>gant@bas.ac.uk; jenfree@bas.ac.uk; neil.banas@strath.ac.uk; annbel@bas.ac.uk; mayleen.blackwell@edu.univ-fcomte.fr; clc@pml.ac.uk; Kathryn.Cook@noc.ac.uk; finlo.cottier@sams.ac.uk; malin.daase@uit.no; m.johnson@hull.ac.uk; kim.last@sams.ac.uk; PKW@pml.ac.uk; dan.mayor@noc.ac.uk; elaine.mitchell@sams.ac.uk; hech@pml.ac.uk; d.c.speirs@strath.ac.uk; gsto@bas.ac.uk; mawo@MBA.ac.uk</t>
  </si>
  <si>
    <t>Woootton, Marianne/AAA-2278-2020; Cook, Kathryn Barbara/ISA-2646-2023; Speirs, Douglas C/D-7526-2013; Mayor, Daniel/HDN-8520-2022; Banas, Neil/C-8565-2015</t>
  </si>
  <si>
    <t>Woootton, Marianne/0000-0003-2553-6322; Cook, Kathryn Barbara/0000-0001-8590-3011; Speirs, Douglas C/0000-0002-4367-1459; Mayor, Daniel/0000-0002-1295-0041; castellani, claudia/0000-0002-2710-2360; Freer, Jennifer/0000-0002-3947-9261; Banas, Neil/0000-0002-1892-9497; Tarling, Geraint/0000-0002-3753-5899</t>
  </si>
  <si>
    <t>Changing Arctic Ocean (CAO) Program DIAPOD - UKRI Natural Environment Research Council (NERC) [NE/P006213/1, NE/P006353/1, NE/P006302/1, NE/P005985/1]; Changing Arctic Ocean (CAO) Program Arctic PRIZE - UKRI Natural Environment Research Council (NERC) [NE/P006213/1, NE/P006353/1, NE/P006302/1, NE/P005985/1]; CAO Project CHASE - NERC [NE/R012733/1]; CAO Project CHASE - German Federal Ministry of Education and Research (BMBF) [03F0803A]; NERC [NE/P005985/1, NE/P006302/1, NE/P006213/1, bas0100035, NE/P006353/2, NE/R012687/1, NE/R012733/1, NE/P00590X/1, NE/P006183/1, NE/P006353/1] Funding Source: UKRI</t>
  </si>
  <si>
    <t>Changing Arctic Ocean (CAO) Program DIAPOD - UKRI Natural Environment Research Council (NERC)(UK Research &amp; Innovation (UKRI)Natural Environment Research Council (NERC)); Changing Arctic Ocean (CAO) Program Arctic PRIZE - UKRI Natural Environment Research Council (NERC)(UK Research &amp; Innovation (UKRI)Natural Environment Research Council (NERC)); CAO Project CHASE - NERC; CAO Project CHASE - German Federal Ministry of Education and Research (BMBF)(Federal Ministry of Education &amp; Research (BMBF)); NERC(UK Research &amp; Innovation (UKRI)Natural Environment Research Council (NERC))</t>
  </si>
  <si>
    <t>We are grateful to the officers and crew of the RRS James Clark Ross in supporting field sampling in the Fram Strait. Thanks to David Pond as DIAPOD principal investigator, Usha Jha for plankton analysis and Sigrun Jonasdottir for support in diapause modelling. Financial support for authors (GAT, JJF, NSB, AB, CC, KC, FRC KSL, PKL, DJM, EM, HEP and GS) was provided by Changing Arctic Ocean (CAO) Programmes DIAPOD and Arctic PRIZE, funded by UKRI Natural Environment Research Council (NERC; NE/P006213/1, NE/P006353/1, NE/P006302/1, NE/P005985/1 amongst others), and by CAO Project CHASE, jointly funded by NERC (NE/R012733/1) and the German Federal Ministry of Education and Research (BMBF; 03F0803A).</t>
  </si>
  <si>
    <t>DORDRECHT</t>
  </si>
  <si>
    <t>VAN GODEWIJCKSTRAAT 30, 3311 GZ DORDRECHT, NETHERLANDS</t>
  </si>
  <si>
    <t>0044-7447</t>
  </si>
  <si>
    <t>1654-7209</t>
  </si>
  <si>
    <t>Ambio</t>
  </si>
  <si>
    <t>FEB</t>
  </si>
  <si>
    <t>SI</t>
  </si>
  <si>
    <t>10.1007/s13280-021-01667-y</t>
  </si>
  <si>
    <t>Engineering, Environmental; Environmental Sciences</t>
  </si>
  <si>
    <t>Engineering; Environmental Sciences &amp; Ecology</t>
  </si>
  <si>
    <t>XS0DZ</t>
  </si>
  <si>
    <t>Green Accepted, Green Published, hybrid</t>
  </si>
  <si>
    <t>WOS:000723501300004</t>
  </si>
  <si>
    <t>Jesswein, M; Bozem, H; Lachnitt, HC; Hoor, P; Wagenhäuser, T; Keber, T; Schuck, T; Engel, A</t>
  </si>
  <si>
    <t>Jesswein, Markus; Bozem, Heiko; Lachnitt, Hans-Christoph; Hoor, Peter; Wagenhaeuser, Thomas; Keber, Timo; Schuck, Tanja; Engel, Andreas</t>
  </si>
  <si>
    <t>Comparison of inorganic chlorine in the Antarctic and Arctic lowermost stratosphere by separate late winter aircraft measurements</t>
  </si>
  <si>
    <t>ATMOSPHERIC CHEMISTRY AND PHYSICS</t>
  </si>
  <si>
    <t>IN-SITU MEASUREMENTS; POLAR VORTEX; OZONE DEPLETION; QUANTIFYING TRANSPORT; UPPER TROPOSPHERE; GASES; AIR; SF6; AGE; FORMULATION</t>
  </si>
  <si>
    <t>Stratospheric inorganic chlorine (Cl-y) is predominantly released from long-lived chlorinated source gases and, to a small extent, very short-lived chlorinated substances. Cl-y includes the reservoir species (HCl and ClONO2) and active chlorine species (i.e., ClOx). The active chlorine species drive catalytic cycles that deplete ozone in the polar winter stratosphere. This work presents calculations of inorganic chlorine (Cl-y) derived from chlorinated source gas measurements on board the High Altitude and Long Range Research Aircraft (HALO) during the Southern Hemisphere Transport, Dynamic and Chemistry (SouthTRAC) campaign in austral late winter and early spring 2019. Results are compared to Cl-y in the Northern Hemisphere derived from measurements of the POLSTRACC-GW-LCYCLE-SALSA (PGS) campaign in the Arctic winter of 2015/2016. A scaled correlation was used for PGS data, since not all source gases were measured. Using the SouthTRAC data, Cl-y from a scaled correlation was compared to directly determined Cl-y and agreed well. An air mass classification based on in situ N2O measurements allocates the measurements to the vortex, the vortex boundary region, and midlatitudes. Although the Antarctic vortex was weakened in 2019 compared to previous years, Cl-y reached 1687 +/- 19 ppt at 385 K; therefore, up to around 50 % of total chlorine was found in inorganic form inside the Antarctic vortex, whereas only 15 % of total chlorine was found in inorganic form in the southern midlatitudes. In contrast, only 40 % of total chlorine was found in inorganic form in the Arctic vortex during PGS, and roughly 20 % was found in inorganic form in the northern midlatitudes. Differences inside the two vortices reach as much as 540 ppt, with more Cl-y in the Antarctic vortex in 2019 than in the Arctic vortex in 2016 (at comparable distance to the local tropopause). To our knowledge, this is the first comparison of inorganic chlorine within the Antarctic and Arctic polar vortices. Based on the results of these two campaigns, the differences in Cl-y inside the two vortices are substantial and larger than the interannual variations previously reported for the Antarctic.</t>
  </si>
  <si>
    <t>[Jesswein, Markus; Wagenhaeuser, Thomas; Keber, Timo; Schuck, Tanja; Engel, Andreas] Goethe Univ Frankfurt, Inst Atmospher &amp; Environm Sci, Frankfurt, Germany; [Bozem, Heiko; Lachnitt, Hans-Christoph; Hoor, Peter] Johannes Gutenberg Univ Mainz, Inst Atmospher Phys, Mainz, Germany</t>
  </si>
  <si>
    <t>Goethe University Frankfurt; Johannes Gutenberg University of Mainz</t>
  </si>
  <si>
    <t>Jesswein, M (corresponding author), Goethe Univ Frankfurt, Inst Atmospher &amp; Environm Sci, Frankfurt, Germany.</t>
  </si>
  <si>
    <t>jesswein@iau.uni-frankfurt.de</t>
  </si>
  <si>
    <t>Schuck, Tanja J/F-2941-2010; Schuck, Tanja J/GXV-7273-2022; Jesswein, Markus/JRX-9177-2023; 1294, HALO SPP/AAA-7658-2021; hoor, peter m/G-5421-2010; Bozem, Heiko/O-2702-2016; Engel, Andreas/E-3100-2014</t>
  </si>
  <si>
    <t>Schuck, Tanja J/0000-0002-1380-3684; Schuck, Tanja J/0000-0002-1380-3684; Jesswein, Markus/0000-0001-8966-9787; hoor, peter m/0000-0001-6582-6864; Wagenhauser, Thomas/0000-0002-4501-6108; Bozem, Heiko/0000-0003-2412-9864; Engel, Andreas/0000-0003-0557-3935</t>
  </si>
  <si>
    <t>Bundesministerium fur Bildung und Forschung [01LG1908B]; Deutsche Forschungsgemeinschaft [EN367/131, EN367/14-1, EN367/16-1, EN367/17-1, HO4225/15-1, HO4225/14-1]</t>
  </si>
  <si>
    <t>Bundesministerium fur Bildung und Forschung(Federal Ministry of Education &amp; Research (BMBF)); Deutsche Forschungsgemeinschaft(German Research Foundation (DFG))</t>
  </si>
  <si>
    <t>This research has been supported by the Bundesministerium fur Bildung und Forschung (grant no. 01LG1908B) and the Deutsche Forschungsgemeinschaft (grant nos. EN367/131, EN367/14-1, EN367/16-1, EN367/17-1, HO4225/15-1, and HO4225/14-1).</t>
  </si>
  <si>
    <t>1680-7316</t>
  </si>
  <si>
    <t>1680-7324</t>
  </si>
  <si>
    <t>ATMOS CHEM PHYS</t>
  </si>
  <si>
    <t>Atmos. Chem. Phys.</t>
  </si>
  <si>
    <t>10.5194/acp-21-17225-2021</t>
  </si>
  <si>
    <t>XF2KZ</t>
  </si>
  <si>
    <t>Green Submitted, gold</t>
  </si>
  <si>
    <t>WOS:000723906000001</t>
  </si>
  <si>
    <t>Lau, SCY; Strugnell, JM; Sands, CJ; Silva, CNS; Wilson, NG</t>
  </si>
  <si>
    <t>Lau, Sally C. Y.; Strugnell, Jan M.; Sands, Chester J.; Silva, Catarina N. S.; Wilson, Nerida G.</t>
  </si>
  <si>
    <t>Evolutionary innovations in Antarctic brittle stars linked to glacial refugia</t>
  </si>
  <si>
    <t>ECOLOGY AND EVOLUTION</t>
  </si>
  <si>
    <t>contrasting life histories; evolutionary innovation; glacial refugia; morphological innovation; population genetics</t>
  </si>
  <si>
    <t>SOUTHERN-OCEAN; ECHINODERMATA-OPHIUROIDEA; GENETIC-STRUCTURE; MITOCHONDRIAL LINEAGES; SPECIES DELIMITATION; POPULATION-GENETICS; CIRCUMPOLAR CURRENT; CRYPTIC SPECIATION; SEA; BIODIVERSITY</t>
  </si>
  <si>
    <t>The drivers behind evolutionary innovations such as contrasting life histories and morphological change are central questions of evolutionary biology. However, the environmental and ecological contexts linked to evolutionary innovations are generally unclear. During the Pleistocene glacial cycles, grounded ice sheets expanded across the Southern Ocean continental shelf. Limited ice-free areas remained, and fauna were isolated from other refugial populations. Survival in Southern Ocean refugia could present opportunities for ecological adaptation and evolutionary innovation. Here, we reconstructed the phylogeographic patterns of circum-Antarctic brittle stars Ophionotus victoriae and O. hexactis with contrasting life histories (broadcasting vs brooding) and morphology (5 vs 6 arms). We examined the evolutionary relationship between the two species using cytochrome c oxidase subunit I (COI) data. COI data suggested that O. victoriae is a single species (rather than a species complex) and is closely related to O. hexactis (a separate species). Since their recent divergence in the mid-Pleistocene, O. victoriae and O. hexactis likely persisted differently throughout glacial maxima, in deep-sea and Antarctic island refugia, respectively. Genetic connectivity, within and between the Antarctic continental shelf and islands, was also observed and could be linked to the Antarctic Circumpolar Current and local oceanographic regimes. Signatures of a probable seascape corridor linking connectivity between the Scotia Sea and Prydz Bay are also highlighted. We suggest that survival in Antarctic island refugia was associated with increase in arm number and a switch from broadcast spawning to brooding in O. hexactis, and propose that it could be linked to environmental changes (such as salinity) associated with intensified interglacial-glacial cycles.</t>
  </si>
  <si>
    <t>[Lau, Sally C. Y.; Strugnell, Jan M.; Silva, Catarina N. S.] James Cook Univ, Ctr Sustainable Trop Fisheries &amp; Aquaculture, Townsville, Qld 4810, Australia; [Lau, Sally C. Y.; Strugnell, Jan M.; Silva, Catarina N. S.] James Cook Univ, Coll Sci &amp; Engn, Townsville, Qld 4810, Australia; [Strugnell, Jan M.] La Trobe Univ, Sch Life Sci, Dept Ecol Environm &amp; Evolut, Melbourne, Vic, Australia; [Strugnell, Jan M.] James Cook Univ, Securing Antarct Environm Future, Townsville, Qld, Australia; [Sands, Chester J.] NERC, British Antarctic Survey, Cambridge, England; [Wilson, Nerida G.] Western Australian Museum, Collect &amp; Res, Welshpool, WA, Australia; [Wilson, Nerida G.] Univ Western Australia, Sch Biol Sci, Perth, WA, Australia; [Wilson, Nerida G.] Western Australian Museum, Securing Antarct Environm Future, Welshpool, WA, Australia</t>
  </si>
  <si>
    <t>James Cook University; James Cook University; Melbourne Genomics Health Alliance; La Trobe University; James Cook University; UK Research &amp; Innovation (UKRI); Natural Environment Research Council (NERC); NERC British Antarctic Survey; Western Australian Museum; University of Western Australia; Western Australian Museum</t>
  </si>
  <si>
    <t>Lau, SCY (corresponding author), James Cook Univ, Ctr Sustainable Trop Fisheries &amp; Aquaculture, Townsville, Qld 4810, Australia.;Lau, SCY (corresponding author), James Cook Univ, Coll Sci &amp; Engn, Townsville, Qld 4810, Australia.</t>
  </si>
  <si>
    <t>cheukying.lau@my.jcu.edu.au</t>
  </si>
  <si>
    <t>Strugnell, Jan M/P-9921-2016; Silva, Catarina N. S./A-8402-2008; Silva, Catarina/GVS-9316-2022; Wilson, Nerida/G-8433-2011</t>
  </si>
  <si>
    <t>Silva, Catarina N. S./0000-0001-9401-2616; Lau, Sally/0000-0002-4955-2530; Strugnell, Jan/0000-0003-2994-637X; Sands, Chester/0000-0003-1028-0328; Wilson, Nerida/0000-0002-0784-0200</t>
  </si>
  <si>
    <t>Antarctic Circumnavigation Expedition (ACE Foundation); Antarctic Circumnavigation Expedition (Ferring Pharmaceuticals); Australian Research Council Discovery grant [DP190101347]; Antarctic PhD student support grant (Antarctic Science Foundation); National Science Foundation (USA) Office of Polar Programs [1043749]; Thomas Davies Research grant (Australian Academy of Science); ARC SRIEAS Grant Securing Antarctica's Environmental Future [SR200100005]; David Pearse bequest; Directorate For Geosciences; Office of Polar Programs (OPP) [1043749] Funding Source: National Science Foundation; NERC [bas0100036] Funding Source: UKRI</t>
  </si>
  <si>
    <t>Antarctic Circumnavigation Expedition (ACE Foundation); Antarctic Circumnavigation Expedition (Ferring Pharmaceuticals); Australian Research Council Discovery grant(Australian Research Council); Antarctic PhD student support grant (Antarctic Science Foundation); National Science Foundation (USA) Office of Polar Programs; Thomas Davies Research grant (Australian Academy of Science); ARC SRIEAS Grant Securing Antarctica's Environmental Future; David Pearse bequest; Directorate For Geosciences; Office of Polar Programs (OPP)(National Science Foundation (NSF)NSF - Directorate for Geosciences (GEO)); NERC(UK Research &amp; Innovation (UKRI)Natural Environment Research Council (NERC))</t>
  </si>
  <si>
    <t>Antarctic Circumnavigation Expedition (carried out by the Swiss Polar Institute, supported by the ACE Foundation and Ferring Pharmaceuticals); Australian Research Council Discovery grant, Grant/Award Number: DP190101347; Antarctic PhD student support grant (Antarctic Science Foundation); David Pearse bequest; National Science Foundation (USA) Office of Polar Programs, Grant/Award Number: 1043749; Thomas Davies Research grant (Australian Academy of Science); ARC SRIEAS Grant Securing Antarctica's Environmental Future, Grant/Award Number: SR200100005</t>
  </si>
  <si>
    <t>WILEY</t>
  </si>
  <si>
    <t>HOBOKEN</t>
  </si>
  <si>
    <t>111 RIVER ST, HOBOKEN 07030-5774, NJ USA</t>
  </si>
  <si>
    <t>2045-7758</t>
  </si>
  <si>
    <t>ECOL EVOL</t>
  </si>
  <si>
    <t>Ecol. Evol.</t>
  </si>
  <si>
    <t>10.1002/ece3.8376</t>
  </si>
  <si>
    <t>Ecology; Evolutionary Biology</t>
  </si>
  <si>
    <t>Environmental Sciences &amp; Ecology; Evolutionary Biology</t>
  </si>
  <si>
    <t>XN6XP</t>
  </si>
  <si>
    <t>Green Published, Green Accepted</t>
  </si>
  <si>
    <t>WOS:000723570900001</t>
  </si>
  <si>
    <t>Reisinger, RR; Corney, S; Raymond, B; Lombard, AT; Bester, MN; Crawford, RJM; Davies, D; Bruyn, PJN; Dilley, B; Kirkman, SP; Makhado, AB; Ryan, PG; Schoombie, S; Stevens, KL; Tosh, CA; Wege, M; Whitehead, TO; Sumner, MD; Wotherspoon, S; Friedlaender, AS; Cotté, C; Hindell, MA; Ropert-Coudert, Y; Pistorius, PA</t>
  </si>
  <si>
    <t>Reisinger, Ryan R.; Corney, Stuart; Raymond, Ben; Lombard, Amanda T.; Bester, Marthan N.; Crawford, Robert J. M.; Davies, Delia; Bruyn, P. J. Nico; Dilley, Ben J.; Kirkman, Stephen P.; Makhado, Azwianewi B.; Ryan, Peter G.; Schoombie, Stefan; Stevens, Kim L.; Tosh, Cheryl A.; Wege, Mia; Whitehead, T. Otto; Sumner, Michael D.; Wotherspoon, Simon; Friedlaender, Ari S.; Cotte, Cedric; Hindell, Mark A.; Ropert-Coudert, Yan; Pistorius, Pierre A.</t>
  </si>
  <si>
    <t>Habitat model forecasts suggest potential redistribution of marine predators in the southern Indian Ocean</t>
  </si>
  <si>
    <t>DIVERSITY AND DISTRIBUTIONS</t>
  </si>
  <si>
    <t>climate change; distribution; marine mammals; prediction; projection; seabirds; Southern Ocean</t>
  </si>
  <si>
    <t>CLIMATE-CHANGE; BIOTIC INTERACTIONS; DISTRIBUTIONS; BIODIVERSITY; ABUNDANCE; IMPACTS; RANGE; ALBATROSSES; PATTERN; AREAS</t>
  </si>
  <si>
    <t>Aim Climate change will likely lead to a significant redistribution of biodiversity in marine ecosystems. We examine the potential redistribution of a community of marine predators by comparing current and future habitat distribution projections. We examine relative changes among species, indicative of potential future community-level changes and consider potential consequences of these changes for conservation and management. Location Southern Indian Ocean. Methods We used tracking data from 14 species (10 seabirds, 3 seals and 1 cetacean, totalling 538 tracks) to model the habitat selection of predators around the Prince Edward Islands. Using random forest classifiers, we modelled habitat selection as a response to a static environmental covariate and nine dynamic environmental covariates obtained from eight IPCC-class climate models. To project the potential distribution of the predators in 2071-2100, we used climate model outputs assuming two greenhouse gas emission scenarios: RCP 4.5 and RCP 8.5. Results Analogous climates are projected to predominantly shift to the southeast and southwest. Species' potential range shifts varied in direction and magnitude, but overall shifted slightly to the southwest. Despite the variable shifts among species, current species co-occurrence patterns and future projections were statistically similar. Our projections show that at least some important habitats will shift out of national waters and marine protected areas by 2100, but important habitat area will increase in the Convention on the Conservation of Antarctic Marine Living Resources Area. Predicted areas of common use among predators decreased north of the islands and increased to the south, suggesting that multiple predator species may use southerly habitats more intensively in the future. Consequently, Southern Ocean management authorities could implement conservation actions to partially offset these shifts. Main conclusions Overall, we predict that marine predator biodiversity in the southern Indian Ocean will be redistributed, with ecological, conservation and management implications.</t>
  </si>
  <si>
    <t>[Reisinger, Ryan R.] Univ Southampton, Natl Oceanog Ctr Southampton, Sch Ocean &amp; Earth Sci, European Way, Southampton SO14 3ZH, Hants, England; [Reisinger, Ryan R.; Friedlaender, Ari S.] Univ Calif Santa Cruz, Inst Marine Sci, Santa Cruz, CA 95064 USA; [Reisinger, Ryan R.; Ropert-Coudert, Yan] La Rochelle Univ, CNRS, UMR 7372, Ctr Etud Biol Chize, Villiers En Bois, France; [Reisinger, Ryan R.; Cotte, Cedric] UPMC Univ, Sorbonne Univ, UMR 7159 CNRS, IRD,MNHN,LOCEAN,IPSL, Paris, France; [Reisinger, Ryan R.; Pistorius, Pierre A.] Nelson Mandela Univ, Dept Zool, DST NRF Ctr Excellence, FitzPatrick Inst African Ornithol, Gqeberha, South Africa; [Reisinger, Ryan R.; Pistorius, Pierre A.] Nelson Mandela Univ, Inst Coastal &amp; Marine Res, DST NRF Ctr Excellence, FitzPatrick Inst African Ornithol, Gqeberha, South Africa; [Corney, Stuart; Raymond, Ben; Wotherspoon, Simon; Hindell, Mark A.] Univ Tasmania, Inst Marine &amp; Antarctic Studies, Hobart, Tas, Australia; [Raymond, Ben; Sumner, Michael D.; Wotherspoon, Simon] Australian Antarctic Div, Dept Agr Water &amp; Environm, Kingston, Tas, Australia; [Lombard, Amanda T.; Kirkman, Stephen P.] Nelson Mandela Univ, Inst Coastal &amp; Marine Res, Gqeberha, South Africa; [Bester, Marthan N.; Bruyn, P. J. Nico; Wege, Mia] Univ Pretoria, Mammal Res Inst, Dept Zool &amp; Entomol, Hatfield, South Africa; [Crawford, Robert J. M.; Kirkman, Stephen P.; Makhado, Azwianewi B.] Dept Forestry Fisheries &amp; Environm, Cape Town, South Africa; [Davies, Delia; Dilley, Ben J.; Makhado, Azwianewi B.; Ryan, Peter G.; Schoombie, Stefan; Stevens, Kim L.; Whitehead, T. Otto] Univ Cape Town, DST NRF Ctr Excellence, FitzPatrick Inst African Ornithol, Rondebosch, South Africa; [Tosh, Cheryl A.] Univ Pretoria, Fac Hlth Sci, Res Off, Pretoria, South Africa</t>
  </si>
  <si>
    <t>University of Southampton; NERC National Oceanography Centre; University of California System; University of California Santa Cruz; Centre National de la Recherche Scientifique (CNRS); CNRS - Institute of Ecology &amp; Environment (INEE); Universite Paris Cite; Museum National d'Histoire Naturelle (MNHN); Sorbonne Universite; Institut de Recherche pour le Developpement (IRD); National Research Foundation - South Africa; Nelson Mandela University; Nelson Mandela University; National Research Foundation - South Africa; University of Tasmania; Australian Antarctic Division; Nelson Mandela University; University of Pretoria; National Research Foundation - South Africa; University of Cape Town; University of Pretoria</t>
  </si>
  <si>
    <t>Reisinger, RR (corresponding author), Univ Southampton, Natl Oceanog Ctr Southampton, Sch Ocean &amp; Earth Sci, European Way, Southampton SO14 3ZH, Hants, England.</t>
  </si>
  <si>
    <t>r.r.reisinger@southampton.ac.uk</t>
  </si>
  <si>
    <t>Hindell, Mark A/K-1131-2013; Wege, Mia/B-1103-2016; Cotte, Cedric/C-3296-2013; de Bruyn, P. J. Nico/E-4176-2010; Sumner, Michael D/J-3478-2013; Reisinger, Ryan/D-6151-2014</t>
  </si>
  <si>
    <t>Wege, Mia/0000-0002-9022-3069; de Bruyn, P. J. Nico/0000-0002-9114-9569; Cotte, Cedric/0000-0002-8307-6435; Reisinger, Ryan/0000-0002-8933-6875; Lombard, Amanda Talita/0000-0002-4323-1170</t>
  </si>
  <si>
    <t>WWF-UK; Scientific Committee on Antarctic Research; National Research Foundation [94916, SNA2005060800001]</t>
  </si>
  <si>
    <t>WWF-UK; Scientific Committee on Antarctic Research; National Research Foundation</t>
  </si>
  <si>
    <t>WWF-UK; Scientific Committee on Antarctic Research; National Research Foundation, Grant/Award Number: 94916 and SNA2005060800001</t>
  </si>
  <si>
    <t>1366-9516</t>
  </si>
  <si>
    <t>1472-4642</t>
  </si>
  <si>
    <t>DIVERS DISTRIB</t>
  </si>
  <si>
    <t>Divers. Distrib.</t>
  </si>
  <si>
    <t>10.1111/ddi.13447</t>
  </si>
  <si>
    <t>Biodiversity Conservation; Ecology</t>
  </si>
  <si>
    <t>Biodiversity &amp; Conservation; Environmental Sciences &amp; Ecology</t>
  </si>
  <si>
    <t>XW1ZG</t>
  </si>
  <si>
    <t>WOS:000723225100001</t>
  </si>
  <si>
    <t>Letessier, TB; Proud, R; Meeuwig, JJ; Cox, MJ; Hosegood, PJ; Brierley, AS</t>
  </si>
  <si>
    <t>Letessier, Tom B.; Proud, Roland; Meeuwig, Jessica J.; Cox, Martin J.; Hosegood, Phil J.; Brierley, Andrew S.</t>
  </si>
  <si>
    <t>Estimating Pelagic Fish Biomass in a Tropical Seascape Using Echosounding and Baited Stereo-Videography</t>
  </si>
  <si>
    <t>ECOSYSTEMS</t>
  </si>
  <si>
    <t>Mid-water BRUVS; Marine protected areas; No-take; Non-extractive</t>
  </si>
  <si>
    <t>UNDERWATER VIDEO STATIONS; INDIAN-OCEAN; MULTIBEAM-SONAR; FISHERIES; MANAGEMENT; ABUNDANCE; CONSERVATION; BIODIVERSITY; VARIABILITY; COMMUNITY</t>
  </si>
  <si>
    <t>The pelagic ecosystem is the ocean's largest by volume and of major importance for food provision and carbon cycling. The high fish species diversity common in the tropics presents a major challenge for biomass estimation using fisheries acoustics, the traditional approach for evaluating mid-water biomass. Converting echo intensities to biomass density requires information on species identity and size, which are typically obtained by lethal means, and thus unsuitable in the portion of the ocean that is 'no take'. To improve conservation and ecosystem-based management, we present a procedure for determining fish biomass density, using data on species identity, relative abundance, and lengths obtained from stereo baited remote underwater video systems (stereo-BRUVS) to inform the scaling of echosounder survey data (at 38 kHz). We apply the procedure in the British Indian Ocean Territory marine protected area, using acoustic data from 3025 km of survey transects and 546 BRUVS deployments recording relative abundance and size of 12,335 individual fish. Using a Generalised Additive Model of biomass density (GAM, adjR(2) = 0.61) we predict, on the basis of oceanographic conditions and bathymetry, that the top 200 m pelagic ecosystem in the Chagos Archipelago, some 118,324 km(2), held 3.84 (2.66, 5.62, 95% CI), 33.09 (23.41, 47.35) and 4.08 (3.1, 5.44) million tonnes of fish in November 2012, January 2015, and February 2016, respectively. Our non-extractive procedure yields ecologically credible patterns in biomass across multiple temporal (hours and years) and spatial (metres and kilometres) scales, and marks an improvement on the use of echo intensity alone as a biomass proxy. High seasonal and interannual variability has implication for pelagic fish monitoring.</t>
  </si>
  <si>
    <t>[Letessier, Tom B.] Zool Soc London, Inst Zool, Regents Pk, London NW1 4RY, England; [Letessier, Tom B.; Meeuwig, Jessica J.] Univ Western Australia, Sch Biol Sci, Marine Futures Lab, Perth, WA, Australia; [Letessier, Tom B.; Meeuwig, Jessica J.] Univ Western Australia, Oceans Inst, Perth, WA, Australia; [Proud, Roland; Brierley, Andrew S.] Univ St Andrews, Sch Biol, Scottish Oceans Inst, Pelag Ecol Res Grp,Gatty Marine Lab, St Andrews KY16 8LB, Fife, Scotland; [Cox, Martin J.] Australian Antarctic Div, Channel Highway, Kingston, Tas 7050, Australia; [Hosegood, Phil J.] Univ Plymouth, Sch Biol &amp; Marine Sci, Plymouth, Devon, England</t>
  </si>
  <si>
    <t>Zoological Society of London; University of Western Australia; University of Western Australia; University of St Andrews; Australian Antarctic Division; University of Plymouth</t>
  </si>
  <si>
    <t>Letessier, TB (corresponding author), Zool Soc London, Inst Zool, Regents Pk, London NW1 4RY, England.;Letessier, TB (corresponding author), Univ Western Australia, Sch Biol Sci, Marine Futures Lab, Perth, WA, Australia.;Letessier, TB (corresponding author), Univ Western Australia, Oceans Inst, Perth, WA, Australia.</t>
  </si>
  <si>
    <t>tom.letessier@ioz.ac.uk</t>
  </si>
  <si>
    <t>Brierley, Andrew/G-8019-2011</t>
  </si>
  <si>
    <t>Brierley, Andrew/0000-0002-6438-6892; Meeuwig, Jessica/0000-0003-1169-8785; Proud, Roland/0000-0002-8647-5562</t>
  </si>
  <si>
    <t>British Indian Ocean Territory's Administration; Foreign and Commonwealth Office of the United Kingdom; Bertarelli Foundation</t>
  </si>
  <si>
    <t>This research was conducted under permits and support granted by the British Indian Ocean Territory's Administration and the Foreign and Commonwealth Office of the United Kingdom, and under ethics approval and permit RA/3/100/1166 and RA/3/100/1386 from the Animal Ethics Committee of the University of Western Australia, following guidelines under the Animal Welfare Act 2002 (WA) and the Australian Code for the Care and Use of Animals for Scientific Purposes. This paper is an output of the Bertarelli Programme in Marine Science, and we are grateful for the Bertarelli Foundation's support. We thank Christopher D. H. Thompson and Marjorie Cattaneo Fernandes for contributions to the BRUVS deployments and video analysis. We thank Philipp Boersch-Supan for assistance with acoustic data collection in 2012. We are grateful to Marine Science Scotland for lending us the towed body for the 2016 expedition, and in particular Eric Armstrong and Phil Copland for towed body preparation and shipping. Finally, for excellent assistance, fond memories and friendship, we thank the Master, Chief and crew of the support vessel.</t>
  </si>
  <si>
    <t>1432-9840</t>
  </si>
  <si>
    <t>1435-0629</t>
  </si>
  <si>
    <t>Ecosystems</t>
  </si>
  <si>
    <t>SEP</t>
  </si>
  <si>
    <t>10.1007/s10021-021-00723-8</t>
  </si>
  <si>
    <t>Ecology</t>
  </si>
  <si>
    <t>Environmental Sciences &amp; Ecology</t>
  </si>
  <si>
    <t>4Y4EM</t>
  </si>
  <si>
    <t>WOS:000723508800002</t>
  </si>
  <si>
    <t>Lenz, MM; Andreev, A; Nazarova, L; Syrykh, LS; Scheidt, S; Haflidason, H; Meyer, H; Brill, D; Wagner, B; Gromig, R; Lenz, M; Rolf, C; Kuhn, G; Fedorov, G; Svendsen, JI; Melles, M</t>
  </si>
  <si>
    <t>Lenz, Marlene M.; Andreev, Andrei; Nazarova, Larisa; Syrykh, Liudmila S.; Scheidt, Stephanie; Haflidason, Haflidi; Meyer, Hanno; Brill, Dominik; Wagner, Bernd; Gromig, Raphael; Lenz, Matthias; Rolf, Christian; Kuhn, Gerhard; Fedorov, Grigoriy; Svendsen, John Inge; Melles, Martin</t>
  </si>
  <si>
    <t>Climate, glacial and vegetation history of the polar Ural Mountains since c. 27 cal ka bp, inferred from a 54 m long sediment core from Lake Bolshoye Shchuchye</t>
  </si>
  <si>
    <t>JOURNAL OF QUATERNARY SCIENCE</t>
  </si>
  <si>
    <t>Arctic Russia; chironomids; polar Ural Mountains; pollen; sediment core data</t>
  </si>
  <si>
    <t>HOLOCENE ENVIRONMENTAL HISTORY; WESTERN YAMAL PENINSULA; PALEOCLIMATIC CONDITIONS; ORGANIC GEOCHEMISTRY; NORTHERN EURASIA; LATE PLEISTOCENE; ARCTIC RUSSIA; ICE-SHEET; DATA SET; AGE</t>
  </si>
  <si>
    <t>Because continuous and high-resolution records are scarce in the polar Urals, a multiproxy study was carried out on a 54 m long sediment succession (Co1321) from Lake Bolshoye Shchuchye. The sedimentological, geochemical, pollen and chironomid data suggest that glaciers occupied the lake's catchment during the cold and dry MIS 2 and document a change in ice extent around 23.5-18 cal ka bp. Subsequently, meltwater input, sediment supply and erosional activity decreased as local glaciers progressively melted. The vegetation around the lake comprised open, herb and grass-dominated tundra-steppe until the Bolling-Allerod, but shows a distinct change to probably moister conditions around 17-16 cal ka bp. Local glaciers completely disappeared during the Bolling-Allerod, when summer air temperatures were similar to today and low shrub tundra became established. The Younger Dryas is confined by distinct shifts in the pollen and chironomid records pointing to drier conditions. The Holocene is characterised by a denser vegetation cover, stabilised soil conditions and decreased minerogenic input, especially during the local thermal maximum between c. 10 and 5 cal ka bp. Subsequently, present-day vegetation developed and summer air temperatures decreased to modern, except for two intervals, which may represent the Little Ice Age and Medieval Warm Period.</t>
  </si>
  <si>
    <t>[Lenz, Marlene M.; Andreev, Andrei; Scheidt, Stephanie; Wagner, Bernd; Gromig, Raphael; Lenz, Matthias; Melles, Martin] Univ Cologne, Inst Geol &amp; Mineral, Cologne, Germany; [Andreev, Andrei; Nazarova, Larisa; Meyer, Hanno] Helmholtz Ctr Polar &amp; Marine Res, Alfred Wegener Inst, Potsdam, Germany; [Andreev, Andrei; Nazarova, Larisa; Syrykh, Liudmila S.] Kazan Fed Univ, Kazan, Russia; [Nazarova, Larisa] Potsdam Univ, Inst Earth &amp; Environm Sci, Potsdam, Germany; [Syrykh, Liudmila S.] Herzen State Pedag Univ Russia, St Petersburg, Russia; [Haflidason, Haflidi; Svendsen, John Inge] Univ Bergen, Dept Earth Sci, Bergen, Norway; [Haflidason, Haflidi; Svendsen, John Inge] Bjerknes Ctr Climate Res, Bergen, Norway; [Brill, Dominik] Univ Cologne, Inst Geog, Cologne, Germany; [Rolf, Christian] Leibniz Inst Appl Geophys LIAG, Hannover, Germany; [Kuhn, Gerhard] Helmholtz Ctr Polar &amp; Marine Res, Alfred Wegener Inst, Bremerhaven, Germany; [Fedorov, Grigoriy] St Petersburg State Univ, St Petersburg, Russia; [Fedorov, Grigoriy] Arctic &amp; Antarctic Res Inst, St Petersburg, Russia</t>
  </si>
  <si>
    <t>University of Cologne; Helmholtz Association; Alfred Wegener Institute, Helmholtz Centre for Polar &amp; Marine Research; Kazan Federal University; University of Potsdam; Herzen State Pedagogical University of Russia; University of Bergen; Bjerknes Centre for Climate Research; University of Cologne; Leibniz Institut fur Angewandte Geophysik (LIAG); Helmholtz Association; Alfred Wegener Institute, Helmholtz Centre for Polar &amp; Marine Research; Saint Petersburg State University; Arctic &amp; Antarctic Research Institute</t>
  </si>
  <si>
    <t>Lenz, MM (corresponding author), Univ Cologne, Inst Geol &amp; Mineral, Cologne, Germany.</t>
  </si>
  <si>
    <t>Nazarova, Larisa/AAP-7185-2020; Melles, Martin/J-4070-2012; Wagner, Bernd/J-4682-2012; Andreev, Andrei A/J-2701-2015; Nazarova, Larisa/C-8926-2014; Brill, Dominik/O-2442-2015; Meyer, Hanno/E-2870-2016</t>
  </si>
  <si>
    <t>Melles, Martin/0000-0003-0977-9463; Wagner, Bernd/0000-0002-1369-7893; Andreev, Andrei A/0000-0002-8745-9636; Nazarova, Larisa/0000-0003-4145-9689; Scheidt, Stephanie/0000-0002-9370-2700; Lenz (nee Baumer), Marlene Margit/0000-0002-5352-3900; Brill, Dominik/0000-0001-8637-4641; Syrykh, Liudmila/0000-0003-2076-8570; Gromig, Raphael/0000-0001-9217-4259; Meyer, Hanno/0000-0003-4129-4706</t>
  </si>
  <si>
    <t>German Federal Ministry of Education and Research (BMBF) [03G0859, 03F0830A]; Research Council of Norway (CHASE) [NRC 255415]; Russian Scientific Foundation [RSF 20-17-00135]</t>
  </si>
  <si>
    <t>German Federal Ministry of Education and Research (BMBF)(Federal Ministry of Education &amp; Research (BMBF)); Research Council of Norway (CHASE)(Research Council of Norway); Russian Scientific Foundation(Russian Science Foundation (RSF))</t>
  </si>
  <si>
    <t>Financial support for this study was provided by the German Federal Ministry of Education and Research (BMBF; grants no. 03G0859 and 03F0830A). The work of H. Haflidason and J.-I. Svendsen was sponsored by the Research Council of Norway (CHASE; NRC 255415). L. Nazarova was supported by the Russian Scientific Foundation Grant (RSF 20-17-00135). The work of A. Andreev was also partly supported by the Russian Scientific Foundation (RSF 20-17-00135). We are grateful to S. Aksnes and J. L. Zweidorff from the University in Bergen for their participation in the field campaign. Nicole Mantke and Dorothea Klinghardt from the University of Cologne are acknowledged for their assistance during laboratory work. We furthermore thank the two anonymous reviewers as well as the editor Julie Brigham-Grette for their constructive comments. Proxy data of core Co1321 are available via the PANGAEA data repository after publication. The authors have no conflicts of interest, financial or otherwise, to declare.</t>
  </si>
  <si>
    <t>0267-8179</t>
  </si>
  <si>
    <t>1099-1417</t>
  </si>
  <si>
    <t>J QUATERNARY SCI</t>
  </si>
  <si>
    <t>J. Quat. Sci.</t>
  </si>
  <si>
    <t>JUL</t>
  </si>
  <si>
    <t>10.1002/jqs.3400</t>
  </si>
  <si>
    <t>3B0RA</t>
  </si>
  <si>
    <t>WOS:000723258100001</t>
  </si>
  <si>
    <t>Rogan-Finnemore, M; Ojeda, M; Acosta, JMP; Bretel, P; Browne, N; Flått, S; Shuoren, W; Sliester, R</t>
  </si>
  <si>
    <t>Rogan-Finnemore, Michelle; Ojeda, Miguel; Paz Acosta, Jorge Manuel; Bretel, Patrice; Browne, Nick; Flatt, Stig; Shuoren, Wang; Sliester, Randolph</t>
  </si>
  <si>
    <t>Icebreaking polar class research vessels: New Antarctic fleet capabilities</t>
  </si>
  <si>
    <t>POLAR RECORD</t>
  </si>
  <si>
    <t>Antarctic; Icebreakers; Polar Class vessels; National Antarctic programmes</t>
  </si>
  <si>
    <t>Supporting Antarctic scientific investigation is the job of the national Antarctic programmes, the government entities charged with delivering their countries' Antarctic research strategies. This requires sustained investment in people, innovative technologies, Antarctic infrastructures, and vessels with icebreaking capabilities. The recent endorsement of the International Maritime Organization (IMO) Polar Code (2015) means that countries must address challenges related to an ageing icebreaking vessel fleet. Many countries have recently invested in and begun, or completed, builds on new icebreaking Polar research vessels. These vessels incorporate innovative technologies to increase fuel efficiency, to reduce noise output, and to address ways to protect the Antarctic environment in their design. This paper is a result of a Council of Managers of National Antarctic Programs (COMNAP) project on new vessel builds which began in 2018. It considers the recent vessel builds of Australia's RSV Nuyina, China's MV Xue Long 2, France's L'Astrolabe, Norway's RV Kronprins Haakon, Peru's BAP Carrasco, and the United Kingdom's RRS Sir David Attenborough. The paper provides examples of purposeful consideration of science support requirements and environmental sustainability in vessel designs and operations.</t>
  </si>
  <si>
    <t>[Rogan-Finnemore, Michelle] Council Managers Natl Antarctic Programs COMNAP, Christchurch, New Zealand; [Ojeda, Miguel] CSIC, Marine Technol Unit UTM, Nat Resources Area State Agcy, Mediterranean Ctr Marine &amp; Environm Res CMIMA, Barcelona, Spain; [Paz Acosta, Jorge Manuel] Directorate Hydrog &amp; Nav DIHIDRONAV, Lima, Peru; [Bretel, Patrice] Inst Polaire Francais Paul Emile Victor IPEV, French Polar Inst, Brest, France; [Browne, Nick] Australian Antarctic Div AAD, Hobart, Tas, Australia; [Flatt, Stig] Norwegian Polar Inst NPI, Tromso, Norway; [Shuoren, Wang] Polar Res Inst China PRIC, Shanghai, Peoples R China; [Sliester, Randolph] British Antarctic Survey BAS, Cambridge, England</t>
  </si>
  <si>
    <t>Consejo Superior de Investigaciones Cientificas (CSIC); CSIC - Centro Mediterraneo de Investigaciones Marinas y Ambientales (CMIMA); CSIC - Unidad de Tecnologia Marina (UTM); Australian Antarctic Division; Norwegian Polar Institute; Polar Research Institute of China</t>
  </si>
  <si>
    <t>Rogan-Finnemore, M (corresponding author), Council Managers Natl Antarctic Programs COMNAP, Christchurch, New Zealand.</t>
  </si>
  <si>
    <t>michelle.finnemore@comnap.aq</t>
  </si>
  <si>
    <t>CAMBRIDGE UNIV PRESS</t>
  </si>
  <si>
    <t>32 AVENUE OF THE AMERICAS, NEW YORK, NY 10013-2473 USA</t>
  </si>
  <si>
    <t>0032-2474</t>
  </si>
  <si>
    <t>1475-3057</t>
  </si>
  <si>
    <t>POLAR REC</t>
  </si>
  <si>
    <t>POLAR REC.</t>
  </si>
  <si>
    <t>e46</t>
  </si>
  <si>
    <t>10.1017/S003224742100067X</t>
  </si>
  <si>
    <t>Ecology; Environmental Sciences</t>
  </si>
  <si>
    <t>XE2GP</t>
  </si>
  <si>
    <t>Green Published, hybrid, Green Accepted</t>
  </si>
  <si>
    <t>WOS:000723212600001</t>
  </si>
  <si>
    <t>Mason, JG; Eurich, JG; Lau, JD; Battista, W; Free, CM; Mills, KE; Tokunaga, K; Zhao, LZ; Dickey-Collas, M; Valle, M; Pecl, GT; Cinner, JE; McClanahan, TR; Allison, EH; Friedman, WR; Silva, C; Yáñez, E; Barbieri, MA; Kleisner, KM</t>
  </si>
  <si>
    <t>Mason, Julia G.; Eurich, Jacob G.; Lau, Jacqueline D.; Battista, Willow; Free, Christopher M.; Mills, Katherine E.; Tokunaga, Kanae; Zhao, Lily Z.; Dickey-Collas, Mark; Valle, Mireia; Pecl, Gretta T.; Cinner, Joshua E.; McClanahan, Tim R.; Allison, Edward H.; Friedman, Whitney R.; Silva, Claudio; Yanez, Eleuterio; Barbieri, Maria A.; Kleisner, Kristin M.</t>
  </si>
  <si>
    <t>Attributes of climate resilience in fisheries: From theory to practice</t>
  </si>
  <si>
    <t>FISH AND FISHERIES</t>
  </si>
  <si>
    <t>adaptive capacity; coastal communities; fisheries management; global change; social-ecological systems; synthesis science</t>
  </si>
  <si>
    <t>SOCIAL-ECOLOGICAL SYSTEMS; ENVIRONMENTAL-CHANGE; ADAPTIVE GOVERNANCE; RISK PERCEPTIONS; MARINE RESERVES; RANGE SHIFTS; MANAGEMENT; ADAPTATION; OCEAN; FISH</t>
  </si>
  <si>
    <t>In a changing climate, there is an imperative to build coupled social-ecological systems-including fisheries-that can withstand or adapt to climate stressors. Although resilience theory identifies system attributes that supposedly confer resilience, these attributes have rarely been clearly defined, mechanistically explained, nor tested and applied to inform fisheries governance. Here, we develop and apply a comprehensive resilience framework to examine fishery systems across (a) ecological, (b) socio-economic and (c) governance dimensions using five resilience domains: assets, flexibility, organization, learning and agency. We distil and define 38 attributes that confer climate resilience from a coupled literature- and expert-driven approach, describe how they apply to fisheries and provide illustrative examples of resilience attributes in action. Our synthesis highlights that the directionality and mechanism of these attributes depend on the specific context, capacities, and scale of the focal fishery system and associated stressors, and we find evidence of interdependencies among attributes. Overall, however, we find few studies that test resilience attributes in fisheries across all parts of the system, with most examples focussing on the ecological dimension. As such, meaningful quantification of the attributes' contributions to resilience remains a challenge. Our synthesis and holistic framework represent a starting point for critical application of resilience concepts to fisheries social-ecological systems.</t>
  </si>
  <si>
    <t>[Mason, Julia G.; Battista, Willow; Kleisner, Kristin M.] Environm Def Fund, Boston, MA USA; [Mason, Julia G.] Cornell Atkinson Ctr Sustainabil, Ithaca, NY USA; [Eurich, Jacob G.; Valle, Mireia; Friedman, Whitney R.] Univ Calif Santa Barbara, Natl Ctr Ecol Anal &amp; Synth, Santa Barbara, CA 93106 USA; [Eurich, Jacob G.; Free, Christopher M.] Univ Calif Santa Barbara, Inst Marine Sci, Santa Barbara, CA 93106 USA; [Lau, Jacqueline D.; Cinner, Joshua E.] James Cook Univ, ARC Ctr Excellence Coral Reef Studies, Townsville, Qld, Australia; [Lau, Jacqueline D.; Allison, Edward H.] WorldFish, George Town, Malaysia; [Free, Christopher M.] Univ Calif Santa Barbara, Bren Sch Environm Sci &amp; Management, Santa Barbara, CA USA; [Mills, Katherine E.; Tokunaga, Kanae] Gulf Maine Res Inst, Portland, ME USA; [Zhao, Lily Z.] Univ Calif Santa Barbara, Dept Ecol Evolut &amp; Marine Biol, Santa Barbara, CA USA; [Dickey-Collas, Mark] Int Council Explorat Sea ICES, Copenhagen, Denmark; [Dickey-Collas, Mark] Tech Univ Denmark DTU Aqua, Natl Inst Aquat Resources, Lyngby, Denmark; [Valle, Mireia] Basque Res &amp; Technol Alliance BRTA, Marine Res, AZTI, Sukarrieta, Spain; [Pecl, Gretta T.] Univ Tasmania, Inst Marine &amp; Antarctic Studies, Hobart, Tas, Australia; [Pecl, Gretta T.] Univ Tasmania, Ctr Marine Socioecol, Hobart, Tas, Australia; [McClanahan, Tim R.] Wildlife Conservat Soc, Global Marine Programs, Bronx, NY USA; [Friedman, Whitney R.] Nature Conservancy, 1815 N Lynn St, Arlington, VA USA; [Silva, Claudio; Yanez, Eleuterio; Barbieri, Maria A.] Pontificia Univ Catolica Valparaiso, Escuela Ciencias Mar, Valparaiso, Chile; [Silva, Claudio] Ctr Invest Oceano Sustentable, Limache, Chile</t>
  </si>
  <si>
    <t>Environmental Defense Fund; University of California System; University of California Santa Barbara; National Center for Ecological Analysis &amp; Synthesis; University of California System; University of California Santa Barbara; James Cook University; CGIAR; Worldfish; University of California System; University of California Santa Barbara; Gulf of Maine Research Institute; University of California System; University of California Santa Barbara; Technical University of Denmark; AZTI; University of Tasmania; University of Tasmania; Wildlife Conservation Society; Nature Conservancy; Pontificia Universidad Catolica de Valparaiso</t>
  </si>
  <si>
    <t>Eurich, JG (corresponding author), Univ Calif Santa Barbara, Natl Ctr Ecol Anal &amp; Synth, Santa Barbara, CA 93106 USA.</t>
  </si>
  <si>
    <t>jacobeurich@ucsb.edu</t>
  </si>
  <si>
    <t>Free, Christopher Michael/AAC-5103-2019; Eurich, Dr. Jacob G./K-8598-2019; Cinner, Joshua Eli/E-8966-2011; Dickey-Collas, Mark/A-8036-2008; Pecl, Gretta/D-7267-2011; Valle, Mireia/G-5783-2011</t>
  </si>
  <si>
    <t>Free, Christopher Michael/0000-0002-2557-8920; Eurich, Dr. Jacob G./0000-0003-1764-7524; Cinner, Joshua Eli/0000-0003-2675-9317; Dickey-Collas, Mark/0000-0003-3154-8039; Pecl, Gretta/0000-0003-0192-4339; Valle, Mireia/0000-0001-8517-8518; Lau, Jacqueline/0000-0002-0403-8423; Mills, Katherine/0000-0001-6078-7747; Battista, Willow/0000-0002-2616-2740; Tokunaga, Kanae/0000-0002-6171-5187</t>
  </si>
  <si>
    <t>David and Lucile Packard Foundation [2018-68222]; David R. and Patricia D. Atkinson Foundation; National Science Foundation [CNH 1826668]; ARC Centre of Excellence in Coral Reef Studies, James Cook University; CGIAR Research Program on Fish Agri-Food Systems (FISH); CGIAR Trust Fund; Australian Research Council [CE140100020, FT160100047]</t>
  </si>
  <si>
    <t>David and Lucile Packard Foundation(The David &amp; Lucile Packard Foundation); David R. and Patricia D. Atkinson Foundation; National Science Foundation(National Science Foundation (NSF)); ARC Centre of Excellence in Coral Reef Studies, James Cook University; CGIAR Research Program on Fish Agri-Food Systems (FISH)(CGIAR); CGIAR Trust Fund(CGIAR); Australian Research Council(Australian Research Council)</t>
  </si>
  <si>
    <t>This paper resulted from the Science for Nature and People Partnership (SNAPP) Climate Resilient Fisheries Working Group. SNAPP is a partnership of The Nature Conservancy and Wildlife Conservation Society. This SNAPP working group is part of a cohort of research funded by the generosity of the David and Lucile Packard Foundation Grant #2018-68222 to address the theme of Oceans, Climate, and Equity. The manuscript greatly benefited from all working group leaders, members and advisors and from additional external experts (see Supplementary Information for full list) who assisted in the development, conceptualization and peer review of the resilience attributes. George Freduah was a core part of the literature review and thematic coding. We are particularly grateful to Pat Sullivan for thoughtful comments that improved the manuscript and Hannah Epstein and Hugo Harrison for their thoughtful discussions and inputs to the resilience attributes. We thank Derek Armitage, Lyall Bellquist, Merrick Burden, Beth Fulton, Rod Fujita, Steve Gaines, Christopher Golden, Anne Hollowed, Sangeeta Mangubhai, Essam Mohammed, Myron Peck, Andy Pershing, Joern Schmidt and Lynne Shannon for their peer review of the resilience attributes and Petri Tuohimaa for his graphic design work. We are also grateful for the financial support of the David R. and Patricia D. Atkinson Foundation (to JGM), the National Science Foundation (CNH 1826668 to JGE), the ARC Centre of Excellence in Coral Reef Studies, James Cook University, the CGIAR Research Program on Fish Agri-Food Systems (FISH) led by WorldFish, and the CGIAR Trust Fund (to JDL) and the Australian Research Council (CE140100020, FT160100047 to JEC). The manuscript greatly benefited from the input of two anonymous reviewers.</t>
  </si>
  <si>
    <t>1467-2960</t>
  </si>
  <si>
    <t>1467-2979</t>
  </si>
  <si>
    <t>FISH FISH</t>
  </si>
  <si>
    <t>Fish. Fish.</t>
  </si>
  <si>
    <t>MAY</t>
  </si>
  <si>
    <t>10.1111/faf.12630</t>
  </si>
  <si>
    <t>Fisheries</t>
  </si>
  <si>
    <t>0K7BX</t>
  </si>
  <si>
    <t>WOS:000723559800001</t>
  </si>
  <si>
    <t>Proud, R; Le Guen, C; Sherley, RB; Kato, A; Ropert-Coudert, Y; Ratcliffe, N; Jarman, S; Wyness, A; Arnould, JPY; Saunders, RA; Fernandes, PG; Boehme, L; Brierley, AS</t>
  </si>
  <si>
    <t>Proud, Roland; Le Guen, Camille; Sherley, Richard B.; Kato, Akiko; Ropert-Coudert, Yan; Ratcliffe, Norman; Jarman, Simon; Wyness, Adam; Arnould, John P. Y.; Saunders, Ryan A.; Fernandes, Paul G.; Boehme, Lars; Brierley, Andrew S.</t>
  </si>
  <si>
    <t>Using Predicted Patterns of 3D Prey Distribution to Map King Penguin Foraging Habitat</t>
  </si>
  <si>
    <t>acoustic surveys; Aptenodytes patagonicus; diving behaviour; foraging habitat; king penguin; prey distribution; Southern Ocean; South Georgia</t>
  </si>
  <si>
    <t>APTENODYTES-PATAGONICUS; SOUTHERN-OCEAN; MESOPELAGIC FISH; SCOTIA SEA; SCATTERING LAYERS; NOTOTHENIA-ROSSII; FALKLAND ISLANDS; DIET; KERGUELEN; ABUNDANCE</t>
  </si>
  <si>
    <t>King penguins (Aptenodytes patagonicus) are an iconic Southern Ocean species, but the prey distributions that underpin their at-sea foraging tracks and diving behaviour remain unclear. We conducted simultaneous acoustic surveys off South Georgia and tracking of king penguins breeding ashore there in Austral summer 2017 to gain insight into habitat use and foraging behaviour. Acoustic surveys revealed ubiquitous deep scattering layers (DSLs; acoustically detected layers of fish and other micronekton that inhabit the mesopelagic zone) at c. 500 m and shallower ephemeral fish schools. Based on DNA extracted from penguin faecal samples, these schools were likely comprised of lanternfish (an important component of king penguin diets), icefish (Channichthyidae spp.) and painted noties (Lepidonotothen larseni). Penguins did not dive as deep as DSLs, but their prey-encounter depth-distributions, as revealed by biologging, overlapped at fine scale (10s of m) with depths of acoustically detected fish schools. We used neural networks to predict local scale (10 km) fish echo intensity and depth distribution at penguin dive locations based on environmental correlates, and developed models of habitat use. Habitat modelling revealed that king penguins preferentially foraged at locations predicted to have shallow and dense (high acoustic energy) fish schools associated with shallow and dense DSLs. These associations could be used to predict the distribution of king penguins from other colonies at South Georgia for which no tracking data are available, and to identify areas of potential ecological significance within the South Georgia and the South Sandwich Islands marine protected area.</t>
  </si>
  <si>
    <t>[Proud, Roland; Le Guen, Camille; Brierley, Andrew S.] Univ St Andrews, Scottish Oceans Inst, Sch Biol, Gatty Marine Lab, St Andrews, Scotland; [Sherley, Richard B.] Univ Exeter, Ctr Ecol &amp; Conservat, Penryn, England; [Sherley, Richard B.] Univ Cape Town, FitzPatrick Inst African Ornithol, DST NRF Ctr Excellence, Rondebosch, South Africa; [Kato, Akiko; Ropert-Coudert, Yan] La Rochelle Univ, Ctr Etudes Biol Chize, UMR 7372, CNRS, Villiers en Bois, France; [Ratcliffe, Norman; Saunders, Ryan A.] British Antarctic Survey, Cambridge, England; [Jarman, Simon] Univ Western Australia, Sch Biol Sci, Perth, WA, Australia; [Wyness, Adam] Rhodes Univ, Dept Zool &amp; Entomol, Coastal Res Grp, Grahamstown, South Africa; [Arnould, John P. Y.] Deakin Univ, Sch Life &amp; Environm Sci, Burwood, Vic, Australia; [Fernandes, Paul G.] Univ Aberdeen, Sch Biol Sci, Aberdeen, Scotland; [Boehme, Lars] Univ St Andrews, Scottish Oceans Inst, Sch Biol, Gatty Marine Lab, St Andrews, Scotland</t>
  </si>
  <si>
    <t>University of St Andrews; University of Exeter; National Research Foundation - South Africa; University of Cape Town; Centre National de la Recherche Scientifique (CNRS); CNRS - Institute of Ecology &amp; Environment (INEE); UK Research &amp; Innovation (UKRI); Natural Environment Research Council (NERC); NERC British Antarctic Survey; University of Western Australia; Rhodes University; Deakin University; University of Aberdeen; University of St Andrews</t>
  </si>
  <si>
    <t>Proud, R (corresponding author), Univ St Andrews, Scottish Oceans Inst, Sch Biol, Gatty Marine Lab, St Andrews, Scotland.</t>
  </si>
  <si>
    <t>rp43@st-andrews.ac.uk</t>
  </si>
  <si>
    <t>Boehme, Lars/B-6567-2009; Brierley, Andrew/G-8019-2011; Fernandes, Paul/H-2972-2013; Sherley, Richard/D-7507-2012</t>
  </si>
  <si>
    <t>Boehme, Lars/0000-0003-3513-6816; Wyness, Adam/0000-0003-1202-6358; Proud, Roland/0000-0002-8647-5562; Brierley, Andrew/0000-0002-6438-6892; Fernandes, Paul/0000-0003-4135-115X; Sherley, Richard/0000-0001-7367-9315</t>
  </si>
  <si>
    <t>Swiss Polar Institute; School of Biology, University of St Andrews; Natural Environment Research Council's Collaborative Antarctic Science Scheme [CASS-129]; TransAntarctic Association; British Antarctic Survey Collaborative Gearing Scheme; UKRI/NERC [NE/R012679/1]; NERC [NE/R012679/1, bas0100035] Funding Source: UKRI</t>
  </si>
  <si>
    <t>Swiss Polar Institute; School of Biology, University of St Andrews; Natural Environment Research Council's Collaborative Antarctic Science Scheme; TransAntarctic Association; British Antarctic Survey Collaborative Gearing Scheme; UKRI/NERC(UK Research &amp; Innovation (UKRI)Natural Environment Research Council (NERC)); NERC(UK Research &amp; Innovation (UKRI)Natural Environment Research Council (NERC))</t>
  </si>
  <si>
    <t>The at-sea data collection and 50% of CLG's Ph.D. studentship was provided by the Swiss Polar Institute as a grant `Unlocking the Secrets of the False Bottom' to ASB. The School of Biology, University of St Andrews, funded the other 50% of CLG's studentship. Work at South Georgia was supported by the Natural Environment Research Council's Collaborative Antarctic Science Scheme (CASS-129), a grant from the TransAntarctic Association grant to RBS, and a British Antarctic Survey Collaborative Gearing Scheme grant to RBS and ASB. ASB and RP were supported in part by UKRI/NERC under grant NE/R012679/1.</t>
  </si>
  <si>
    <t>10.3389/fmars.2021.745200</t>
  </si>
  <si>
    <t>VM1QA</t>
  </si>
  <si>
    <t>Green Accepted, gold, Green Published</t>
  </si>
  <si>
    <t>WOS:000967190400001</t>
  </si>
  <si>
    <t>Landais, A; Stenni, B; Masson-Delmotte, V; Jouzel, J; Cauquoin, A; Fourré, E; Minster, B; Selmo, E; Extier, T; Werner, M; Vimeux, F; Uemura, R; Crotti, I; Grisart, A</t>
  </si>
  <si>
    <t>Landais, A.; Stenni, B.; Masson-Delmotte, V; Jouzel, J.; Cauquoin, A.; Fourre, E.; Minster, B.; Selmo, E.; Extier, T.; Werner, M.; Vimeux, F.; Uemura, R.; Crotti, I; Grisart, A.</t>
  </si>
  <si>
    <t>Interglacial Antarctic-Southern Ocean climate decoupling due to moisture source area shifts</t>
  </si>
  <si>
    <t>NATURE GEOSCIENCE</t>
  </si>
  <si>
    <t>EPICA DOME-C; DEUTERIUM EXCESS; CHRONOLOGY AICC2012; STABLE-ISOTOPES; SURFACE SNOW; ANNULAR MODE; SEA-ICE; PRECIPITATION; CIRCULATION; RECORDS</t>
  </si>
  <si>
    <t>Interglacial temperature coupling between East Antarctica and the Southern Ocean was set by the position of moisture source regions, according to an 800,000-year-long deuterium-excess ice-core record from East Antarctica. Succession of cold glacials and warm interglacials during the Quaternary results from large global climate responses to variable orbital configurations, accompanied by fluctuating greenhouse gas concentrations. Despite the influences of sea ice and atmospheric and ocean circulations in the Southern Ocean on atmospheric CO2 concentrations and climate, past changes in this region remain poorly documented. Here, we present the 800 ka deuterium excess record from the East Antarctica EPICA Dome C ice core, tracking sea surface temperature in evaporative regions of the Indian sector of the Southern Ocean from which moisture precipitated in East Antarctica is derived. We find that low obliquity leads to surface warming in evaporative moisture source regions during each glacial inception, although this relative temperature increase is counterbalanced by global cooling during glacial maxima. Links between the two regions during interglacials depends on the existence of a temperature maximum at the interglacial onset. In its absence, temperature maxima in the evaporative moisture source regions and in East Antarctica were synchronous. For the other interglacials, temperature maxima in the source areas lag early local temperature maxima by several thousand years, probably because of a change in the position of the evaporative source areas.</t>
  </si>
  <si>
    <t>[Landais, A.; Masson-Delmotte, V; Jouzel, J.; Fourre, E.; Minster, B.; Extier, T.; Vimeux, F.; Crotti, I; Grisart, A.] Univ Paris Saclay, Lab Sci Climat &amp; Environm, LSCE IPSL, CEA CNRS UVSQ, Gif Sur Yvette, France; [Stenni, B.; Crotti, I] Ca Foscari Univ Venice, Dept Environm Sci Informat &amp; Stat, Venice, Italy; [Cauquoin, A.] Univ Tokyo, Inst Ind Sci, Kashiwa, Chiba, Japan; [Selmo, E.] Univ Parma, Dept Chem Life Sci &amp; Environm Sustainabil, Parco Area Sci, Parma, Italy; [Werner, M.] Helmholtz Ctr Marine &amp; Polar Res, Alfred Wegener Inst, Bremerhaven, Germany; [Vimeux, F.] UM, HydroSci Montpellier HSM, UMR 5569, CNRS,IRD, Montpellier, France; [Uemura, R.] Nagoya Univ, Grad Sch Environm Studies, Dept Earth &amp; Environm Sci, Chikusa Ku, Nagoya, Aichi, Japan; [Extier, T.] Univ Bordeaux, CNRS, EPOC, UMR 5805, Pessac, France</t>
  </si>
  <si>
    <t>CEA; Centre National de la Recherche Scientifique (CNRS); Universite Paris Saclay; Universite Paris Cite; Universita Ca Foscari Venezia; University of Tokyo; University of Parma; Helmholtz Association; Alfred Wegener Institute, Helmholtz Centre for Polar &amp; Marine Research; Institut de Recherche pour le Developpement (IRD); Centre National de la Recherche Scientifique (CNRS); CNRS - National Institute for Earth Sciences &amp; Astronomy (INSU); Universite de Montpellier; Nagoya University; Universite de Bordeaux; Centre National de la Recherche Scientifique (CNRS); CNRS - National Institute for Earth Sciences &amp; Astronomy (INSU)</t>
  </si>
  <si>
    <t>Landais, A (corresponding author), Univ Paris Saclay, Lab Sci Climat &amp; Environm, LSCE IPSL, CEA CNRS UVSQ, Gif Sur Yvette, France.</t>
  </si>
  <si>
    <t>amaelle.landais@lsce.ipsl.fr</t>
  </si>
  <si>
    <t>Cauquoin, Alexandre/HCH-9930-2022; Masson-Delmotte, Valerie L/G-1995-2011; Uemura, Ryu/AGR-0677-2022; Werner, Martin/C-8067-2014; Uemura, Ryu/C-9793-2012</t>
  </si>
  <si>
    <t>Cauquoin, Alexandre/0000-0002-4620-4696; Masson-Delmotte, Valerie L/0000-0001-8296-381X; Uemura, Ryu/0000-0002-4236-0085; Werner, Martin/0000-0002-6473-0243; Uemura, Ryu/0000-0002-4236-0085; Extier, Thomas/0000-0002-9531-8753; LANDAIS, Amaelle/0000-0002-5620-5465; Stenni, Barbara/0000-0003-4950-3664; FOURRE, Elise/0000-0002-2554-9660; Crotti, Ilaria/0000-0002-7270-6446</t>
  </si>
  <si>
    <t>European Union; European Research Council under the European Union H2020 Programme (H2020/2019-2024)/ERC grant [817493]; European Research Council (ERC) [817493] Funding Source: European Research Council (ERC)</t>
  </si>
  <si>
    <t>European Union(European Union (EU)); European Research Council under the European Union H2020 Programme (H2020/2019-2024)/ERC grant(European Research Council (ERC)); European Research Council (ERC)(European Research Council (ERC)Spanish Government)</t>
  </si>
  <si>
    <t>This work is a contribution to EPICA, a joint European Science Foundation/European Commission (EU) scientific programme, funded by the European Union and by national contributions from Belgium, Denmark, France, Germany, Italy, the Netherlands, Norway, Sweden, Switzerland and the United Kingdom. The main logistic support was provided by Institut Polaire Francais Paul-Emile Victor and Programma Nazionale Ricerche in Antartide (at Dome C) and Alfred Wegener Institute (at Dronning Maud Land). We thank the Dome C logistics teams and the drilling team that made the science possible. The research leading to these results has also received funding from the European Research Council under the European Union H2020 Programme (H2020/20192024)/ERC grant agreement no. 817493 ERC ICORDA (A.L., E.F.). We thank E. Michel for useful comments on the manuscript. This study is also part of the project ANR NEANDROOT.</t>
  </si>
  <si>
    <t>1752-0894</t>
  </si>
  <si>
    <t>1752-0908</t>
  </si>
  <si>
    <t>NAT GEOSCI</t>
  </si>
  <si>
    <t>Nat. Geosci.</t>
  </si>
  <si>
    <t>10.1038/s41561-021-00856-4</t>
  </si>
  <si>
    <t>XK3KK</t>
  </si>
  <si>
    <t>WOS:000723566800003</t>
  </si>
  <si>
    <t>Bloch, W; Schurr, B; Yuan, XH; Ratschbacher, L; Reuter, S; Kufner, SK; Xu, Q; Zhao, JM</t>
  </si>
  <si>
    <t>Bloch, Wasja; Schurr, Bernd; Yuan, Xiaohui; Ratschbacher, Lothar; Reuter, Sanaa; Kufner, Sofia-Katerina; Xu, Qiang; Zhao, Junmeng</t>
  </si>
  <si>
    <t>Structure and Stress Field of the Lithosphere Between Pamir and Tarim</t>
  </si>
  <si>
    <t>GEOPHYSICAL RESEARCH LETTERS</t>
  </si>
  <si>
    <t>continental collision; Pamir; delamination; subduction</t>
  </si>
  <si>
    <t>COLLISIONAL OROGENS; EARTHQUAKE; SUBDUCTION; BENEATH; ZONE; TRANSFORMATION; DELAMINATION; TIBETAN; CRUSTAL; MODELS</t>
  </si>
  <si>
    <t>The Pamir plateau protrudes similar to 300 km between the Tajik- and Tarim-basin lithosphere of Central Asia. Whether its salient location and shape are caused by forceful indentation of a promontory of Indian mantle lithosphere is debated. We present a new local-seismicity and focal-mechanism catalog, and a P-wave velocity model of the eastern part of the collision system. The data suggest a south-dipping Asian slab that overturns in its easternmost segment. The largest principal stress at depth acts normal on the slab and is orientated parallel to the plate convergence direction. In front (south) of the Asian slab, a volume of mantle with elevated velocities and lined by weak seismicity constitutes the postulated Indian mantle indenter. We propose that the indenter delaminates and overturns the Asian slab, underthrusts the Tarim lithosphere along a compressive transform boundary, and controls the location and shape of the Pamir plateau.</t>
  </si>
  <si>
    <t>[Bloch, Wasja; Schurr, Bernd; Yuan, Xiaohui; Kufner, Sofia-Katerina] GFZ German Res Ctr Geosci, Potsdam, Germany; [Bloch, Wasja] Univ British Columbia, Earth Ocean &amp; Atmospher Sci, Vancouver, BC, Canada; [Ratschbacher, Lothar; Reuter, Sanaa] Tech Univ Bergakad Freiberg, Geol, Freiberg, Germany; [Kufner, Sofia-Katerina] British Antarctic Survey, Cambridge, England; [Xu, Qiang; Zhao, Junmeng] Chinese Acad Sci, Inst Tibetan Plateau Res, Key Lab Continental Collis &amp; Plateau Uplift, Beijing, Peoples R China; [Xu, Qiang; Zhao, Junmeng] CAS Ctr Excellence Tibetan Plateau Earth Sci, Beijing, Peoples R China</t>
  </si>
  <si>
    <t>Helmholtz Association; Helmholtz-Center Potsdam GFZ German Research Center for Geosciences; University of British Columbia; Technical University Freiberg; UK Research &amp; Innovation (UKRI); Natural Environment Research Council (NERC); NERC British Antarctic Survey; Chinese Academy of Sciences; Institute of Tibetan Plateau Research, CAS</t>
  </si>
  <si>
    <t>Bloch, W (corresponding author), GFZ German Res Ctr Geosci, Potsdam, Germany.;Bloch, W (corresponding author), Univ British Columbia, Earth Ocean &amp; Atmospher Sci, Vancouver, BC, Canada.</t>
  </si>
  <si>
    <t>wbloch@eoas.ubc.ca</t>
  </si>
  <si>
    <t>Yuan, Xiaohui/G-5149-2010; Xu, Qiang/I-9400-2017; Ratschbacher, Lothar/JJF-0555-2023</t>
  </si>
  <si>
    <t>Yuan, Xiaohui/0000-0002-2891-1354; Ratschbacher, Lothar/0000-0001-9960-2084; Kufner, Sofia-Katerina/0000-0002-9687-5455; Bloch, Wasja/0000-0002-0341-4925; Schurr, Bernd/0000-0002-3746-9166</t>
  </si>
  <si>
    <t>CaTeNA project of the German Federal Ministry of Science and Education [03G0878A, 03G0878B]; German Research Council (DFG) [Ra 442/41]; Projekt DEAL</t>
  </si>
  <si>
    <t>CaTeNA project of the German Federal Ministry of Science and Education; German Research Council (DFG)(German Research Foundation (DFG)); Projekt DEAL</t>
  </si>
  <si>
    <t>We thank the drivers and field participants from the Institute of Tibetan Plateau Research, especially Hongbing Liu, who helped to organize the station deployment, Christian Sippl for sharing code and discussion and two anonymous reviewers for their helpful comments. Funded by the CaTeNA project of the German Federal Ministry of Science and Education (support codes 03G0878A and 03G0878B) and German Research Council (DFG) grant Ra 442/41. Part of the instruments were provided by GIPP of GFZ Potsdam. Open access funding enabled and organized by Projekt DEAL.</t>
  </si>
  <si>
    <t>AMER GEOPHYSICAL UNION</t>
  </si>
  <si>
    <t>2000 FLORIDA AVE NW, WASHINGTON, DC 20009 USA</t>
  </si>
  <si>
    <t>0094-8276</t>
  </si>
  <si>
    <t>1944-8007</t>
  </si>
  <si>
    <t>GEOPHYS RES LETT</t>
  </si>
  <si>
    <t>Geophys. Res. Lett.</t>
  </si>
  <si>
    <t>NOV 28</t>
  </si>
  <si>
    <t>e2021GL095413</t>
  </si>
  <si>
    <t>10.1029/2021GL095413</t>
  </si>
  <si>
    <t>XE0RV</t>
  </si>
  <si>
    <t>WOS:000723105600025</t>
  </si>
  <si>
    <t>Hofer, S; Amory, C; Kittel, C; Carlsen, T; Le Toumelin, L; Storelvmo, T</t>
  </si>
  <si>
    <t>Hofer, Stefan; Amory, Charles; Kittel, Christoph; Carlsen, Tim; Le Toumelin, Louis; Storelvmo, Trude</t>
  </si>
  <si>
    <t>The Contribution of Drifting Snow to Cloud Properties and the Atmospheric Radiative Budget Over Antarctica</t>
  </si>
  <si>
    <t>climate; Antarctica; Glaciology; clouds; drifting snow; blowing snow</t>
  </si>
  <si>
    <t>SURFACE MASS-BALANCE; MIXED-PHASE CLOUDS; BLOWING SNOW; LONGWAVE RADIATION; ADELIE LAND; CLIMATE; GREENLAND; IMPACT; MODEL; ENERGY</t>
  </si>
  <si>
    <t>The Antarctic Ice Sheet experiences perpetual katabatic winds, transporting snow, and moisture from the interior towards the periphery. However, the impacts of Antarctic moisture and drifting snow on cloud structure and surface energy fluxes have not been widely investigated. Here, we use a regional climate model with a newly developed drifting snow scheme to show that accounting for drifting snow notably alters the spatial distribution, vertical structure and radiative effect of clouds over Antarctica. Overall, we find that accounting for drifting snow leads to a greater cloud cover providing an increase of +2.74 Wm(-2) in the surface radiative energy budget. Additionally, a comparison with 20 weather stations reveals a 2.17 Wm(-2) improvement in representing the radiative energy fluxes. Our results highlight the need to study the impact of drifting snow processes on the future evolution of clouds, the surface energy budget and the vertical atmospheric structure over Antarctica.</t>
  </si>
  <si>
    <t>[Hofer, Stefan; Carlsen, Tim; Storelvmo, Trude] Univ Oslo, Dept Geosci, Oslo, Norway; [Amory, Charles; Kittel, Christoph] Univ Liege, SPHERES Res Unit, Lab Climatol, Liege, Belgium; [Amory, Charles] Univ Grenoble Alpes, CNRS, Inst Geosci Environm, Grenoble, France; [Le Toumelin, Louis] Univ Grenoble Alpes, Univ Toulouse, CNRS, CNRM,Ctr Etud Neige, Grenoble, France</t>
  </si>
  <si>
    <t>University of Oslo; University of Liege; Centre National de la Recherche Scientifique (CNRS); Communaute Universite Grenoble Alpes; Universite Grenoble Alpes (UGA); Communaute Universite Grenoble Alpes; Universite Grenoble Alpes (UGA); Centre National de la Recherche Scientifique (CNRS)</t>
  </si>
  <si>
    <t>Hofer, S (corresponding author), Univ Oslo, Dept Geosci, Oslo, Norway.</t>
  </si>
  <si>
    <t>stefan.hofer@geo.uio.no</t>
  </si>
  <si>
    <t>; Carlsen, Tim/G-2195-2017</t>
  </si>
  <si>
    <t>Storelvmo, Trude/0000-0002-0068-2430; Carlsen, Tim/0000-0003-0695-9047; Hofer, Stefan/0000-0002-5249-1249; Amory, Charles/0000-0002-5906-4303; Kittel, Christoph/0000-0001-6586-9784</t>
  </si>
  <si>
    <t>European Research Council (ERC) under the European Union's Horizon 2020 research and innovation programme [758005]</t>
  </si>
  <si>
    <t>European Research Council (ERC) under the European Union's Horizon 2020 research and innovation programme(European Research Council (ERC))</t>
  </si>
  <si>
    <t>This project has received funding from the European Research Council (ERC) under the European Union's Horizon 2020 research and innovation programme (Grant agreement No. 758005).</t>
  </si>
  <si>
    <t>e2021GL094967</t>
  </si>
  <si>
    <t>10.1029/2021GL094967</t>
  </si>
  <si>
    <t>WOS:000723105600041</t>
  </si>
  <si>
    <t>Stone, KA; Solomon, S; Kinnison, DE; Mills, MJ</t>
  </si>
  <si>
    <t>Stone, K. A.; Solomon, S.; Kinnison, D. E.; Mills, Michael J.</t>
  </si>
  <si>
    <t>On Recent Large Antarctic Ozone Holes and Ozone Recovery Metrics</t>
  </si>
  <si>
    <t>middle atmosphere; ozone depletion and recovery; ozone hole; stratospheric chemistry; stratospheric ozone</t>
  </si>
  <si>
    <t>EMISSIONS; DEPLETION; CHEMISTRY; CHLORINE</t>
  </si>
  <si>
    <t>The 2015 and 2020 ozone holes set record sizes in October-December. We show that these years, as well as other recent large ozone holes, still adhere to a fundamental recovery metric: the later onset of early spring ozone depletion as chlorine and bromine diminishes. This behavior is also captured in the Whole Atmosphere Chemistry Climate Model. We quantify observed recovery trends of the onset of the ozone hole and in the size of the September ozone hole, with good model agreement. A substantial reduction in ozone hole depth during September over the past decade is also seen. Our results indicate that, due to dynamical phenomena, it is likely that large ozone holes will continue to occur intermittently in October-December, but ozone recovery will still be detectable through the later onset, smaller, and less deep September ozone holes: metrics that are governed more by chemical processes.</t>
  </si>
  <si>
    <t>[Stone, K. A.; Solomon, S.] MIT, Dept Earth Atmospher &amp; Planetary Sci, Cambridge, MA 02139 USA; [Kinnison, D. E.; Mills, Michael J.] Natl Ctr Atmospher Res, Atmospher Chem Observat &amp; Modeling Lab, POB 3000, Boulder, CO 80307 USA</t>
  </si>
  <si>
    <t>Massachusetts Institute of Technology (MIT); National Center Atmospheric Research (NCAR) - USA</t>
  </si>
  <si>
    <t>Stone, KA (corresponding author), MIT, Dept Earth Atmospher &amp; Planetary Sci, Cambridge, MA 02139 USA.</t>
  </si>
  <si>
    <t>stonek@mit.edu</t>
  </si>
  <si>
    <t>; Mills, Michael/B-5068-2010</t>
  </si>
  <si>
    <t>Kinnison, Douglas/0000-0002-3418-0834; Mills, Michael/0000-0002-8054-1346</t>
  </si>
  <si>
    <t>National Science Foundation NSF [1848863]; NASA [80NSSC19K0952]; Div Atmospheric &amp; Geospace Sciences; Directorate For Geosciences [1848863] Funding Source: National Science Foundation</t>
  </si>
  <si>
    <t>National Science Foundation NSF(National Science Foundation (NSF)); NASA(National Aeronautics &amp; Space Administration (NASA)); Div Atmospheric &amp; Geospace Sciences; Directorate For Geosciences(National Science Foundation (NSF)NSF - Directorate for Geosciences (GEO))</t>
  </si>
  <si>
    <t>K. A. Stone and S. Solomon were supported by a gift to MIT from an anonymous donor and by a grant from the National Science Foundation NSF 1848863. D. E. Kinnison was funded in part by NASA grant (80NSSC19K0952). Cheyenne: HPE/SGI ICE XA System (NCAR Community Computing). Boulder, CO: National Center for Atmospheric Research. doi:. The authors would like to thank Bodeker Scientific for providing the BS-filled total column ozone database.</t>
  </si>
  <si>
    <t>e2021GL095232</t>
  </si>
  <si>
    <t>10.1029/2021GL095232</t>
  </si>
  <si>
    <t>WOS:000723105600003</t>
  </si>
  <si>
    <t>Zhang, XQ; He, B; Liu, YM; Bao, Q; Zheng, F; Li, JX; Hu, WT; Wu, GX</t>
  </si>
  <si>
    <t>Zhang, Xiaoqi; He, Bian; Liu, Yimin; Bao, Qing; Zheng, Fei; Li, Jinxiao; Hu, Wenting; Wu, Guoxiong</t>
  </si>
  <si>
    <t>Evaluation of the seasonality and spatial aspects of the Southern Annular Mode in CMIP6 models</t>
  </si>
  <si>
    <t>INTERNATIONAL JOURNAL OF CLIMATOLOGY</t>
  </si>
  <si>
    <t>AMIP; CMIP6; historical; model evaluation; seasonal variation; Southern Annular Mode</t>
  </si>
  <si>
    <t>ANTARCTIC OSCILLATION; EXTRATROPICAL CIRCULATION; MEAN STATE; PART II; HEMISPHERE; CLIMATE; VARIABILITY; PERFORMANCE; SIMULATION; RAINFALL</t>
  </si>
  <si>
    <t>The simulation skills of the Southern Annular Mode (SAM) pattern for the CMIP6 models are evaluated in this study. Both the Atmospheric Model Intercomparison Project (AMIP) and historical experiments are utilized to understand the effect of SST forcing and air-sea interaction. The spatial correlation coefficient, standard deviation, and root-mean-square error (RMSE) are used as the objective metrics. The results suggest that the multimodel mean (MME) for both AMIP and historical data could capture the basic spatial patterns of the SAM for all seasons, featuring the opposite sign between the middle and high latitudes with a zonal three-wave structure in the middle latitudes (positive phase). However, the overall skill of the AMIP simulation is higher than that of the historical simulation, which could be attributed to realistic SST forcing being applied. The simulation skill varies for different seasons: the skill for boreal spring (March-May [MAM]) is the lowest, while it is highest in boreal winter (December-February [DJF]). Further analysis shows that the simulations of the SAM asymmetric part are the key component for the simulation of the spatial pattern of the SAM, especially sensitive in MAM. The wave-current interaction simulation at mid-high latitudes is suggested to be improved for the advancement of SAM simulations in future model development.</t>
  </si>
  <si>
    <t>[Zhang, Xiaoqi] Nanjing Univ Informat Sci &amp; Technol, Sch Atmospher Sci, Nanjing, Peoples R China; [Zhang, Xiaoqi; He, Bian; Liu, Yimin; Bao, Qing; Li, Jinxiao; Hu, Wenting; Wu, Guoxiong] Chinese Acad Sci, Inst Atmospher Phys, State Key Lab Numer Modeling Atmospher Sci &amp; Geop, Beijing, Peoples R China; [He, Bian; Liu, Yimin; Wu, Guoxiong] Univ Chinese Acad Sci, Coll Earth &amp; Planetary Sci, Beijing, Peoples R China; [Zheng, Fei] Sun Yat Sen Univ, Sch Atmospher Sci, Key Lab Trop Atmosphere Ocean Syst, Minist Educ, Zhuhai, Peoples R China; [Zheng, Fei] Southem Marine Sci &amp; Engn Guangdong Lab, Zhuhai, Peoples R China</t>
  </si>
  <si>
    <t>Nanjing University of Information Science &amp; Technology; Chinese Academy of Sciences; Institute of Atmospheric Physics, CAS; Chinese Academy of Sciences; University of Chinese Academy of Sciences, CAS; Sun Yat Sen University</t>
  </si>
  <si>
    <t>He, B; Liu, YM (corresponding author), Chinese Acad Sci, Inst Atmospher Phys, State Key Lab Numer Modeling Atmospher Sci &amp; Geop, Dynam LASG, Beijing 100029, Peoples R China.</t>
  </si>
  <si>
    <t>heb@lasg.iap.ac.cn; lym@lasg.iap.ac.cn</t>
  </si>
  <si>
    <t>Li, Kun/JLL-6505-2023; Liu, Kai/IST-6808-2023; Bao, Qing/A-7765-2012; Liu, Yi/HTN-4916-2023; Yan, Jun/IXD-7801-2023; Zheng, Fei/AAV-7512-2021; Liu, Kun/JAX-5396-2023; Liu, Yiming/ISU-3780-2023; Wu, GX/AAJ-5341-2020</t>
  </si>
  <si>
    <t>Li, Kun/0000-0002-3638-2974; Zheng, Fei/0000-0001-6135-6148; He, Bian/0000-0002-7290-2201; Hu, Wenting/0000-0003-1770-4680</t>
  </si>
  <si>
    <t>Strategic Priority Research Program of the Chinese Academy of Sciences [XDA19070404]; National Key Research and Development Program of China [2020YFA0608903, 2017YFA0604004]; National Natural Science Foundation of China [42030602]</t>
  </si>
  <si>
    <t>Strategic Priority Research Program of the Chinese Academy of Sciences(Chinese Academy of Sciences); National Key Research and Development Program of China; National Natural Science Foundation of China(National Natural Science Foundation of China (NSFC))</t>
  </si>
  <si>
    <t>Strategic Priority Research Program of the Chinese Academy of Sciences, Grant/Award Number: XDA19070404; National Key Research and Development Program of China, Grant/Award Numbers: 2020YFA0608903, 2017YFA0604004; National Natural Science Foundation of China, Grant/Award Number: 42030602</t>
  </si>
  <si>
    <t>0899-8418</t>
  </si>
  <si>
    <t>1097-0088</t>
  </si>
  <si>
    <t>INT J CLIMATOL</t>
  </si>
  <si>
    <t>Int. J. Climatol.</t>
  </si>
  <si>
    <t>JUN 15</t>
  </si>
  <si>
    <t>10.1002/joc.7447</t>
  </si>
  <si>
    <t>Meteorology &amp; Atmospheric Sciences</t>
  </si>
  <si>
    <t>1X8IJ</t>
  </si>
  <si>
    <t>WOS:000723011800001</t>
  </si>
  <si>
    <t>Morley, SA; Navarro, JM; Ortíz, A; Détrée, C; Gerrish, L; González-Wevar, C; Bates, AE</t>
  </si>
  <si>
    <t>Morley, Simon A.; Navarro, Jorge M.; Ortiz, Alejandro; Detree, Camille; Gerrish, Laura; Gonzalez-Wevar, Claudio; Bates, Amanda E.</t>
  </si>
  <si>
    <t>Evolutionary constraints on physiology confound range shift predictions of two nacellid limpets</t>
  </si>
  <si>
    <t>SCIENCE OF THE TOTAL ENVIRONMENT</t>
  </si>
  <si>
    <t>Evolutionary constraint; Niche conservation; Cold climate legacy; Macrophysiology; Climate transitions; Redistribution</t>
  </si>
  <si>
    <t>ANTARCTIC LIMPET; CLIMATE-CHANGE; TENACITY; PATELLOGASTROPODA; ADAPTATION; GASTROPODA; WINNERS; GENUS; SOUTH</t>
  </si>
  <si>
    <t>Physiological comparisons are fundamental to quantitative assessments of the capacity of species to persist within their current distribution and to predict their rates of redistribution in response to climate change. Yet, the degree to which physiological traits are conserved through evolutionary history may fundamentally constrain the capacity for species to adapt and shift their geographic range. Taxa that straddle major climate transitions provide the opportunity to test the mechanisms underlying evolutionary constraints and how such constraints may influence range shift predictions. Here we focus on two abundant and shallow water nacellid limpets which have representative species on either side of the Polar front. We test the thermal thresholds of the Southern Patagonian limpet, Nacella deaurata and show that its optimal temperatures for growth (4 degrees C), activity (-1.2 to-0.2 degrees C) and survival (1 to 8 degrees C) are mismatched to its currently experienced annual sea surface temperature range (5.9 to 10 degrees C). Comparisons with the congeneric Antarctic limpet, N. concinna, reveal an evolutionary constraint on N. deaurata physiology, with overlapping thermal capacities, suggesting that a cold climate legacy has been maintained through the evolution of these species. These physiological assessments predict that the South American range of N. deaurata will likely decline with continued warming. It is, however, one of the first species with demonstrated physiological capacity to successfully colonize the cold Southern Ocean. With the expected increase in opportunities for transport within high southern latitudes, N. deaurata has the potential to establish and drive ecological change within the shallow Southern Ocean. (c) 2021 The Authors. Published by Elsevier B.V. This is an open access article under the CC BY-NC-ND license (http:// creativecommons.org/licenses/by-nc-nd/4.0/).</t>
  </si>
  <si>
    <t>[Morley, Simon A.; Gerrish, Laura] British Antarctic Survey, Nat Environm Res Council, Cambridge, England; [Navarro, Jorge M.; Ortiz, Alejandro; Detree, Camille; Gonzalez-Wevar, Claudio] Univ Austral Chile, Inst Ciencias Marinas &amp; Limnol, Fac Ciencias, Valdivia, Chile; [Navarro, Jorge M.; Ortiz, Alejandro; Detree, Camille; Gonzalez-Wevar, Claudio] Ctr FONDAP Invest Ecosistemas Marinos Atlas Latit, Valdivia, Chile; [Bates, Amanda E.] Mem Univ Newfoundland, Dept Ocean Sci, St John, NF A1C 5S7, Canada</t>
  </si>
  <si>
    <t>UK Research &amp; Innovation (UKRI); Natural Environment Research Council (NERC); NERC British Antarctic Survey; Universidad Austral de Chile; Memorial University Newfoundland</t>
  </si>
  <si>
    <t>Morley, SA (corresponding author), British Antarctic Survey, Madingley Rd, Cambridge CB3 0ET, Cambs, England.</t>
  </si>
  <si>
    <t>smor@bas.ac.uk</t>
  </si>
  <si>
    <t>ORTIZ, ALEJANDRO/0000-0001-5413-0503; Detree, Camille/0000-0001-5518-2380</t>
  </si>
  <si>
    <t>Natural Environment Research Council; Center FONDAP IDEAL [15150003]; FONDAP-IDEAL, ANID Chile [15150003]; NERC [bas0100036] Funding Source: UKRI</t>
  </si>
  <si>
    <t>Natural Environment Research Council(UK Research &amp; Innovation (UKRI)Natural Environment Research Council (NERC)); Center FONDAP IDEAL; FONDAP-IDEAL, ANID Chile; NERC(UK Research &amp; Innovation (UKRI)Natural Environment Research Council (NERC))</t>
  </si>
  <si>
    <t>SAM was funded by Natural Environment Research Council core funding to the British Antarctic Survey's 'Biodiversity, Evolution and Adaptation' Team and a Bursary from the Center FONDAP IDEAL 15150003. JMN, AO, and CD were funded by FONDAP-IDEAL 15150003, ANID Chile. We thank Fatemeh Tavafi for expert graphical support.</t>
  </si>
  <si>
    <t>ELSEVIER</t>
  </si>
  <si>
    <t>AMSTERDAM</t>
  </si>
  <si>
    <t>RADARWEG 29, 1043 NX AMSTERDAM, NETHERLANDS</t>
  </si>
  <si>
    <t>0048-9697</t>
  </si>
  <si>
    <t>1879-1026</t>
  </si>
  <si>
    <t>SCI TOTAL ENVIRON</t>
  </si>
  <si>
    <t>Sci. Total Environ.</t>
  </si>
  <si>
    <t>FEB 1</t>
  </si>
  <si>
    <t>10.1016/j.scitotenv.2021.150943</t>
  </si>
  <si>
    <t>Environmental Sciences</t>
  </si>
  <si>
    <t>YD2QZ</t>
  </si>
  <si>
    <t>Green Accepted, hybrid</t>
  </si>
  <si>
    <t>WOS:000740222600009</t>
  </si>
  <si>
    <t>Damini, BY; Kerr, R; Dotto, TS; Mata, MM</t>
  </si>
  <si>
    <t>Damini, Brendon Yuri; Kerr, Rodrigo; Dotto, Tiago S.; Mata, Mauricio M.</t>
  </si>
  <si>
    <t>Long-term changes on the Bransfield Strait deep water masses: Variability, drivers and connections with the northwestern Weddell Sea</t>
  </si>
  <si>
    <t>DEEP-SEA RESEARCH PART I-OCEANOGRAPHIC RESEARCH PAPERS</t>
  </si>
  <si>
    <t>OMP analysis; Dense shelf water; Climate modes; Sea ice formation; Deep water masses; Freshening; Southern ocean</t>
  </si>
  <si>
    <t>ANTARCTIC BOTTOM WATER; SOUTHERN-OCEAN; ICE SHELVES; PENINSULA; EASTERN; CIRCULATION; BASIN; TIP; TRENDS; FLUXES</t>
  </si>
  <si>
    <t>The Bransfield Strait receives substantial input from recently ventilated Dense Shelf Water (i.e., High Salinity Shelf Water - HSSW or Low Salinity Shelf Water - LSSW) formed in the Weddell Sea continental shelf. The bathymetric restricted connections to the surrounding oceans make the Bransfield Strait's deep basins proxy regions to study the temporal variability of these waters. HSSW is an important precursor to Antarctic Bottom Water, a water mass with a global impact on the deeper branches of the global overturning circulation. The deep waters in the central basin of the Bransfield Strait have unveiled significant long-term cooling, freshening, and lightening between 1963 and 2019. Conversely, in the eastern basin of the Bransfield Strait, signals of freshening, lightening, and decreasing of dissolved oxygen have been present since 1975, but somewhat less robust than those founded on the central basin. Hence, that dichotomy in neighboring regions influenced by same source water masses suggests different mixing proportions and variability, likely resulting from distinct source regions of the dense waters precursors. In addition, the deep water masses in the Bransfield Strait have shown a strong interannual variability of thermohaline properties, which is mainly explained by the El Nin similar to o-Southern Oscillation and the Southern Annular Mode. These climate modes are likely to influence the periods of increasing salinity, such as 2010 to 2016, favoring higher intrusions of HSSW rather than the less dense variety into the Bransfield Strait. Evidence to the increased contribution of HSSW during that period may be explained by an increase in the sea ice formation in the Weddell Sea. During the sea ice formation, higher rates of Dense Shelf Water was likely formed in the northwestern Weddell Sea due to brine rejection. The changes reported here are key to add new insights on a better understanding of how changes in the source water masses can affect the deep branches of the global overturning circulation cell, which is still a challenging question for the community. Finally, the hydrographic properties time series in the Bransfield Strait used here spanned through six decades, which is much longer than those previously reported in the Weddell Sea, providing further and stronger evidence on how climate variability affects bottom water in the Southern Ocean.</t>
  </si>
  <si>
    <t>[Damini, Brendon Yuri; Kerr, Rodrigo; Dotto, Tiago S.; Mata, Mauricio M.] Univ Fed Rio Grande FURG, Inst Oceanog, Lab Estudos Oceanos &amp; Clima, Av Italia Km 8 S-N, BR-96203900 Rio Grande, RS, Brazil; [Damini, Brendon Yuri; Kerr, Rodrigo; Mata, Mauricio M.] Univ Fed Rio Grande FURG, Inst Oceanog, Programa Posgrad Oceanol, Av Italia Km 8 S-N, BR-96203900 Rio Grande, RS, Brazil; [Dotto, Tiago S.] Univ East Anglia, Ctr Ocean &amp; Atmospher Sci, Sch Environm Sci, Norwich NR4 7TJ, Norfolk, England</t>
  </si>
  <si>
    <t>Universidade Federal do Rio Grande; Universidade Federal do Rio Grande; University of East Anglia</t>
  </si>
  <si>
    <t>Kerr, R (corresponding author), Univ Fed Rio Grande FURG, Inst Oceanog, Lab Estudos Oceanos &amp; Clima, Av Italia Km 8 S-N, BR-96203900 Rio Grande, RS, Brazil.;Damini, BY (corresponding author), Univ Fed Rio Grande FURG, Inst Oceanog, CEOCEAN, Av Italia Km8 S-N, BR-96203900 Rio Grande, RS, Brazil.</t>
  </si>
  <si>
    <t>brendon.oceano@furg.br; rodrigokerr@furg.br</t>
  </si>
  <si>
    <t>Kerr, Rodrigo/I-2494-2012; Mata, Mauricio M/H-4605-2011</t>
  </si>
  <si>
    <t>Kerr, Rodrigo/0000-0002-2632-3137; Segabinazzi Dotto, Tiago/0000-0003-0565-6941; Damini, Brendon Yuri/0000-0003-4792-6057</t>
  </si>
  <si>
    <t>Brazilian Ministry of the Environment (MMA); Brazilian Ministry of Science, Technology, and Innovation (MCTI); Council for Research and Scientific Development of Brazil (CNPq); Inter-ministerial Secretariat for Sea Resources (SECIRM); National Institute of Science and Technology of the Cryosphere (INCT CRIOSFERA; CNPq ) [573720/2008-8, 465680/2014-3]; Research Support Foundation of the State of Rio Grande do Sul (FAPERGS) [17/2551-000518-0]; GOAL projects (CNPq) [550370/2002-1, 520189/2006-0, 556848/2009-8, 565040/2010-3, 405869/2013-4, 407889/2013-2, 442628/2018-8, 442637/2018-7]; Coordination for the Improvement of Higher Education Personnel (CAPES) through the project CAPES Ciencias do Mar [23038.001421/2014-30]; CNPq PDJ scholarship [151248/2019-2]; Brazilian Navy; CNPq [304937/2018-5, 306896/2015-0]</t>
  </si>
  <si>
    <t>Brazilian Ministry of the Environment (MMA); Brazilian Ministry of Science, Technology, and Innovation (MCTI); Council for Research and Scientific Development of Brazil (CNPq)(Conselho Nacional de Desenvolvimento Cientifico e Tecnologico (CNPQ)Fundacao de Apoio a Pesquisa do Distrito Federal (FAPDF)); Inter-ministerial Secretariat for Sea Resources (SECIRM); National Institute of Science and Technology of the Cryosphere (INCT CRIOSFERA; CNPq )(Conselho Nacional de Desenvolvimento Cientifico e Tecnologico (CNPQ)); Research Support Foundation of the State of Rio Grande do Sul (FAPERGS)(Fundacao de Amparo a Ciencia e Tecnologia do Estado do Rio Grande do Sul (FAPERGS)); GOAL projects (CNPq)(Fundacao de Apoio a Pesquisa do Distrito Federal (FAPDF)Conselho Nacional de Desenvolvimento Cientifico e Tecnologico (CNPQ)); Coordination for the Improvement of Higher Education Personnel (CAPES) through the project CAPES Ciencias do Mar(Coordenacao de Aperfeicoamento de Pessoal de Nivel Superior (CAPES)); CNPq PDJ scholarship; Brazilian Navy; CNPq(Conselho Nacional de Desenvolvimento Cientifico e Tecnologico (CNPQ))</t>
  </si>
  <si>
    <t>This study is part of the activities of the Brazilian High Latitude Oceanography Group (GOAL) within the Brazilian Antarctic Program (PROANTAR) . GOAL has been funded by and/or has received logistical support from the Brazilian Ministry of the Environment (MMA) ; the Brazilian Ministry of Science, Technology, and Innovation (MCTI) ; the Council for Research and Scientific Development of Brazil (CNPq) ; the Brazilian Navy; the Inter-ministerial Secretariat for Sea Resources (SECIRM) ; the National Institute of Science and Technology of the Cryosphere (INCT CRIOSFERA; CNPq grant nos. 573720/2008-8 and 465680/2014-3) ; and the Research Support Foundation of the State of Rio Grande do Sul (FAPERGS grant No. 17/2551-000518-0) . This study was conducted within the activities of the GOAL projects (CNPq grant nos. 550370/2002-1, 520189/2006-0, 556848/2009-8, 565040/2010-3, 405869/2013-4, 407889/2013-2, 442628/2018-8 and 442637/2018-7, respectively) . Financial support was also received from Coordination for the Improvement of Higher Education Personnel (CAPES) through the project CAPES Ciencias do Mar (grant no. 23038.001421/2014-30) . CAPES also provided free access to many relevant journals though the portal Periodicos CAPES and the activities of the Graduate Program in Oceanology. Rodrigo Kerr and Mauricio M. Mata are granted with researcher fellowships from CNPq grant nos. 304937/2018-5 and 306896/2015-0, respectively. Tiago S. Dotto acknowledges financial support from CNPq PDJ scholarship grant no. 151248/2019-2. The authors thank the officers and crew of the polar vessels Ary Rongel and Almirante Maximiano of the Brazilian Navy, and the several scientists and technicians participating in the cruises for their valuable help during data sampling and data processing. We thank all scientists and research groups for making their data available. All data sets used and respective websites are indicated in the manuscript. We are grateful for the constructive comments provided by two anonymous reviewers which substantially improved the manuscript.</t>
  </si>
  <si>
    <t>0967-0637</t>
  </si>
  <si>
    <t>1879-0119</t>
  </si>
  <si>
    <t>DEEP-SEA RES PT I</t>
  </si>
  <si>
    <t>Deep-Sea Res. Part I-Oceanogr. Res. Pap.</t>
  </si>
  <si>
    <t>10.1016/j.dsr.2021.103667</t>
  </si>
  <si>
    <t>XH7LO</t>
  </si>
  <si>
    <t>WOS:000725611700002</t>
  </si>
  <si>
    <t>Baccarini, A; Dommen, J; Lehtipalo, K; Henning, S; Modini, RL; Gysel-Beer, M; Baltensperger, U; Schmale, J</t>
  </si>
  <si>
    <t>Baccarini, Andrea; Dommen, Josef; Lehtipalo, Katrianne; Henning, Silvia; Modini, Robin L.; Gysel-Beer, Martin; Baltensperger, Urs; Schmale, Julia</t>
  </si>
  <si>
    <t>Low-Volatility Vapors and New Particle Formation Over the Southern Ocean During the Antarctic Circumnavigation Expedition</t>
  </si>
  <si>
    <t>JOURNAL OF GEOPHYSICAL RESEARCH-ATMOSPHERES</t>
  </si>
  <si>
    <t>new particle formation; sulfuric acid; iodic acid; methanesulfonic acid</t>
  </si>
  <si>
    <t>MARINE BOUNDARY-LAYER; AEROSOL-SIZE DISTRIBUTIONS; CLOUD CONDENSATION NUCLEI; METHANESULFONIC-ACID MSA; METHANE SULFONIC-ACID; KING SEJONG STATION; SULFURIC-ACID; DIMETHYL SULFIDE; SEA SPRAY; ATMOSPHERIC AEROSOL</t>
  </si>
  <si>
    <t>During summer, the Southern Ocean is largely unaffected by anthropogenic emissions, which makes this region an ideal place to investigate marine natural aerosol sources and processes. A better understanding of natural aerosol is key to constrain the preindustrial aerosol state and reduce the aerosol radiative forcing uncertainty in global climate models. We report the concentrations of gaseous sulfuric acid, iodic acid, and methanesulfonic acid (MSA) together with a characterization of new particle formation (NPF) events over a large stretch of the Southern Ocean. Measurements were conducted on board the Russian icebreaker Akademik Tryoshnikov from January to March 2017. Iodic acid is characterized by a particular diurnal cycle with reduced concentration around noon, suggesting a lower formation yield when solar irradiance is higher. Gaseous MSA does not have a diurnal cycle and measured concentrations in gas and condensed phase are compatible with this species being primarily produced via heterogeneous oxidation of dimethyl sulfide and subsequent partitioning into the gas phase. We also found that NPF in the boundary layer is mainly driven by sulfuric acid but it occurred very rarely over the vast geographical area probed and did not contribute to the cloud condensation nuclei budget in a directly observable manner. Despite the near absence of NPF events in the boundary layer, Aitken mode particles were frequently measured, supporting the hypothesis of a free tropospheric source. Iodic acid and MSA were not found to participate in nucleation, however, MSA may contribute to aerosol growth via heterogeneous formation in the aqueous phase.</t>
  </si>
  <si>
    <t>[Baccarini, Andrea; Schmale, Julia] Ecole Polytech Fed Lausanne, Extreme Environm Res Lab, Lausanne, Switzerland; [Baccarini, Andrea; Dommen, Josef; Modini, Robin L.; Gysel-Beer, Martin; Baltensperger, Urs] Paul Scherrer Inst, Lab Atmospher Chem, Villigen, Switzerland; [Lehtipalo, Katrianne] Univ Helsinki, Inst Atmospher &amp; Earth Syst Res Phys, Helsinki, Finland; [Lehtipalo, Katrianne] Finnish Meteorol Inst, Helsinki, Finland; [Henning, Silvia] Inst Tropospher Res Expt Aerosol &amp; Cloud Microphy, Leipzig, Germany</t>
  </si>
  <si>
    <t>Swiss Federal Institutes of Technology Domain; Ecole Polytechnique Federale de Lausanne; Swiss Federal Institutes of Technology Domain; Paul Scherrer Institute; University of Helsinki; Finnish Meteorological Institute</t>
  </si>
  <si>
    <t>Schmale, J (corresponding author), Ecole Polytech Fed Lausanne, Extreme Environm Res Lab, Lausanne, Switzerland.</t>
  </si>
  <si>
    <t>julia.schmale@epfl.ch</t>
  </si>
  <si>
    <t>Schmale, Julia Yvonne/Q-3942-2019; baccarini, andrea/R-7251-2018; Modini, Rob/AAF-6036-2019; Henning, Silvia/C-1114-2014; Gysel-Beer, Martin/C-3843-2008</t>
  </si>
  <si>
    <t>Schmale, Julia Yvonne/0000-0002-1048-7962; baccarini, andrea/0000-0003-4614-247X; Modini, Rob/0000-0002-2982-1369; Henning, Silvia/0000-0001-9267-7825; Gysel-Beer, Martin/0000-0002-7453-1264; Dommen, Josef/0000-0002-0006-0009; Lehtipalo, Katrianne/0000-0002-1660-2706</t>
  </si>
  <si>
    <t>Swiss Polar Institute; SNSF [200021_169090]; Ferring Pharmaceuticals; Projekt DEAL</t>
  </si>
  <si>
    <t>Swiss Polar Institute; SNSF(Swiss National Science Foundation (SNSF)); Ferring Pharmaceuticals(Ferring Pharmaceuticals); Projekt DEAL</t>
  </si>
  <si>
    <t>The authors thank Christian Tatzelt for provid....ing the PM10 filter data, and Markus Hartmann and Andre Welti for operating instruments on leg 1 and 3, respectively. The authors are also grateful to Tuija Jokinen and Mikko Sipila for providing data from the Aboa station. The Antarctic Circumnavigation Expedition was funded by the Swiss Polar Institute and Ferring Pharmaceuticals. A. Baccarini was supported by the SNSF Grant No. 200021_169090. J. Schmale holds the Ingvar Kamprad Chair for Extreme Environments Research. Open access funding enabled and organized by Projekt DEAL.</t>
  </si>
  <si>
    <t>2169-897X</t>
  </si>
  <si>
    <t>2169-8996</t>
  </si>
  <si>
    <t>J GEOPHYS RES-ATMOS</t>
  </si>
  <si>
    <t>J. Geophys. Res.-Atmos.</t>
  </si>
  <si>
    <t>NOV 27</t>
  </si>
  <si>
    <t>e2021JD035126</t>
  </si>
  <si>
    <t>10.1029/2021JD035126</t>
  </si>
  <si>
    <t>XE0PU</t>
  </si>
  <si>
    <t>WOS:000723100300024</t>
  </si>
  <si>
    <t>Clara, ML; Alvarez, MS; Vera, C; Simionato, CG; Jaureguizar, AJ</t>
  </si>
  <si>
    <t>Luz Clara, Moira; Alvarez, Mariano S.; Vera, Carolina; Simionato, Claudia G.; Jaureguizar, Andres J.</t>
  </si>
  <si>
    <t>Relationship between sea surface temperature anomalies in the Southwestern Atlantic Continental Shelf and atmospheric variability on intraseasonal timescales</t>
  </si>
  <si>
    <t>CLIMATE DYNAMICS</t>
  </si>
  <si>
    <t>Sea surface temperature; Intraseasonal variability; Austral warm season; Ocean-atmosphere teleconnections</t>
  </si>
  <si>
    <t>DE-LA-PLATA; SOUTH-AMERICA; ANTARCTIC OSCILLATION; INTERANNUAL ACTIVITY; COUPLED VARIABILITY; DATA ASSIMILATION; CONVERGENCE ZONE; TROPICS; PATTERNS; ESTUARY</t>
  </si>
  <si>
    <t>The intraseasonal (IS) variability of the sea surface temperature (SST) in the Southwestern Atlantic Continental Shelf (SWACS, 45-33 degrees S-70-50 degrees W), and its relationship with that in the atmosphere, was studied for the austral warm season. SST satellite data (11-km resolution NOAA CoastWatch Program) and data of different atmospheric variables (Reanalysis1 NCEP/NCAR and ERA-Interim) were used. Data were filtered using a 10-90 day filter to isolate the IS variability. A Principal Component analysis was applied then to the filtered SST anomalies (SSTA) and the activity of the leading modes was described through the corresponding temporal series. The first three modes are significant. EOF1 (25.7% of variance) exhibits SSTA of opposite sign to the north/south of 42 degrees S. EOF2 (9.0%) and EOF3 (5.1%) are related with centers of SSTA of opposite sign located off the Uruguayan coast and in the middle shelf. Composites of SSTA and of key atmospheric variables were made considering the days in which the main modes were active. They show that the SSTA described by the three modes are associated with distinctive regional sea level pressure anomalies that, in turn, seem to be related to atmospheric Rossby wave trains extending from the Australia area towards South America. The corresponding atmospheric wave sources vary depending on the mode. These results show, therefore, that the SSTA in the SWACS exhibit significant IS variability that is, in part, locally and remotely influenced by atmospheric anomalies oscillating on similar timescales. These ocean-atmosphere teleconnections could help to improve ocean predictability at those timescales in the future.</t>
  </si>
  <si>
    <t>[Luz Clara, Moira] Consejo Nacl Invest Cient &amp; Tecn IIMyC CONICET, Inst Invest Marinas &amp; Costeras, Mar Del Plata, Buenos Aires, Argentina; [Luz Clara, Moira] Inst Nacl Invest &amp; Desarrollo Pesquero INIDEP, Mar Del Plata, Buenos Aires, Argentina; [Luz Clara, Moira; Alvarez, Mariano S.; Vera, Carolina; Simionato, Claudia G.] Inst Franco Argentino Estudio Clima &amp; Sus Impacto, Buenos Aires, DF, Argentina; [Alvarez, Mariano S.; Vera, Carolina; Simionato, Claudia G.] Ctr Invest Mar &amp; Atmosfera CONICET UBA, Buenos Aires, DF, Argentina; [Alvarez, Mariano S.; Vera, Carolina; Simionato, Claudia G.] Dept Ciencias Atmosfera &amp; Oceanos FCEN UBA, Buenos Aires, DF, Argentina; [Jaureguizar, Andres J.] Comis Invest Cient Prov Buenos Aires CIC, La Plata, Buenos Aires, Argentina; [Jaureguizar, Andres J.] Inst Argentino Oceanog IADO CONICET, Bahia Blanca, Buenos Aires, Argentina; [Jaureguizar, Andres J.] Univ Prov Sudoeste UPSO, Subsede Coronet Pringles, Buenos Aires, DF, Argentina</t>
  </si>
  <si>
    <t>National Fisheries Research &amp; Development Institute (INIDEP); Consejo Nacional de Investigaciones Cientificas y Tecnicas (CONICET); Consejo Nacional de Investigaciones Cientificas y Tecnicas (CONICET); University of Buenos Aires; Comision de Investigaciones Cientificas; Consejo Nacional de Investigaciones Cientificas y Tecnicas (CONICET)</t>
  </si>
  <si>
    <t>Clara, ML (corresponding author), Consejo Nacl Invest Cient &amp; Tecn IIMyC CONICET, Inst Invest Marinas &amp; Costeras, Mar Del Plata, Buenos Aires, Argentina.;Clara, ML (corresponding author), Inst Nacl Invest &amp; Desarrollo Pesquero INIDEP, Mar Del Plata, Buenos Aires, Argentina.;Clara, ML (corresponding author), Inst Franco Argentino Estudio Clima &amp; Sus Impacto, Buenos Aires, DF, Argentina.</t>
  </si>
  <si>
    <t>mluzclara@inidep.edu.ar</t>
  </si>
  <si>
    <t>Jaureguizar, Andres Javier/D-2308-2010</t>
  </si>
  <si>
    <t>Jaureguizar, Andres Javier/0000-0003-1916-8682; Vera, Carolina/0000-0003-4032-5232</t>
  </si>
  <si>
    <t>ANPCyT [2015-1934]; UBACYT [20020190100200BA]</t>
  </si>
  <si>
    <t>ANPCyT(ANPCyT); UBACYT</t>
  </si>
  <si>
    <t>This research was supported by the ANPCyT 2015-1934 and the UBACYT 20020190100200BA Projects. Dr. Luz Clara, Dr. Vera, Dr. Alvarez and Dr. Simionato's salaries were paid by the CONICET. Dr. Jaureguizar's salary was paid by the CIC-Provincia de Buenos Aires.</t>
  </si>
  <si>
    <t>0930-7575</t>
  </si>
  <si>
    <t>1432-0894</t>
  </si>
  <si>
    <t>CLIM DYNAM</t>
  </si>
  <si>
    <t>Clim. Dyn.</t>
  </si>
  <si>
    <t>5-6</t>
  </si>
  <si>
    <t>10.1007/s00382-021-06058-3</t>
  </si>
  <si>
    <t>3T1WV</t>
  </si>
  <si>
    <t>WOS:000722972400001</t>
  </si>
  <si>
    <t>Dunn, MJ; Adlard, S; Lynnes, AS; Fox, D; Morley, T; Jackson, JA</t>
  </si>
  <si>
    <t>Dunn, Michael J.; Adlard, Stacey; Lynnes, Amanda S.; Fox, Derren; Morley, Tim, I; Jackson, Jennifer A.</t>
  </si>
  <si>
    <t>Long-term population size and trends of South Georgia Shags (Leucocarbo [atriceps] georgianus) at Signy Island, South Orkney Islands and Bird Island, South Georgia</t>
  </si>
  <si>
    <t>POLAR BIOLOGY</t>
  </si>
  <si>
    <t>South Georgia Shag; Population; Antarctica; Phalacrocoracidae</t>
  </si>
  <si>
    <t>BLUE-EYED SHAG; CLIMATE-CHANGE; PHALACROCORAX-BRANSFIELDENSIS; ANTARCTIC PENINSULA; LAURIE ISLAND; MARION ISLAND; PENGUIN; DIET; ADELIE; SEABIRDS</t>
  </si>
  <si>
    <t>The South Georgia Shag Leucocarbo [atriceps] georgianus has breeding populations on the islands of South Georgia, the South Sandwich and South Orkney Islands. The South Orkney Islands are estimated to support similar to 18%-37% of the global population and South Georgia a further 37%-69%. Here, we examine changes in South Georgia Shag population size and productivity from Signy Island, South Orkney Islands, over a 43 year period (1978/1979 to 2020/2021) and from Bird Island, South Georgia, over a 32 year period (1989/1990 to 2020/2021). Analysis of total nesting pairs at Signy Island revealed an overall decline of 40.9% (- 1.3% per annum), with an increase during the 1980s, followed by a fluctuating decline from the 1990s to 2020/2021. Although the two Signy Island colonies showed correlated fluctuations in numbers of nesting pairs, over the whole time period these colonies showed markedly different population trajectories, indicating the limitations of using part-island counts to infer whole island trends, particularly given the low breeding-site fidelity in this species. Nest occupation in the larger colony (596 nests in 1978/1979) declined by 77.2% (- 3.5% per annum) whilst the smaller colony (50 nests in 1978/1979) exhibited an increase of 492% (+ 3.8% per annum). A decline in occupied nests of 58.3%, (- 2.8% per annum), has occurred in the Bird Island population since 1989/1990. Continuation of the significant decline in breeding numbers revealed in this study may be of important conservation concern, particularly as this trend has been mirrored at another site within the South Orkneys.</t>
  </si>
  <si>
    <t>[Dunn, Michael J.; Adlard, Stacey; Fox, Derren; Morley, Tim, I; Jackson, Jennifer A.] British Antarctic Survey, Nat Environm Res Council, Madingley Rd, Cambridge CB3 0ET, England; [Lynnes, Amanda S.] Int Assoc Antarct Tour Operators, 320 Thames St,Suite 264, Newport, RI 02840 USA</t>
  </si>
  <si>
    <t>UK Research &amp; Innovation (UKRI); Natural Environment Research Council (NERC); NERC British Antarctic Survey</t>
  </si>
  <si>
    <t>Dunn, MJ (corresponding author), British Antarctic Survey, Nat Environm Res Council, Madingley Rd, Cambridge CB3 0ET, England.</t>
  </si>
  <si>
    <t>mdunn@bas.ac.uk</t>
  </si>
  <si>
    <t>Jackson, Jennifer A/E-7997-2013</t>
  </si>
  <si>
    <t>Dunn, Michael/0000-0003-4633-5466; Jackson, Jennifer/0000-0003-4158-1924</t>
  </si>
  <si>
    <t>Natural Environment Research Council; NERC [bas0100035] Funding Source: UKRI</t>
  </si>
  <si>
    <t>Natural Environment Research Council(UK Research &amp; Innovation (UKRI)Natural Environment Research Council (NERC)); NERC(UK Research &amp; Innovation (UKRI)Natural Environment Research Council (NERC))</t>
  </si>
  <si>
    <t>This study is part of the Ecosystems component of the British Antarctic Survey Polar Science for Planet Earth Programme, funded by The Natural Environment Research Council.</t>
  </si>
  <si>
    <t>0722-4060</t>
  </si>
  <si>
    <t>1432-2056</t>
  </si>
  <si>
    <t>POLAR BIOL</t>
  </si>
  <si>
    <t>Polar Biol.</t>
  </si>
  <si>
    <t>10.1007/s00300-021-02978-2</t>
  </si>
  <si>
    <t>YT8TM</t>
  </si>
  <si>
    <t>WOS:000722980700001</t>
  </si>
  <si>
    <t>Kim, D; Park, HJ; Kim, M; Lee, S; Hong, SG; Kim, E; Lee, H</t>
  </si>
  <si>
    <t>Kim, Dockyu; Park, Ha Ju; Kim, Mincheol; Lee, Seulah; Hong, Soon Gyu; Kim, Eungbin; Lee, Hyoungseok</t>
  </si>
  <si>
    <t>Temperature sensitivity of Antarctic soil-humic substance degradation by cold-adapted bacteria</t>
  </si>
  <si>
    <t>ENVIRONMENTAL MICROBIOLOGY</t>
  </si>
  <si>
    <t>BARTON PENINSULA; COMMUNITY; FUNGI</t>
  </si>
  <si>
    <t>Heteropolymer humic substances (HS) are the largest constituents of soil organic matter and are key components that affect plant and microbial growth in maritime Antarctic tundra. We investigated HS decomposition in Antarctic tundra soils from distinct sites by incubating samples at 5 degrees C or 8 degrees C (within a natural soil thawing temperature range of -3.8 degrees C to 9.6 degrees C) for 90 days (average Antarctic summer period). This continuous 3-month artificial incubation maintained a higher total soil temperature than that in natural conditions. The long-term warming effects rapidly decreased HS content during the initial incubation, with no significant difference between 5 degrees C and 8 degrees C. In the presence of Antarctic tundra soil heterogeneity, the relative abundance of Proteobacteria (one of the major bacterial phyla in cold soil environments) increased during HS decomposition, which was more significant at 8 degrees C than at 5 degrees C. Contrasting this, the relative abundance of Actinobacteria (another major group) did not exhibit any significant variation. This microcosm study indicates that higher temperatures or prolonged thawing periods affect the relative abundance of cold-adapted bacterial communities, thereby promoting the rate of microbial HS decomposition. The resulting increase in HS-derived small metabolites will possibly accelerate warming-induced changes in the Antarctic tundra ecosystem.</t>
  </si>
  <si>
    <t>[Kim, Dockyu; Park, Ha Ju; Kim, Mincheol; Lee, Seulah; Hong, Soon Gyu; Lee, Hyoungseok] Korea Polar Res Inst, Div Life Sci, Incheon 21990, South Korea; [Kim, Eungbin] Yonsei Univ, Dept Syst Biol, Seoul 03722, South Korea</t>
  </si>
  <si>
    <t>Korea Polar Research Institute (KOPRI); Yonsei University</t>
  </si>
  <si>
    <t>Kim, D (corresponding author), Korea Polar Res Inst, Div Life Sci, Incheon 21990, South Korea.</t>
  </si>
  <si>
    <t>envimic@kopri.re.kr</t>
  </si>
  <si>
    <t>Lee, Seulah/GRY-3543-2022</t>
  </si>
  <si>
    <t>, Eungbin/0000-0002-4851-4743; Lee, Seulah/0000-0002-4657-5104; Kim, Mincheol/0000-0003-1506-4800</t>
  </si>
  <si>
    <t>Korea Polar Research Institute [PE21130]</t>
  </si>
  <si>
    <t>Korea Polar Research Institute(Korea Polar Research Institute of Marine Research Placement (KOPRI))</t>
  </si>
  <si>
    <t>This work was supported by a grant (PE21130) funded by the Korea Polar Research Institute.</t>
  </si>
  <si>
    <t>1462-2912</t>
  </si>
  <si>
    <t>1462-2920</t>
  </si>
  <si>
    <t>ENVIRON MICROBIOL</t>
  </si>
  <si>
    <t>Environ. Microbiol.</t>
  </si>
  <si>
    <t>10.1111/1462-2920.15849</t>
  </si>
  <si>
    <t>Microbiology</t>
  </si>
  <si>
    <t>ZD5QW</t>
  </si>
  <si>
    <t>WOS:000722873900001</t>
  </si>
  <si>
    <t>Dell, RL; Banwell, AF; Willis, IC; Arnold, NS; Halberstadt, ARW; Chudley, TR; Pritchard, HD</t>
  </si>
  <si>
    <t>Dell, Rebecca L.; Banwell, Alison F.; Willis, Ian C.; Arnold, Neil S.; Halberstadt, Anna Ruth W.; Chudley, Thomas R.; Pritchard, Hamish D.</t>
  </si>
  <si>
    <t>Supervised classification of slush and ponded water on Antarctic ice shelves using Landsat 8 imagery</t>
  </si>
  <si>
    <t>JOURNAL OF GLACIOLOGY</t>
  </si>
  <si>
    <t>Ice shelves; surface-melt; remote sensing</t>
  </si>
  <si>
    <t>SUPRAGLACIAL LAKES; SEASONAL EVOLUTION; SURFACE MELT; MELTWATER; VULNERABILITY</t>
  </si>
  <si>
    <t>Surface meltwater is becoming increasingly widespread on Antarctic ice shelves. It is stored within surface ponds and streams, or within firn pore spaces, which may saturate to form slush. Slush can reduce firn air content, increasing an ice-shelf's vulnerability to break-up. To date, no study has mapped the changing extent of slush across ice shelves. Here, we use Google Earth Engine and Landsat 8 images from six ice shelves to generate training classes using a k-means clustering algorithm, which are used to train a random forest classifier to identify both slush and ponded water. Validation using expert elicitation gives accuracies of 84% and 82% for the ponded water and slush classes, respectively. Errors result from subjectivity in identifying the ponded water/slush boundary, and from inclusion of cloud and shadows. We apply our classifier to the Roi Baudouin Ice Shelf for the entire 2013-20 Landsat 8 record. On average, 64% of all surface meltwater is classified as slush and 36% as ponded water. Total meltwater areal extent is greatest between late January and mid-February. This highlights the importance of mapping slush when studying surface meltwater on ice shelves. Future research will apply the classifier across all Antarctic ice shelves.</t>
  </si>
  <si>
    <t>[Dell, Rebecca L.; Banwell, Alison F.; Willis, Ian C.; Arnold, Neil S.] Scott Polar Res Inst, Lensfield Rd, Cambridge CB2 1ER, England; [Dell, Rebecca L.; Pritchard, Hamish D.] British Antarctic Survey, Madingley Rd, Cambridge CB3 0ET, England; [Banwell, Alison F.] Univ Colorado, Cooperat Inst Res Environm Sci, Boulder, CO 80309 USA; [Halberstadt, Anna Ruth W.] Univ Massachusetts, Dept Geosci, Amherst, MA 01003 USA; [Chudley, Thomas R.] Ohio State Univ, Byrd Polar &amp; Climate Res Ctr, 1090 Carmack Rd, Columbus, OH 43210 USA</t>
  </si>
  <si>
    <t>University of Cambridge; UK Research &amp; Innovation (UKRI); Natural Environment Research Council (NERC); NERC British Antarctic Survey; University of Colorado System; University of Colorado Boulder; University of Massachusetts System; University of Massachusetts Amherst; University System of Ohio; Ohio State University</t>
  </si>
  <si>
    <t>Dell, RL (corresponding author), Scott Polar Res Inst, Lensfield Rd, Cambridge CB2 1ER, England.;Dell, RL (corresponding author), British Antarctic Survey, Madingley Rd, Cambridge CB3 0ET, England.</t>
  </si>
  <si>
    <t>rld46@cam.ac.uk</t>
  </si>
  <si>
    <t>Arnold, Neil/AAI-2272-2021; Banwell, Alison/W-8180-2018; Chudley, Tom/AAH-7919-2019; Halberstadt, Anna Ruth/JPW-9990-2023</t>
  </si>
  <si>
    <t>Banwell, Alison/0000-0001-9545-829X; Chudley, Tom/0000-0001-8547-1132; Willis, Ian/0000-0002-0750-7088; Dell, Rebecca/0000-0001-6617-3906</t>
  </si>
  <si>
    <t>Natural Environment Research Council (NERC) Doctoral Training Partnership Studentship (CASE with the British Antarctic Survey) [NE/L002507/1]; U.S. National Science Foundation (NSF) [1841607]; UK Natural Environment Research Council [NE/T006234/1]; NERC [NE/T006234/1] Funding Source: UKRI</t>
  </si>
  <si>
    <t>Natural Environment Research Council (NERC) Doctoral Training Partnership Studentship (CASE with the British Antarctic Survey); U.S. National Science Foundation (NSF)(National Science Foundation (NSF)); UK Natural Environment Research Council(UK Research &amp; Innovation (UKRI)Natural Environment Research Council (NERC)); NERC(UK Research &amp; Innovation (UKRI)Natural Environment Research Council (NERC))</t>
  </si>
  <si>
    <t>We thank Mahsa Moussavi for her guidance throughout this project. Rebecca L. Dell was funded by a Natural Environment Research Council (NERC) Doctoral Training Partnership Studentship (CASE with the British Antarctic Survey, grant no. NE/L002507/1). Alison F. Banwell received support from the U.S. National Science Foundation (NSF) under award no. 1841607 to the University of Colorado Boulder. Ian Willis was supported by the UK Natural Environment Research Council under NE/T006234/1 awarded to the University of Cambridge.</t>
  </si>
  <si>
    <t>CAMBRIDGE</t>
  </si>
  <si>
    <t>EDINBURGH BLDG, SHAFTESBURY RD, CB2 8RU CAMBRIDGE, ENGLAND</t>
  </si>
  <si>
    <t>0022-1430</t>
  </si>
  <si>
    <t>1727-5652</t>
  </si>
  <si>
    <t>J GLACIOL</t>
  </si>
  <si>
    <t>J. Glaciol.</t>
  </si>
  <si>
    <t>APR</t>
  </si>
  <si>
    <t>PII S0022143021001143</t>
  </si>
  <si>
    <t>10.1017/jog.2021.114</t>
  </si>
  <si>
    <t>0H3NK</t>
  </si>
  <si>
    <t>Green Accepted, Green Submitted, gold</t>
  </si>
  <si>
    <t>WOS:000774705100001</t>
  </si>
  <si>
    <t>Patrick, SC; Assink, JD; Basille, M; Clusella-Trullas, S; Clay, TA; den Ouden, OFC; Joo, R; Zeyl, JN; Benhamou, S; Christensen-Dalsgaard, J; Evers, LG; Fayet, AL; Koeppl, C; Malkemper, EP; Lopez, LMM; Padget, O; Phillips, RA; Prior, MK; Smets, PSM; van Loon, EE</t>
  </si>
  <si>
    <t>Patrick, Samantha C.; Assink, Jelle D.; Basille, Mathieu; Clusella-Trullas, Susana; Clay, Thomas A.; den Ouden, Olivier F. C.; Joo, Rocio; Zeyl, Jeffrey N.; Benhamou, Simon; Christensen-Dalsgaard, Jakob; Evers, Laeslo G.; Fayet, Annette L.; Koeppl, Christine; Malkemper, E. Pascal; Lopez, Lucia Martina Martin; Padget, Oliver; Phillips, Richard A.; Prior, Mark K.; Smets, Pieter S. M.; van Loon, E. Emiel</t>
  </si>
  <si>
    <t>Infrasound as a Cue for Seabird Navigation</t>
  </si>
  <si>
    <t>FRONTIERS IN ECOLOGY AND EVOLUTION</t>
  </si>
  <si>
    <t>low frequency sound; animal movement; avian hearing; seabirds; migration</t>
  </si>
  <si>
    <t>WANDERING ALBATROSS; DIRECTIONAL HEARING; OCEANIC NAVIGATION; SENSORY ECOLOGY; SEA-TURTLES; PIGEON; SOUND; ORIENTATION; TRACKING; RADIATION</t>
  </si>
  <si>
    <t>Seabirds are amongst the most mobile of all animal species and spend large amounts of their lives at sea. They cross vast areas of ocean that appear superficially featureless, and our understanding of the mechanisms that they use for navigation remains incomplete, especially in terms of available cues. In particular, several large-scale navigational tasks, such as homing across thousands of kilometers to breeding sites, are not fully explained by visual, olfactory or magnetic stimuli. Low-frequency inaudible sound, i.e., infrasound, is ubiquitous in the marine environment. The spatio-temporal consistency of some components of the infrasonic wavefield, and the sensitivity of certain bird species to infrasonic stimuli, suggests that infrasound may provide additional cues for seabirds to navigate, but this remains untested. Here, we propose a framework to explore the importance of infrasound for navigation. We present key concepts regarding the physics of infrasound and review the physiological mechanisms through which infrasound may be detected and used. Next, we propose three hypotheses detailing how seabirds could use information provided by different infrasound sources for navigation as an acoustic beacon, landmark, or gradient. Finally, we reflect on strengths and limitations of our proposed hypotheses, and discuss several directions for future work. In particular, we suggest that hypotheses may be best tested by combining conceptual models of navigation with empirical data on seabird movements and in-situ infrasound measurements.</t>
  </si>
  <si>
    <t>[Patrick, Samantha C.; Clay, Thomas A.; Lopez, Lucia Martina Martin] Univ Liverpool, Sch Environm Sci, Liverpool, Merseyside, England; [Assink, Jelle D.; den Ouden, Olivier F. C.; Evers, Laeslo G.; Smets, Pieter S. M.] Royal Netherlands Meteorol Inst KNMI, R&amp;D Seismol &amp; Acoust, De Bilt, Netherlands; [Basille, Mathieu; Joo, Rocio] Univ Florida, Dept Wildlife Ecol &amp; Conservat, Ft Lauderdale Res &amp; Educ Ctr, Davie, FL USA; [Clusella-Trullas, Susana; Zeyl, Jeffrey N.] Univ Stellenbosch, Dept Bot &amp; Zool, Stellenbosch, South Africa; [Clay, Thomas A.] Univ Calif Santa Cruz, Inst Marine Sci, Santa Cruz, CA 95064 USA; [den Ouden, Olivier F. C.; Evers, Laeslo G.; Smets, Pieter S. M.] Delft Univ Technol, Dept Geosci &amp; Engn, Delft, Netherlands; [Joo, Rocio] Global Fishing Watch Inc, Washington, DC USA; [Benhamou, Simon] Ctr Ecol Fonct &amp; Evolut, CNRS, Cogitamus Lab, Montpellier, France; [Christensen-Dalsgaard, Jakob] Univ Southern Denmark, Dept Biol, Odense, Denmark; [Fayet, Annette L.; Padget, Oliver] Univ Oxford, Dept Zool, Oxford, England; [Koeppl, Christine] Carl von Ossietzky Univ Oldenburg, Sch Med &amp; Hlth Sci, Dept Neurosci, Cluster Excellence Hearing4all &amp; Res Ctr Neurosen, Oldenburg, Germany; [Malkemper, E. Pascal] Ctr Adv European Studies &amp; Res CAESAR, Max Planck Res Grp Neurobiol Magnetorecept, Bonn, Germany; [Lopez, Lucia Martina Martin] Asociac Ipar Perspect, Sopela, Spain; [Phillips, Richard A.] British Antarctic Survey, Nat Environm Res Council, Cambridge, England; [Prior, Mark K.] Netherlands Org Appl Sci Res TNO, The Hague, Netherlands; [van Loon, E. Emiel] Univ Amsterdam, Inst Biodivers &amp; Ecosyst, Dynam, Amsterdam, Netherlands</t>
  </si>
  <si>
    <t>University of Liverpool; Royal Netherlands Meteorological Institute; State University System of Florida; University of Florida; Stellenbosch University; University of California System; University of California Santa Cruz; Delft University of Technology; Universite PSL; Ecole Pratique des Hautes Etudes (EPHE); Institut Agro; Montpellier SupAgro; CIRAD; Centre National de la Recherche Scientifique (CNRS); Institut de Recherche pour le Developpement (IRD); Universite Paul-Valery; Universite de Montpellier; University of Southern Denmark; University of Oxford; Carl von Ossietzky Universitat Oldenburg; Center of Advanced European Studies &amp; Research (CAESAR); UK Research &amp; Innovation (UKRI); Natural Environment Research Council (NERC); NERC British Antarctic Survey; Netherlands Organization Applied Science Research; University of Amsterdam</t>
  </si>
  <si>
    <t>Patrick, SC (corresponding author), Univ Liverpool, Sch Environm Sci, Liverpool, Merseyside, England.</t>
  </si>
  <si>
    <t>samantha.patrick@liverpool.ac.uk</t>
  </si>
  <si>
    <t>Clay, Tommy/W-4867-2019; Evers, Läslo G/E-5707-2011; López, Lucía/JCP-2406-2023; López, Lucía/JVZ-6906-2024; Christensen-Dalsgaard, Jakob/G-9947-2012</t>
  </si>
  <si>
    <t>Clay, Tommy/0000-0002-0644-6105; Martin Lopez, Lucia Martina/0000-0003-2984-8606; Christensen-Dalsgaard, Jakob/0000-0002-6075-3819; Evers, Laslo/0000-0003-2825-6211; van Loon, E. Emiel/0000-0002-8895-0427</t>
  </si>
  <si>
    <t>NERC [bas0100035] Funding Source: UKRI</t>
  </si>
  <si>
    <t>NERC(UK Research &amp; Innovation (UKRI)Natural Environment Research Council (NERC))</t>
  </si>
  <si>
    <t>2296-701X</t>
  </si>
  <si>
    <t>FRONT ECOL EVOL</t>
  </si>
  <si>
    <t>Front. Ecol. Evol.</t>
  </si>
  <si>
    <t>NOV 26</t>
  </si>
  <si>
    <t>10.3389/fevo.2021.740027</t>
  </si>
  <si>
    <t>XM7AV</t>
  </si>
  <si>
    <t>WOS:000728976000001</t>
  </si>
  <si>
    <t>Bertinetti, S; Bolea-Fernandez, E; Malandrino, M; Moroni, B; Cappelletti, D; Grotti, M; Vanhaecke, F</t>
  </si>
  <si>
    <t>Bertinetti, Stefano; Bolea-Fernandez, Eduardo; Malandrino, Mery; Moroni, Beatrice; Cappelletti, David; Grotti, Marco; Vanhaecke, Frank</t>
  </si>
  <si>
    <t>Strontium isotopic analysis of environmental microsamples by inductively coupled plasma - tandem mass spectrometry</t>
  </si>
  <si>
    <t>JOURNAL OF ANALYTICAL ATOMIC SPECTROMETRY</t>
  </si>
  <si>
    <t>ICP-MS; EAST ANTARCTICA; ISOBARIC INTERFERENCES; REACTION CHEMISTRY; DUST; CIRCULATION; PROVENANCE; PRECISION; ELEMENTS; RATIOS</t>
  </si>
  <si>
    <t>In this work, a new method has been developed for accurate and precise Sr isotopic analysis of microsamples via inductively coupled plasma - tandem mass spectrometry (ICP-MS/MS). For introduction of low-volume samples, a setup consisting of a syringe-driven pump that allows to work at low and stable sample introduction flow rates was combined with a high-efficiency sample introduction system, originally designed for the introduction of single cells and other discrete entities into the ICP. The method requires 240 mu L of sample only, introduced at a sample uptake rate of 20 mu L min(-1) and allows for the straightforward measurement of the Sr-87/Sr-86 isotope ratio without prior Rb/Sr separation. The isobaric overlap of the signals of Rb-87 and Sr-87 is overcome by the selective reaction between Sr+ and CH3F gas in the collision/reaction cell (CRC) of an ICP-MS/MS instrument. In this way, Sr+ ions are measured as their corresponding SrF+ reaction product ions in a mass-shift approach. A multivariate approach was applied to obtain optimum instrument settings (sample uptake rate, nebulizer gas flow rate, make-up gas flow rate, and plasma sampling depth) for maximum sensitivity and optimum precision of the Sr-87/Sr-86 and Sr-88/Sr-86 isotope ratios. The method thus developed was found to be accurate (mean bias = -0.001 +/- 0.070%, with respect to a quality control reference value) and showed an external precision of 0.17% (RSD, n = 24) at an analytical concentration of 2 ng g(-1). The method was applied to the analysis of small-volume digests of samples of Antarctic atmospheric particulates (PM10) and of soils from Australia and South America as potential source areas for atmospheric particulates reaching East Antarctica. The raw soil samples were handled using a dedicated resuspension/collection system to select the finest fraction (PM2.5), thus simulating the long-range transport of mineral dust in the atmosphere. The results obtained for these samples were found to be in good agreement with literature data, demonstrating the suitability of the procedure developed for the Sr isotopic analysis of such complex matrices with Sr concentrations as low as a few ng g(-1) (&lt;3 ng g(-1) and &lt;7 ng g(-1), for the PM10 and soil samples, respectively). The method could also be useful for other environmental samples for which the low Sr concentrations and limited sample amounts are critical aspects.</t>
  </si>
  <si>
    <t>[Bertinetti, Stefano; Grotti, Marco] Univ Genoa, Dept Chem &amp; Ind Chem, Via Dodecaneso 31, I-16146 Genoa, Italy; [Bolea-Fernandez, Eduardo; Vanhaecke, Frank] Univ Ghent, Dept Chem Atom &amp; Mass Spectrometry, A&amp;MS Res Grp, Campus Sterre,Krijgslaan 281-S12, B-9000 Ghent, Belgium; [Malandrino, Mery] Univ Turin, Dept Chem, Via Pietro Giuria 5, I-10125 Turin, Italy; [Moroni, Beatrice; Cappelletti, David] Univ Perugia, Dept Chem Biol &amp; Biotechnol, I-06123 Perugia, Italy</t>
  </si>
  <si>
    <t>University of Genoa; Ghent University; University of Turin; University of Perugia</t>
  </si>
  <si>
    <t>Vanhaecke, F (corresponding author), Univ Ghent, Dept Chem Atom &amp; Mass Spectrometry, A&amp;MS Res Grp, Campus Sterre,Krijgslaan 281-S12, B-9000 Ghent, Belgium.</t>
  </si>
  <si>
    <t>Frank.Vanhaecke@UGent.be</t>
  </si>
  <si>
    <t>Bertinetti, Stefano/AAZ-2831-2021; Grotti, Marco/HGU-3949-2022; Cappelletti, David/C-5782-2009; Bertinetti, Stefano/HTQ-6650-2023; Vanhaecke, Frank/AAO-4582-2020</t>
  </si>
  <si>
    <t>Bertinetti, Stefano/0000-0003-1982-247X; Grotti, Marco/0000-0001-6956-5761; Vanhaecke, Frank/0000-0002-1884-3853; Moroni, Beatrice/0000-0002-3937-163X; Malandrino, Mery/0000-0002-8352-0487; Bolea Fernandez, Eduardo/0000-0002-1856-2058</t>
  </si>
  <si>
    <t>PNRA (Programma Nazionale di Ricerca in Antartide) [PNRA 2016/AC2.04 (PNRA 16_00252-Linea A2), PNRA 2015/AC3.04 (PNRA 14_00091-Linea A3)]; FWO-Vlaanderen [12ZA320N]; MIUR (Italian Ministry of University and Research)</t>
  </si>
  <si>
    <t>PNRA (Programma Nazionale di Ricerca in Antartide); FWO-Vlaanderen(FWO); MIUR (Italian Ministry of University and Research)(Ministry of Education, Universities and Research (MIUR))</t>
  </si>
  <si>
    <t>The research was financially supported by the MIUR (Italian Ministry of University and Research) and PNRA (Programma Nazionale di Ricerca in Antartide) through the PNRA 2016/AC2.04 (PNRA 16_00252-Linea A2) Project SIDDARTA: Source IDentification of (mineral) Dust to AntaRcTicA and PNRA 2015/AC3.04 (PNRA 14_00091-Linea A3) Project LTCPAA: Long-Term Measurements of Chemical and Physical Properties of Atmospheric Aerosol at Dome C. EBF thanks FWO-Vlaanderen for his postdoctoral grant (12ZA320N). FV and EBF acknowledge Teledyne Cetac Technologies and Glass Expansion for lending them the MVX-7100 mu L sample introduction unit and the single-cell glassware, respectively.</t>
  </si>
  <si>
    <t>ROYAL SOC CHEMISTRY</t>
  </si>
  <si>
    <t>THOMAS GRAHAM HOUSE, SCIENCE PARK, MILTON RD, CAMBRIDGE CB4 0WF, CAMBS, ENGLAND</t>
  </si>
  <si>
    <t>0267-9477</t>
  </si>
  <si>
    <t>1364-5544</t>
  </si>
  <si>
    <t>J ANAL ATOM SPECTROM</t>
  </si>
  <si>
    <t>J. Anal. At. Spectrom.</t>
  </si>
  <si>
    <t>JAN 5</t>
  </si>
  <si>
    <t>10.1039/d1ja00329a</t>
  </si>
  <si>
    <t>Chemistry, Analytical; Spectroscopy</t>
  </si>
  <si>
    <t>Chemistry; Spectroscopy</t>
  </si>
  <si>
    <t>YB3EL</t>
  </si>
  <si>
    <t>WOS:000724923700001</t>
  </si>
  <si>
    <t>Wessel, B; Huber, M; Wohlfart, C; Bertram, A; Osterkamp, N; Marschalk, U; Gruber, A; Reuss, F; Abdullahi, S; Georg, I; Roth, A</t>
  </si>
  <si>
    <t>Wessel, Birgit; Huber, Martin; Wohlfart, Christian; Bertram, Adina; Osterkamp, Nicole; Marschalk, Ursula; Gruber, Astrid; Reuss, Felix; Abdullahi, Sahra; Georg, Isabel; Roth, Achim</t>
  </si>
  <si>
    <t>TanDEM-X PolarDEM 90 m of Antarctica: generation and error characterization</t>
  </si>
  <si>
    <t>CRYOSPHERE</t>
  </si>
  <si>
    <t>REFERENCE ELEVATION MODEL; ACCURACY ASSESSMENT; EAST ANTARCTICA; DEM; GREENLAND; PENETRATION; SURFACE; RADAR; ALTIMETRY; AREAS</t>
  </si>
  <si>
    <t>We present the generation and validation of an updated version of the TanDEM-X digital elevation model (DEM) of Antarctica: the TanDEM-X PolarDEM 90 m of Antarctica. Improvements compared to the global TanDEM-X DEM version comprise filling gaps with newer bistatic synthetic aperture radar (SAR) acquisitions of the TerraSAR-X and TanDEM-X satellites, interpolation of smaller voids, smoothing of noisy areas, and replacement of frozen or open sea areas with geoid undulations. For the latter, a new semi-automatic editing approach allowed for the delineation of the coastline from DEM and amplitude data. Finally, the DEM was transformed into the cartographic Antarctic Polar Stereographic projection with a homogeneous metric spacing in northing and easting of 90 m. As X-band SAR penetrates the snow and ice pack by several meters, a new concept for absolute height adjustment was set up that relies on areas with stable penetration conditions and on ICESat (Ice, Cloud, and land Elevation Satellite) elevations. After DEM generation and editing, a sophisticated height error characterization of the whole Antarctic continent with ICESat data was carried out, and a validation over blue ice achieved a mean vertical height error of just -0.3 m +/-( )2.5 m standard deviation. The filled and edited Antarctic TanDEM-X PolarDEM 90 m is outstanding due to its accuracy, homogeneity, and coverage completeness. It is freely available for scientific purposes and provides a high-resolution data set as basis for polar research, such as ice velocity, mass balance estimation, or orthorectification.</t>
  </si>
  <si>
    <t>[Wessel, Birgit; Huber, Martin; Wohlfart, Christian; Bertram, Adina; Marschalk, Ursula; Gruber, Astrid; Abdullahi, Sahra; Roth, Achim] German Aerosp Ctr DLR, German Remote Sensing Data Ctr, Oberpfaffenhofen, Germany; [Osterkamp, Nicole; Reuss, Felix; Georg, Isabel] Co Remote Sensing &amp; Environm Res SLU, Munich, Germany; [Wohlfart, Christian] Roche Diagnost GmbH, Data Off, Penzberg, Germany; [Gruber, Astrid] Stemmer Imaging, Puchheim, Germany; [Reuss, Felix] TU Wien, Dept Geodesy &amp; Geoinformat, Vienna, Austria</t>
  </si>
  <si>
    <t>Helmholtz Association; German Aerospace Centre (DLR); Roche Holding; Technische Universitat Wien</t>
  </si>
  <si>
    <t>Wessel, B (corresponding author), German Aerosp Ctr DLR, German Remote Sensing Data Ctr, Oberpfaffenhofen, Germany.</t>
  </si>
  <si>
    <t>birgit.wessel@dlr.de</t>
  </si>
  <si>
    <t>1994-0416</t>
  </si>
  <si>
    <t>1994-0424</t>
  </si>
  <si>
    <t>Cryosphere</t>
  </si>
  <si>
    <t>10.5194/tc-15-5241-2021</t>
  </si>
  <si>
    <t>XF1QY</t>
  </si>
  <si>
    <t>gold, Green Accepted</t>
  </si>
  <si>
    <t>WOS:000723853500001</t>
  </si>
  <si>
    <t>Panwar, P; Allen, MA; Williams, TJ; Haque, S; Brazendale, S; Hancock, AM; Paez-Espino, D; Cavicchioli, R</t>
  </si>
  <si>
    <t>Panwar, Pratibha; Allen, Michelle A.; Williams, Timothy J.; Haque, Sabrina; Brazendale, Sarah; Hancock, Alyce M.; Paez-Espino, David; Cavicchioli, Ricardo</t>
  </si>
  <si>
    <t>Remarkably coherent population structure for a dominant Antarctic Chlorobium species</t>
  </si>
  <si>
    <t>MICROBIOME</t>
  </si>
  <si>
    <t>Antarctic microbiology; Green sulphur bacteria; Chlorobi; Vitamin B12; Metagenome-assembled genomes; Phylotype; Ecotype; Population structure; Host-virus interactions; Generalist virus; Meromictic lake; Microbial food web</t>
  </si>
  <si>
    <t>GREEN SULFUR BACTERIA; B-12 PRECURSOR COBINAMIDE; VESTFOLD HILLS; PHOTOSYNTHETIC BACTERIA; MEROMICTIC LAKES; ACE LAKE; VITAMIN-B-12 METABOLISM; PHOTOTROPHIC BACTERIA; EDIBLE CYANOBACTERIUM; MAGNESIUM CHELATASE</t>
  </si>
  <si>
    <t>Background: In Antarctica, summer sunlight enables phototrophic microorganisms to drive primary production, thereby feeding ecosystems to enable their persistence through the long, dark winter months. In Ace Lake, a stratified marine-derived system in the Vestfold Hills of East Antarctica, a Chlorobium species of green sulphur bacteria (GSB) is the dominant phototroph, although its seasonal abundance changes more than 100-fold. Here, we analysed 413 Gb of Antarctic metagenome data including 59 Chlorobium metagenome-assembled genomes (MAGs) from Ace Lake and nearby stratified marine basins to determine how genome variation and population structure across a 7-year period impacted ecosystem function. Results: A single species, Candidatus Chlorobium antarcticum (most similar to Chlorobium phaeovibrioides DSM265) prevails in all three aquatic systems and harbours very little genomic variation (&gt;= 99% average nucleotide identity). A notable feature of variation that did exist related to the genomic capacity to biosynthesize cobalamin. The abundance of phylotypes with this capacity changed seasonally similar to 2-fold, consistent with the population balancing the value of a bolstered photosynthetic capacity in summer against an energetic cost in winter. The very high GSB concentration (&gt; 10(8) cells ml(-1) in Ace Lake) and seasonal cycle of cell lysis likely make Ca. Chlorobium antarcticum a major provider of cobalamin to the food web. Analysis of Ca. Chlorobium antarcticum viruses revealed the species to be infected by generalist (rather than specialist) viruses with a broad host range (e.g., infecting Gammaproteobacteria) that were present in diverse Antarctic lakes. The marked seasonal decrease in Ca. Chlorobium antarcticum abundance may restrict specialist viruses from establishing effective lifecycles, whereas generalist viruses may augment their proliferation using other hosts. Conclusion: The factors shaping Antarctic microbial communities are gradually being defined. In addition to the cold, the annual variation in sunlight hours dictates which phototrophic species can grow and the extent to which they contribute to ecosystem processes. The Chlorobium population studied was inferred to provide cobalamin, in addition to carbon, nitrogen, hydrogen, and sulphur cycling, as critical ecosystem services. The specific Antarctic environmental factors and major ecosystem benefits afforded by this GSB likely explain why such a coherent population structure has developed in this Chlorobium species.</t>
  </si>
  <si>
    <t>[Panwar, Pratibha; Allen, Michelle A.; Williams, Timothy J.; Haque, Sabrina; Brazendale, Sarah; Hancock, Alyce M.; Cavicchioli, Ricardo] UNSW Sydney, Sch Biotechnol &amp; Biomol Sci, Sydney, NSW 2052, Australia; [Haque, Sabrina] Macquarie Univ, Dept Mol Sci, Sydney, NSW 2109, Australia; [Hancock, Alyce M.] Univ Tasmania, Inst Marine &amp; Antarctic Studies, 20 Castray Esplanade, Battery Point, Tas, Australia; [Paez-Espino, David] Dept Energy Joint Genome Inst, Berkeley, CA USA; [Paez-Espino, David] Mammoth Biosci Inc, 1000 Marina Blvd,Suite 600, Brisbane, CA USA</t>
  </si>
  <si>
    <t>University of New South Wales Sydney; Macquarie University; University of Tasmania</t>
  </si>
  <si>
    <t>Cavicchioli, R (corresponding author), UNSW Sydney, Sch Biotechnol &amp; Biomol Sci, Sydney, NSW 2052, Australia.</t>
  </si>
  <si>
    <t>r.cavicchioli@unsw.edu.au</t>
  </si>
  <si>
    <t>Panwar, Pratibha/JFJ-6910-2023; Haque, Sabrina/GRX-3009-2022; Cavicchioli, Ricardo/D-4341-2013</t>
  </si>
  <si>
    <t>Panwar, Pratibha/0000-0002-7437-7084; Williams, Timothy/0000-0002-2738-3019; Cavicchioli, Ricardo/0000-0001-8989-6402; Allen, Michelle/0000-0002-8852-1454</t>
  </si>
  <si>
    <t>Australian Research Council [DP150100244]; Australian Antarctic Science programme [4031]; Office of Science of the US Department of Energy [DE-AC02-05CH11231]</t>
  </si>
  <si>
    <t>Australian Research Council(Australian Research Council); Australian Antarctic Science programme; Office of Science of the US Department of Energy(United States Department of Energy (DOE))</t>
  </si>
  <si>
    <t>This work was supported by the Australian Research Council (DP150100244) and the Australian Antarctic Science programme (project 4031). The work conducted by the US Department of Energy Joint Genome Institute, a DOE Office of Science User Facility, is supported by the Office of Science of the US Department of Energy under contract no. DE-AC02-05CH11231.</t>
  </si>
  <si>
    <t>BMC</t>
  </si>
  <si>
    <t>CAMPUS, 4 CRINAN ST, LONDON N1 9XW, ENGLAND</t>
  </si>
  <si>
    <t>2049-2618</t>
  </si>
  <si>
    <t>Microbiome</t>
  </si>
  <si>
    <t>10.1186/s40168-021-01173-z</t>
  </si>
  <si>
    <t>XD4CR</t>
  </si>
  <si>
    <t>gold, Green Published</t>
  </si>
  <si>
    <t>WOS:000722659800002</t>
  </si>
  <si>
    <t>Thomas, RE; Negrini, M; Prior, DJ; Mulvaney, R; Still, H; Bowman, MH; Craw, L; Fan, S; Hubbard, B; Hulbe, C; Kim, D; Lutz, F</t>
  </si>
  <si>
    <t>Thomas, Rilee E.; Negrini, Marianne; Prior, David J.; Mulvaney, Robert; Still, Holly; Bowman, M. Hamish; Craw, Lisa; Fan, Sheng; Hubbard, Bryn; Hulbe, Christina; Kim, Daeyeong; Lutz, Franz</t>
  </si>
  <si>
    <t>Microstructure and Crystallographic Preferred Orientations of an Azimuthally Oriented Ice Core from a Lateral Shear Margin: Priestley Glacier, Antarctica</t>
  </si>
  <si>
    <t>FRONTIERS IN EARTH SCIENCE</t>
  </si>
  <si>
    <t>lateral glacial shear margin; crystallographic preferred orientations; ice microstructure; ice deformation and flow; electron backscatter diffraction; Priestley Glacier</t>
  </si>
  <si>
    <t>DYNAMIC RECRYSTALLIZATION; FLOW-LAW; POLYCRYSTALLINE ICE; DEFORMATION MECHANISMS; CRYSTAL FABRICS; TEMPERATE ICE; ALPINE FAULT; POLAR ICE; STREAM B; STRAIN</t>
  </si>
  <si>
    <t>A 58 m long azimuthally oriented ice core has been collected from the floating lateral sinistral shear margin of the lower Priestley Glacier, Terra Nova Bay, Antarctica. The crystallographic preferred orientations (CPO) and microstructures are described in order to correlate the geometry of anisotropy with constrained large-scale kinematics. Cryogenic Electron Backscatter Diffraction analysis shows a very strong fabric (c-axis primary eigenvalue similar to 0.9) with c-axes aligned horizontally sub-perpendicular to flow, rotating nearly 40 degrees clockwise (looking down) to the pole to shear throughout the core. The c-axis maximum is sub-perpendicular to vertical layers, with the pole to layering always clockwise of the c-axes. Priestley ice microstructures are defined by largely sub-polygonal grains and constant mean grain sizes with depth. Grain long axis shape preferred orientations (SPO) are almost always 1-20 degrees clockwise of the c-axis maximum. A minor proportion of oddly oriented grains that are distinct from the main c-axis maximum, are present in some samples. These have horizontal c-axes rotated clockwise from the primary c-axis maximum and may define a weaker secondary maximum up to 30 degrees clockwise of the primary maximum. Intragranular misorientations are measured along the core, and although the statistics are weak, this could suggest recrystallization by subgrain rotation to occur. These microstructures suggest subgrain rotation (SGR) and recrystallization by grain boundary migration recrystallization (GBM) are active in the Priestley Glacier shear margin. Vorticity analysis based on intragranular distortion indicates a vertical axis of rotation in the shear margin. The variability in c-axis maximum orientation with depth indicates the structural heterogeneity of the Priestley Glacier shear margin occurs at the meter to tens of meters scale. We suggest that CPO rotations could relate to rigid rotation of blocks of ice within the glacial shear margin. Rotation either post-dates CPO and SPO development or is occurring faster than CPO evolution can respond to a change in kinematics.</t>
  </si>
  <si>
    <t>[Thomas, Rilee E.; Negrini, Marianne; Prior, David J.; Bowman, M. Hamish; Fan, Sheng] Univ Otago, Dept Geol, Dunedin, New Zealand; [Mulvaney, Robert] British Antarctic Survey, Nat Environm Res Council, Cambridge, England; [Still, Holly; Hulbe, Christina] Univ Otago, Sch Surveying, Dunedin, New Zealand; [Craw, Lisa] Univ Tasmania, Inst Marine &amp; Antarctic Sci, Hobart, Tas, Australia; [Hubbard, Bryn] Aberystwyth Univ, Dept Geog &amp; Earth Sci, Aberystwyth, Dyfed, Wales; [Kim, Daeyeong] Korea Polar Res Inst, Div Polar Earth Syst Sci, Incheon, South Korea; [Lutz, Franz] Univ Auckland, Sch Environm, Auckland, New Zealand</t>
  </si>
  <si>
    <t>University of Otago; UK Research &amp; Innovation (UKRI); Natural Environment Research Council (NERC); NERC British Antarctic Survey; University of Otago; University of Tasmania; Aberystwyth University; Korea Polar Research Institute (KOPRI); University of Auckland</t>
  </si>
  <si>
    <t>Thomas, RE (corresponding author), Univ Otago, Dept Geol, Dunedin, New Zealand.</t>
  </si>
  <si>
    <t>rilee.thomas@otago.ac.nz</t>
  </si>
  <si>
    <t>Craw, Lisa/V-5681-2018; Kim, Daeyeong/H-4318-2018; Mulvaney, Robert/K-3929-2012</t>
  </si>
  <si>
    <t>Thomas, Rilee/0000-0003-4973-4956; Kim, Daeyeong/0000-0003-4444-7851; Fan, Sheng/0000-0002-0404-1374; Still, Holly/0000-0002-6021-1964</t>
  </si>
  <si>
    <t>Marsden Fund of the Royal Society of New Zealand [UOO052]; Korean Polar Research Institute [21430]; University of Otago Research Grant; University of Otago Master's Research Scholarship; NZ Post Antarctic Scholarship from Antarctica New Zealand</t>
  </si>
  <si>
    <t>Marsden Fund of the Royal Society of New Zealand(Royal Society of New ZealandMarsden Fund (NZ)); Korean Polar Research Institute; University of Otago Research Grant; University of Otago Master's Research Scholarship; NZ Post Antarctic Scholarship from Antarctica New Zealand</t>
  </si>
  <si>
    <t>This work was supported by a Marsden Fund of the Royal Society of New Zealand (UOO052), funding from the Korean Polar Research Institute (KOPRI project 21430) and funding from a University of Otago Research Grant (2019). RET was supported by a University of Otago Master's Research Scholarship and the NZ Post Antarctic Scholarship from Antarctica New Zealand.</t>
  </si>
  <si>
    <t>2296-6463</t>
  </si>
  <si>
    <t>FRONT EARTH SC-SWITZ</t>
  </si>
  <si>
    <t>Front. Earth Sci.</t>
  </si>
  <si>
    <t>10.3389/feart.2021.702213</t>
  </si>
  <si>
    <t>6Y7BW</t>
  </si>
  <si>
    <t>Green Accepted, gold</t>
  </si>
  <si>
    <t>WOS:000897247100001</t>
  </si>
  <si>
    <t>Bierlich, KC; Hewitt, J; Bird, CN; Schick, RS; Friedlaender, A; Torres, LG; Dale, J; Goldbogen, J; Read, AJ; Calambokidis, J; Johnston, DW</t>
  </si>
  <si>
    <t>Bierlich, K. C.; Hewitt, Joshua; Bird, Clara N.; Schick, Robert S.; Friedlaender, Ari; Torres, Leigh G.; Dale, Julian; Goldbogen, Jeremy; Read, Andrew J.; Calambokidis, John; Johnston, David W.</t>
  </si>
  <si>
    <t>Comparing Uncertainty Associated With 1-, 2-, and 3D Aerial Photogrammetry-Based Body Condition Measurements of Baleen Whales</t>
  </si>
  <si>
    <t>baleen whales; drones (unmanned aerial vehicles or UAVs); body condition; aerial photogrammetry; Bayesian statistical model; Cetacea (whales); uncertainty analysis</t>
  </si>
  <si>
    <t>EUBALAENA-GLACIALIS; MASS INDEX; SIZE; BLUE; CONSERVATION; RESIDUALS; HEALTH; GROWTH; RATES</t>
  </si>
  <si>
    <t>Body condition is a crucial and indicative measure of an animal's fitness, reflecting overall foraging success, habitat quality, and balance between energy intake and energetic investment toward growth, maintenance, and reproduction. Recently, drone-based photogrammetry has provided new opportunities to obtain body condition estimates of baleen whales in one, two or three dimensions (1D, 2D, and 3D, respectively) - a single width, a projected dorsal surface area, or a body volume measure, respectively. However, no study to date has yet compared variation among these methods and described how measurement uncertainty scales across these dimensions. This associated uncertainty may affect inference derived from these measurements, which can lead to misinterpretation of data, and lack of comparison across body condition measurements restricts comparison of results between studies. Here we develop a Bayesian statistical model using known-sized calibration objects to predict the length and width measurements of unknown-sized objects (e.g., a whale). We use the fitted model to predict and compare uncertainty associated with 1D, 2D, and 3D photogrammetry-based body condition measurements of blue, humpback, and Antarctic minke whales - three species of baleen whales with a range of body sizes. The model outputs a posterior predictive distribution of body condition measurements and allows for the construction of highest posterior density intervals to define measurement uncertainty. We find that uncertainty does not scale linearly across multi-dimensional measurements, with 2D and 3D uncertainty increasing by a factor of 1.45 and 1.76 compared to 1D, respectively. Each standardized body condition measurement is highly correlated with one another, yet 2D body area index (BAI) accounts for potential variation along the body for each species and was the most precise body condition metric. We hope this study will serve as a guide to help researchers select the most appropriate body condition measurement for their purposes and allow them to incorporate photogrammetric uncertainty associated with these measurements which, in turn, will facilitate comparison of results across studies.</t>
  </si>
  <si>
    <t>[Bierlich, K. C.; Schick, Robert S.; Dale, Julian; Read, Andrew J.; Johnston, David W.] Duke Univ, Marine Lab, Nicholas Sch Environm, Div Marine Sci &amp; Conservat, Beaufort, NC 28516 USA; [Bierlich, K. C.; Bird, Clara N.; Torres, Leigh G.] Oregon State Univ, Hatfield Marine Sci Ctr, Marine Mammal Inst, Dept Fisheries Wildlife &amp; Conservat Sci, Newport, OR 97365 USA; [Hewitt, Joshua] Duke Univ, Dept Stat Sci, Durham, NC USA; [Friedlaender, Ari] Univ Calif Santa Cruz, Inst Marine Sci, Santa Cruz, CA 95064 USA; [Goldbogen, Jeremy] Stanford Univ, Dept Biol, Hopkins Marine Stn, Pacific Grove, CA 93950 USA; [Calambokidis, John] Cascadia Res Collect, Olympia, WA USA</t>
  </si>
  <si>
    <t>Duke University; Oregon State University; Duke University; University of California System; University of California Santa Cruz; Stanford University</t>
  </si>
  <si>
    <t>Bierlich, KC (corresponding author), Duke Univ, Marine Lab, Nicholas Sch Environm, Div Marine Sci &amp; Conservat, Beaufort, NC 28516 USA.;Bierlich, KC (corresponding author), Oregon State Univ, Hatfield Marine Sci Ctr, Marine Mammal Inst, Dept Fisheries Wildlife &amp; Conservat Sci, Newport, OR 97365 USA.</t>
  </si>
  <si>
    <t>kevin.bierlich@otegonstate.edu</t>
  </si>
  <si>
    <t>Bird, Clara/0000-0001-7763-7761; Johnston, David/0000-0003-2424-036X</t>
  </si>
  <si>
    <t>World Wildlife Fund; California Ocean Alliance; One Ocean Expeditions; National Science Foundation Office of Polar Programs [1643877, 1440435]; Directorate For Geosciences [1643877] Funding Source: National Science Foundation; Office of Polar Programs (OPP) [1643877] Funding Source: National Science Foundation</t>
  </si>
  <si>
    <t>World Wildlife Fund; California Ocean Alliance; One Ocean Expeditions; National Science Foundation Office of Polar Programs(National Science Foundation (NSF)NSF - Directorate for Geosciences (GEO)); Directorate For Geosciences(National Science Foundation (NSF)NSF - Directorate for Geosciences (GEO)); Office of Polar Programs (OPP)(National Science Foundation (NSF)NSF - Directorate for Geosciences (GEO))</t>
  </si>
  <si>
    <t>This work was supported in part by World Wildlife Fund, California Ocean Alliance, and One Ocean Expeditions. UAS imagery was collected as part of National Science Foundation Office of Polar Programs Grants 1643877 and 1440435 to AF.</t>
  </si>
  <si>
    <t>10.3389/fmars.2021.749943</t>
  </si>
  <si>
    <t>7B6PH</t>
  </si>
  <si>
    <t>WOS:000899252500001</t>
  </si>
  <si>
    <t>Phillips, HE; Tandon, A; Furue, R; Hood, R; Ummenhofer, CC; Benthuysen, JA; Menezes, V; Hu, SJ; Webber, B; Sanchez-Franks, A; Cherian, D; Shroyer, E; Feng, M; Wijesekera, H; Chatterjee, A; Yu, LS; Hermes, J; Murtugudde, R; Tozuka, T; Su, D; Singh, A; Centurioni, L; Prakash, S; Wiggert, J</t>
  </si>
  <si>
    <t>Phillips, Helen E.; Tandon, Amit; Furue, Ryo; Hood, Raleigh; Ummenhofer, Caroline C.; Benthuysen, Jessica A.; Menezes, Viviane; Hu, Shijian; Webber, Ben; Sanchez-Franks, Alejandra; Cherian, Deepak; Shroyer, Emily; Feng, Ming; Wijesekera, Hemantha; Chatterjee, Abhisek; Yu, Lisan; Hermes, Juliet; Murtugudde, Raghu; Tozuka, Tomoki; Su, Danielle; Singh, Arvind; Centurioni, Luca; Prakash, Satya; Wiggert, Jerry</t>
  </si>
  <si>
    <t>Progress in understanding of Indian Ocean circulation, variability, air-sea exchange, and impacts on biogeochemistry</t>
  </si>
  <si>
    <t>OCEAN SCIENCE</t>
  </si>
  <si>
    <t>MADDEN-JULIAN OSCILLATION; MONSOON INTRASEASONAL OSCILLATION; LEEUWIN CURRENT SYSTEM; ASIAN SUMMER MONSOON; INDO-WESTERN PACIFIC; PHYTOPLANKTON COMMUNITY STRUCTURE; SHALLOW OVERTURNING CIRCULATION; BENGAL SALINITY STRATIFICATION; EASTERN BOUNDARY CURRENTS; BARRIER-LAYER THICKNESS</t>
  </si>
  <si>
    <t>Over the past decade, our understanding of the Indian Ocean has advanced through concerted efforts toward measuring the ocean circulation and air-sea exchanges, detecting changes in water masses, and linking physical processes to ecologically important variables. New circulation pathways and mechanisms have been discovered that control atmospheric and oceanic mean state and variability. This review brings together new understanding of the ocean-atmosphere system in the Indian Ocean since the last comprehensive review, describing the Indian Ocean circulation patterns, air-sea interactions, and climate variability. Coordinated international focus on the Indian Ocean has motivated the application of new technologies to deliver higher-resolution observations and models of Indian Ocean processes. As a result we are discovering the importance of small-scale processes in setting the large-scale gradients and circulation, interactions between physical and biogeochemical processes, interactions between boundary currents and the interior, and interactions between the surface and the deep ocean. A newly discovered regional climate mode in the southeast Indian Ocean, the Ningaloo Nino, has instigated more regional air-sea coupling and marine heatwave research in the global oceans. In the last decade, we have seen rapid warming of the Indian Ocean overlaid with extremes in the form of marine heatwaves. These events have motivated studies that have delivered new insight into the variability in ocean heat content and exchanges in the Indian Ocean and have highlighted the critical role of the Indian Ocean as a clearing house for anthropogenic heat. This synthesis paper reviews the advances in these areas in the last decade.</t>
  </si>
  <si>
    <t>[Phillips, Helen E.] Univ Tasmania, Inst Marine &amp; Antarctic Studies, Hobart, Tas 7005, Australia; [Phillips, Helen E.] Univ Tasmania, Inst Marine &amp; Antarctic Studies, Australian Antarctic Program Partnership, Hobart, Tas 7005, Australia; [Tandon, Amit] Univ Massachusetts, Coll Engn, Dept Mech Engn, Dartmouth, MA 02747 USA; [Furue, Ryo; Tozuka, Tomoki] APL JAMSTEC, Yokohama, Kanagawa 2360001, Japan; [Hood, Raleigh] Univ Maryland, Horn Point Lab, Ctr Environm Sci, Cambridge, MD 21613 USA; [Ummenhofer, Caroline C.; Menezes, Viviane; Yu, Lisan] Woods Hole Oceanog Inst, Dept Phys Oceanog, Woods Hole, MA 02543 USA; [Ummenhofer, Caroline C.] Univ New South Wales, ARC Ctr Excellence Climate Extremes, Sydney, NSW 2052, Australia; [Benthuysen, Jessica A.] Indian Ocean Marine Res Ctr, Australian Inst Marine Sci, Crawley, WA 6009, Australia; [Hu, Shijian] Chinese Acad Sci, Inst Oceanol, Qingdao, Peoples R China; [Webber, Ben] Univ East Anglia, Sch Environm Sci, Norwich NR4 7TJ, Norfolk, England; [Sanchez-Franks, Alejandra] Natl Oceanog Ctr, Southampton SO 15, Hants, England; [Cherian, Deepak] Natl Ctr Atmospher Res, Boulder, CO 80305 USA; [Shroyer, Emily] Oregon State Univ, Coll Earth Ocean &amp; Atmospher Sci, Corvallis, OR 97331 USA; [Feng, Ming] CSIRO Oceans &amp; Atmosphere, Indian Ocean Marine Res Ctr, Crawley, WA 6009, Australia; [Feng, Ming] Ctr Southern Hemisphere Oceans Res, Hobart, Tas 7004, Australia; [Wijesekera, Hemantha] US Naval Res Lab, Stennis Space Ctr, MS 39529 USA; [Chatterjee, Abhisek; Prakash, Satya] Minist Earth Sci, Indian Natl Ctr Ocean Informat Serv, Hyderabad, India; [Hermes, Juliet] South African Environm Observat Network, Cape Town, South Africa; [Murtugudde, Raghu] Univ Maryland, Dept Atmospher &amp; Ocean Sci, College Pk, MD 20742 USA; [Tozuka, Tomoki] Univ Tokyo, Grad Sch Sci, Dept Earth &amp; Planetary Sci, Tokyo 1130033, Japan; [Su, Danielle] Sorbonne Univ, UPMC Univ Paris 06, CNRS, UMR 7159 LOCEAN IPSL, Paris, France; [Singh, Arvind] Phys Res Lab, Ahmadabad, Gujarat, India; [Centurioni, Luca] Univ Calif San Diego, Scripps Inst Oceanog, La Jolla, CA 92093 USA; [Wiggert, Jerry] Univ Southern Mississippi, Marine Sci Dept, Hattiesburg, MS 39406 USA</t>
  </si>
  <si>
    <t>University of Tasmania; University of Tasmania; University of Massachusetts System; University Massachusetts Dartmouth; Japan Agency for Marine-Earth Science &amp; Technology (JAMSTEC); University System of Maryland; University of Maryland Center for Environmental Science; Woods Hole Oceanographic Institution; University of New South Wales Sydney; University of Western Australia; Australian Institute of Marine Science; Chinese Academy of Sciences; Institute of Oceanology, CAS; University of East Anglia; NERC National Oceanography Centre; National Center Atmospheric Research (NCAR) - USA; Oregon State University; University of Western Australia; Commonwealth Scientific &amp; Industrial Research Organisation (CSIRO); Ministry of Earth Sciences (MoES) - India; Indian National Centre for Ocean Information Services (INCOIS); National Research Foundation - South Africa; South African Environmental Observation Network (SAEON); University System of Maryland; University of Maryland College Park; University of Tokyo; Centre National de la Recherche Scientifique (CNRS); Sorbonne Universite; Department of Space (DoS), Government of India; Physical Research Laboratory - India; University of California System; University of California San Diego; Scripps Institution of Oceanography; University of Southern Mississippi</t>
  </si>
  <si>
    <t>Phillips, HE (corresponding author), Univ Tasmania, Inst Marine &amp; Antarctic Studies, Hobart, Tas 7005, Australia.;Phillips, HE (corresponding author), Univ Tasmania, Inst Marine &amp; Antarctic Studies, Australian Antarctic Program Partnership, Hobart, Tas 7005, Australia.</t>
  </si>
  <si>
    <t>h.e.phillips@utas.edu.au</t>
  </si>
  <si>
    <t>Phillips, Helen/I-3761-2013; Tozuka, Tomoki/A-1805-2009; Singh, Arvind/AAW-7130-2020; Prakash, Satya/HNS-9397-2023; Wiggert, Jerry/JJD-6811-2023; Hood, Raleigh/AGW-0453-2022; Yu, Lisan/AIB-2264-2022; Webber, Benjamin G M/J-7096-2015; Hermes, Juliet/IRZ-6210-2023; Hu, Shijian/Q-6838-2016; Menezes, Viviane/G-6618-2014; Murtugudde, Raghu/A-2933-2008</t>
  </si>
  <si>
    <t>Phillips, Helen/0000-0002-2941-7577; Tozuka, Tomoki/0000-0001-6738-1299; Wiggert, Jerry/0000-0001-8665-0773; Yu, Lisan/0000-0003-4157-9154; Hermes, Juliet/0000-0001-7858-514X; Cherian, Deepak/0000-0002-6861-8734; Su, Danielle/0000-0003-1310-846X; Menezes, Viviane/0000-0002-4885-2056; Webber, Ben/0000-0002-8812-5929; Singh, Arvind/0000-0002-3060-891X; Furue, Ryo/0000-0003-0563-1189; Sanchez-Franks, Alejandra/0000-0002-4831-5461; Tandon, Amit/0000-0001-7124-1512; Murtugudde, Raghu/0000-0002-3307-7114</t>
  </si>
  <si>
    <t>Earth Systems and Climate Change Hub; Earth Systems and Climate Change Hub of the Australian Government's National Environmental Science Programme; Climate Systems Hub of the Australian Government's National Environmental Science Programme; ARC Centre of Excellence for Climate Extremes</t>
  </si>
  <si>
    <t>The authors acknowledge the sustained efforts of researchers and funding agencies in observing and modelling the oceanic and atmospheric processes that control climate variability in the Indian Ocean region. These contributions during the International Indian Ocean Expeditions (I and II) and in the intervening years through national and international programmes, such as CLIVAR and GOOS, are fundamental to improving our knowledge of these systems and increasing our skill at forecasting variability and extreme events. We thank the IIOE-2 leadership team (https://iioe-2.incois.gov.in/, last access: 22 October 2021) for their unwavering efforts to share new discoveries and promote understanding of the importance of the Indian Ocean to the climate system and Earth's inhabitants. We are very grateful to Michael McPhaden, Lisa Beal, and an anonymous reviewer for their encouraging and constructive comments that have led to a more comprehensive and balanced synthesis of recent advances. Helen E. Phillips acknowledges support from the Earth Systems and Climate Change Hub and Climate Systems Hub of the Australian Government's National Environmental Science Programme and the ARC Centre of Excellence for Climate Extremes. Amit Tandon acknowledges the US Office of Naval Research. This is INCOIS contribution no. 437.</t>
  </si>
  <si>
    <t>1812-0784</t>
  </si>
  <si>
    <t>1812-0792</t>
  </si>
  <si>
    <t>OCEAN SCI</t>
  </si>
  <si>
    <t>Ocean Sci.</t>
  </si>
  <si>
    <t>10.5194/os-17-1677-2021</t>
  </si>
  <si>
    <t>Meteorology &amp; Atmospheric Sciences; Oceanography</t>
  </si>
  <si>
    <t>XF1QC</t>
  </si>
  <si>
    <t>Green Submitted, gold, Green Accepted</t>
  </si>
  <si>
    <t>WOS:000723851300001</t>
  </si>
  <si>
    <t>Wirtz, A; Carter, CG; Codabaccus, MB; Fitzgibbon, QP; Townsend, AT; Smith, GG</t>
  </si>
  <si>
    <t>Wirtz, Andrea; Carter, Chris G.; Codabaccus, M. Basseer; Fitzgibbon, Quinn P.; Townsend, Ashley T.; Smith, Gregory G.</t>
  </si>
  <si>
    <t>Protein sources influence both apparent digestibility and gastrointestinal evacuation rate in juvenile slipper lobster (Thenus australiensis)</t>
  </si>
  <si>
    <t>COMPARATIVE BIOCHEMISTRY AND PHYSIOLOGY A-MOLECULAR &amp; INTEGRATIVE PHYSIOLOGY</t>
  </si>
  <si>
    <t>Lobster aquaculture; Protein sources; Apparent digestibility; Gastrointestinal</t>
  </si>
  <si>
    <t>FRESH-WATER CRAYFISH; GUT TRANSIT-TIME; SPINY LOBSTER; SOYBEAN-MEAL; DIGESTIVE PHYSIOLOGY; LIPID EXTRACTION; FEED INGREDIENTS; ANIMAL PROTEIN; DIETS; CRAB</t>
  </si>
  <si>
    <t>Apparent digestibility and gastrointestinal evacuation rate were measured to assess the potential of five commercially available protein sources for their inclusion in feeds for juvenile slipper lobster, Thenus australiensis. Protein sources tested were fishmeal, krill meal, lupin meal, soybean meal and squid by-product meal. Apparent digestibility of crude protein ranged from 79.6% to 95.3%, with fishmeal protein significantly less digestible than lupin meal, squid by-product meal and soybean meal. Gastrointestinal evacuation rate was estimated from marker replacement, where yttrium oxide replaced ytterbium oxide. Faeces were collected every 3 h for 48 h, and a kinetic model was used to calculate the rate and time for the second marker to replace the first marker. Gastrointestinal evacuation (&gt;= 95%) was completed between 4 and 6 h with no significant differences among protein sources. Faeces consisted of both markers in equal parts 2.7 to 5.0 h after the feed switch, with lupin meal reaching the midpoint significantly faster than squid by-product meal and reference feed. The present study is the first in crustaceans to examine the relationship between apparent digestibility and gastrointestinal evacuation, showing more digestible protein sources had slower evacuation rates. The combined approach provides deeper insight into crustaceans' digestive physiology and helps understand their ability to digest specific ingredients. Further research is recommended to understand protein requirements in a broader context to verify highly digestible protein sources meet all nutritional requirements.</t>
  </si>
  <si>
    <t>[Wirtz, Andrea; Carter, Chris G.; Codabaccus, M. Basseer; Fitzgibbon, Quinn P.; Smith, Gregory G.] Univ Tasmania, Inst Marine &amp; Antarctic Studies IMAS, Private Bag 49, Hobart, Tas 7001, Australia; [Townsend, Ashley T.] Univ Tasmania, Cent Sci Lab, Private Bag 74, Hobart, Tas 7001, Australia</t>
  </si>
  <si>
    <t>University of Tasmania; University of Tasmania</t>
  </si>
  <si>
    <t>Wirtz, A (corresponding author), Univ Tasmania, Inst Marine &amp; Antarctic Studies IMAS, Private Bag 49, Hobart, Tas 7001, Australia.</t>
  </si>
  <si>
    <t>andrea.wirtz@utas.edu.au</t>
  </si>
  <si>
    <t>Carter, Chris Guy/A-3438-2008; Townsend, Ashley/J-7445-2014; Smith, Gregory/C-9263-2013</t>
  </si>
  <si>
    <t>Carter, Chris Guy/0000-0001-5210-1282; Townsend, Ashley/0000-0002-2972-2678; Williamson, Andrea/0000-0002-2498-8135; Fitzgibbon, Quinn/0000-0002-1104-3052; Smith, Gregory/0000-0002-8677-1230; codabaccus, mohamed/0000-0001-5108-373X</t>
  </si>
  <si>
    <t>Australian Research Council [IH190100014, LE0989539]; Australian Research Council [IH190100014, LE0989539] Funding Source: Australian Research Council</t>
  </si>
  <si>
    <t>Australian Research Council(Australian Research Council); Australian Research Council(Australian Research Council)</t>
  </si>
  <si>
    <t>This research was conducted by the Australian Research Council Industrial Transformation Hub for Sustainable Onshore Lobster Aquaculture (project number IH190100014). Access to SF-ICP-MS was supported through Australian Research Council Linkage Infrastructure Equipment and Facilities funding (LE0989539). The views expressed herein are those of the authors and are not necessarily those of the Australian Government or Australian Research Council.</t>
  </si>
  <si>
    <t>ELSEVIER SCIENCE INC</t>
  </si>
  <si>
    <t>STE 800, 230 PARK AVE, NEW YORK, NY 10169 USA</t>
  </si>
  <si>
    <t>1095-6433</t>
  </si>
  <si>
    <t>1531-4332</t>
  </si>
  <si>
    <t>COMP BIOCHEM PHYS A</t>
  </si>
  <si>
    <t>Comp. Biochem. Physiol. A-Mol. Integr. Physiol.</t>
  </si>
  <si>
    <t>10.1016/j.cbpa.2021.111121</t>
  </si>
  <si>
    <t>Biochemistry &amp; Molecular Biology; Physiology; Zoology</t>
  </si>
  <si>
    <t>YE0VA</t>
  </si>
  <si>
    <t>WOS:000740849000005</t>
  </si>
  <si>
    <t>Wang, RH; Wang, JJ; Guo, XB; Li, YF; Wu, Y; Liu, HQ; Zhao, Y</t>
  </si>
  <si>
    <t>Wang, Ronghan; Wang, Jing Jing; Guo, Xiaobing; Li, Yufeng; Wu, Yi; Liu, Haiquan; Zhao, Yong</t>
  </si>
  <si>
    <t>Physicochemical and functional properties of the Antarctic krill proteins modified by succinylation</t>
  </si>
  <si>
    <t>LWT-FOOD SCIENCE AND TECHNOLOGY</t>
  </si>
  <si>
    <t>Antarctic krill proteins; Succinylation; Emulsion; Curcumin; Stability</t>
  </si>
  <si>
    <t>EUPHAUSIA-SUPERBA; COMPOSITE NANOPARTICLES; ORAL DELIVERY; ENCAPSULATION</t>
  </si>
  <si>
    <t>Antarctic krill proteins (AKPs) were successfully succinylated by using succinic anhydride, and the physicochemical and functional properties of the succinylated proteins as well as their ability to protect active curcumin were investigated. The results showed that the succinylation reaction decreased the particle size and hydrophobicity but increased the surface charge of AKPs, which greatly improved the solubility and emulsification of the proteins. On this basis, the succinylated AKPs presented an excellent ability to encapsulate curcumin to prepare emulsions and endowed the emulsions with good physical performance to resist the stress of photothermal treatment, salt and different temperatures. Notably, the succinylated proteins protected encapsulated curcumin from degradation more effectively than the reported protein-phenolic conjugates of carboxymethyl dextrin (CMD)-curcumin and zein-curcumin. These findings indicate that the succinylated AKPs are a promising food resource and present great potential for application in the food industry.</t>
  </si>
  <si>
    <t>[Wang, Ronghan; Wang, Jing Jing; Li, Yufeng; Wu, Yi; Liu, Haiquan; Zhao, Yong] Shanghai Ocean Univ, Coll Food Sci &amp; Technol, Shanghai 201306, Peoples R China; [Wang, Jing Jing] Foshan Univ, Sch Food Sci &amp; Engn, South China Food Safety Res Ctr, Foshan 528000, Guangdong, Peoples R China; [Guo, Xiaobing] Shihezi Univ, Dept Food Sci, Shihezi Xinjiang 832003, Peoples R China; [Liu, Haiquan; Zhao, Yong] Shanghai Engn Res Ctr Aquat Prod Proc &amp; Preservat, Shanghai 201306, Peoples R China; [Liu, Haiquan; Zhao, Yong] Minist Agr Shanghai, Lab Qual &amp; Safety Risk Assessment Aquat Prod Stor, Shanghai 201306, Peoples R China; [Li, Yufeng] Anhui Polytech Univ, Coll Biol &amp; Food Engn, Wuhu 241000, Peoples R China</t>
  </si>
  <si>
    <t>Shanghai Ocean University; Foshan University; Shihezi University; Anhui Polytechnic University</t>
  </si>
  <si>
    <t>Wang, JJ; Zhao, Y (corresponding author), Shanghai Ocean Univ, Coll Food Sci &amp; Technol, Shanghai 201306, Peoples R China.</t>
  </si>
  <si>
    <t>w_j2010@126.com</t>
  </si>
  <si>
    <t>wang, juan/IUO-6218-2023; Li, Yuxiang/HNJ-4258-2023; LI, Wenhui/JCD-9947-2023; LI, yi/HKO-0480-2023; lu, kai/KBB-4008-2024; Yan, Jun/IXD-7801-2023; Wang, Jinguo/JED-9233-2023; Li, yu/HHZ-5236-2022</t>
  </si>
  <si>
    <t>Wang, Jing Jing/0000-0002-1341-2034</t>
  </si>
  <si>
    <t>National Natural Science Foundation of China [32102105, 31571917]; Guangdong Basic and Applied Basic Research Foundation [2020A1515110960, 2020A1515110326, 2021A1515010015]; Key Project of Shanghai Agriculture Prosperity through Science and Technology [2019-02-08-00-15-F01147]</t>
  </si>
  <si>
    <t>National Natural Science Foundation of China(National Natural Science Foundation of China (NSFC)); Guangdong Basic and Applied Basic Research Foundation; Key Project of Shanghai Agriculture Prosperity through Science and Technology</t>
  </si>
  <si>
    <t>This research was supported by the National Natural Science Foundation of China (32102105; 31571917) , the Guangdong Basic and Applied Basic Research Foundation (2020A1515110960; 2020A1515110326; 2021A1515010015) , the Key Project of Shanghai Agriculture Prosperity through Science and Technology (2019-02-08-00-15-F01147) .</t>
  </si>
  <si>
    <t>0023-6438</t>
  </si>
  <si>
    <t>1096-1127</t>
  </si>
  <si>
    <t>LWT-FOOD SCI TECHNOL</t>
  </si>
  <si>
    <t>LWT-Food Sci. Technol.</t>
  </si>
  <si>
    <t>10.1016/j.lwt.2021.112832</t>
  </si>
  <si>
    <t>Food Science &amp; Technology</t>
  </si>
  <si>
    <t>XW0BG</t>
  </si>
  <si>
    <t>WOS:000735295100012</t>
  </si>
  <si>
    <t>Obase, T; Abe-Ouchi, A; Saito, F</t>
  </si>
  <si>
    <t>Obase, Takashi; Abe-Ouchi, Ayako; Saito, Fuyuki</t>
  </si>
  <si>
    <t>Abrupt climate changes in the last two deglaciations simulated with different Northern ice sheet discharge and insolation</t>
  </si>
  <si>
    <t>SCIENTIFIC REPORTS</t>
  </si>
  <si>
    <t>SEA-LEVEL; GLACIAL MAXIMUM; INTERGLACIAL CLIMATE; TEMPERATURE-CHANGES; BIPOLAR SEESAW; SCALE FEATURES; FRESH-WATER; 127 KA; OCEAN; CIRCULATION</t>
  </si>
  <si>
    <t>There were significant differences between the last two deglaciations, particularly in Atlantic Meridional Overturning Circulation (AMOC) and Antarctic warming in the deglaciations and the following interglacials. Here, we present transient simulations of deglaciation using a coupled atmosphere-ocean general circulation model for the last two deglaciations focusing on the impact of ice sheet discharge on climate changes associated with the AMOC in the first part, and the sensitivity studies using a Northern Hemisphere ice sheet model in the second part. We show that a set of abrupt climate changes of the last deglaciation, including Bolling-Allerod warming, the Younger Dryas, and onset of the Holocene were simulated with gradual changes of both ice sheet discharge and radiative forcing. On the other hand, penultimate deglaciation, with the abrupt climate change only at the beginning of the last interglacial was simulated when the ice sheet discharge was greater than in the last deglaciation by a factor of 1.5. The results, together with Northern Hemisphere ice sheet model experiments suggest the importance of the transient climate and AMOC responses to the different orbital forcing conditions of the last two deglaciations, through the mechanisms of mass loss of the Northern Hemisphere ice sheet and meltwater influx to the ocean.</t>
  </si>
  <si>
    <t>[Obase, Takashi; Abe-Ouchi, Ayako] Univ Tokyo, Atmosphere &amp; Ocean Res Inst, 5-1-5 Kashiwanoha, Kashiwa, Chiba 2778568, Japan; [Abe-Ouchi, Ayako] Natl Inst Polar Res, Tachikawa, Tokyo, Japan; [Saito, Fuyuki] Japan Agcy Marine Earth Sci &amp; Technol, Yokohama, Japan</t>
  </si>
  <si>
    <t>University of Tokyo; Research Organization of Information &amp; Systems (ROIS); National Institute of Polar Research (NIPR) - Japan; Japan Agency for Marine-Earth Science &amp; Technology (JAMSTEC)</t>
  </si>
  <si>
    <t>Obase, T (corresponding author), Univ Tokyo, Atmosphere &amp; Ocean Res Inst, 5-1-5 Kashiwanoha, Kashiwa, Chiba 2778568, Japan.</t>
  </si>
  <si>
    <t>obase@aori.u-tokyo.ac.jp</t>
  </si>
  <si>
    <t>SAITO, Fuyuki/B-8776-2013; Abe-Ouchi, Ayako A/M-6359-2013</t>
  </si>
  <si>
    <t>Abe-Ouchi, Ayako A/0000-0003-1745-5952</t>
  </si>
  <si>
    <t>JSPS KAKENHI [17H06104, 17H06323, JPJSBP120213203]; Grants-in-Aid for Scientific Research [17H06323]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</si>
  <si>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</si>
  <si>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research was supported by JSPS KAKENHI Grants 17H06104, 17H06323 and JPJSBP120213203. We performed numerical simulations on the Earth Simulator 3 at Japan Agency for Marine-Earth Science and Technology (JAMSTEC). We thank Sara J. Mason, M.Sc., from Edanz Group for editing the English text of a draft of this manuscript.</t>
  </si>
  <si>
    <t>2045-2322</t>
  </si>
  <si>
    <t>SCI REP-UK</t>
  </si>
  <si>
    <t>Sci Rep</t>
  </si>
  <si>
    <t>NOV 25</t>
  </si>
  <si>
    <t>10.1038/s41598-021-01651-2</t>
  </si>
  <si>
    <t>XD4WB</t>
  </si>
  <si>
    <t>WOS:000722710200046</t>
  </si>
  <si>
    <t>Millar, JL; Bagshaw, EA; Edwards, A; Poniecka, EA; Jungblut, AD</t>
  </si>
  <si>
    <t>Millar, Jasmin L.; Bagshaw, Elizabeth A.; Edwards, Arwyn; Poniecka, Ewa A.; Jungblut, Anne D.</t>
  </si>
  <si>
    <t>Polar Cryoconite Associated Microbiota Is Dominated by Hemispheric Specialist Genera</t>
  </si>
  <si>
    <t>FRONTIERS IN MICROBIOLOGY</t>
  </si>
  <si>
    <t>cryoconite; illumina sequencing; Antarctic microbiology; Arctic microbiology; pole-to-pole; 16S rRNA gene; 18S rRNA gene</t>
  </si>
  <si>
    <t>RIBOSOMAL-RNA; BACTERIAL COMMUNITIES; TAYLOR VALLEY; ICE; HOLES; DIVERSITY; GLACIERS; PHOTOPHYSIOLOGY; BIODIVERSITY; EVOLUTION</t>
  </si>
  <si>
    <t>Cryoconite holes, supraglacial depressions containing water and microbe-mineral aggregates, are known to be hotspots of microbial diversity on glacial surfaces. Cryoconite holes form in a variety of locations and conditions, which impacts both their structure and the community that inhabits them. Using high-throughput 16S and 18S rRNA gene sequencing, we have investigated the communities of a wide range of cryoconite holes from 15 locations across the Arctic and Antarctic. Around 24 bacterial and 11 eukaryotic first-rank phyla were observed in total. The various biotic niches (grazer, predator, photoautotroph, and chemotroph), are filled in every location. Significantly, there is a clear divide between the bacterial and microalgal communities of the Arctic and that of the Antarctic. We were able to determine the groups contributing to this difference and the family and genus level. Both polar regions contain a core group of bacteria that are present in the majority of cryoconite holes and each contribute &gt;1% of total amplicon sequence variant (ASV) abundance. Whilst both groups contain Microbacteriaceae, the remaining members are specific to the core group of each polar region. Additionally, the microalgal communities of Arctic cryoconite holes are dominated by Chlamydomonas whereas the Antarctic cryoconite holes are dominated by Pleurastrum. Therefore cryoconite holes may be a global feature of glacier landscapes, but they are inhabited by regionally distinct microbial communities. Our results are consistent with the notion that cryoconite microbiomes are adapted to differing conditions within the cryosphere.</t>
  </si>
  <si>
    <t>[Millar, Jasmin L.; Bagshaw, Elizabeth A.; Poniecka, Ewa A.] Cardiff Univ, Sch Earth &amp; Environm Sci, Cardiff, Wales; [Millar, Jasmin L.; Jungblut, Anne D.] Nat Hist Museum, Dept Life Sci, London, England; [Edwards, Arwyn] Aberystwyth Univ, Inst Biol Environm &amp; Rural Sci, Ceredigion, Wales; [Poniecka, Ewa A.] Univ Warsaw, Dept Environm Microbiol &amp; Biotechnol, Inst Microbiol, Fac Biol, Warsaw, Poland</t>
  </si>
  <si>
    <t>Cardiff University; Natural History Museum London; Aberystwyth University; UK Research &amp; Innovation (UKRI); Biotechnology and Biological Sciences Research Council (BBSRC); Institute of Biological, Environmental, Rural &amp; Sciences (IBERS); University of Warsaw</t>
  </si>
  <si>
    <t>Millar, JL (corresponding author), Cardiff Univ, Sch Earth &amp; Environm Sci, Cardiff, Wales.;Millar, JL (corresponding author), Nat Hist Museum, Dept Life Sci, London, England.</t>
  </si>
  <si>
    <t>millarjl@cardiff.ac.uk</t>
  </si>
  <si>
    <t>Bagshaw, Elizabeth/0000-0001-8392-1750; Poniecka, Ewa/0000-0002-0772-8630</t>
  </si>
  <si>
    <t>1664-302X</t>
  </si>
  <si>
    <t>FRONT MICROBIOL</t>
  </si>
  <si>
    <t>Front. Microbiol.</t>
  </si>
  <si>
    <t>10.3389/fmicb.2021.738451</t>
  </si>
  <si>
    <t>XM6BC</t>
  </si>
  <si>
    <t>Green Accepted, Green Published, gold</t>
  </si>
  <si>
    <t>WOS:000728909000001</t>
  </si>
  <si>
    <t>Genovese, C; Grotti, M; Ardini, F; Wuttig, K; Vivado, D; Cabanes, D; Townsend, A; Hassler, C; Lannuzel, D</t>
  </si>
  <si>
    <t>Genovese, Cristina; Grotti, Marco; Ardini, Francisco; Wuttig, Kathrin; Vivado, Davide; Cabanes, Damien; Townsend, Ashley; Hassler, Christel; Lannuzel, Delphine</t>
  </si>
  <si>
    <t>Effect of salinity and temperature on the determination of dissolved iron-binding organic ligands in the polar marine environment</t>
  </si>
  <si>
    <t>MARINE CHEMISTRY</t>
  </si>
  <si>
    <t>Iron; Organic speciation; Sea ice; Cathodic stripping voltammetry</t>
  </si>
  <si>
    <t>CATHODIC STRIPPING VOLTAMMETRY; CHEMICAL SPECIATION; HUMIC SUBSTANCES; COMPLEXING LIGANDS; ATLANTIC-OCEAN; TRACE-METALS; ARCTIC-OCEAN; SEAWATER; COMPLEXATION; FE</t>
  </si>
  <si>
    <t>It is widely accepted that iron (Fe)-binding organic ligands play a crucial role in Fe distribution in the marine environment and thus in Fe biogeochemistry. Although Competitive Ligand Equilibration - Adsorptive Cathodic Stripping Voltammetry (CLE-AdCSV) is a well-established technique to investigate Fe chemical speciation in marine samples, several impediments still need to be addressed. These include the extrapolation of laboratory measurements to in-situ conditions, the harmonization of the analytical procedures used, and the applicability of the methods over salinity ranges wider than seawater (e.g., sea ice). This work focusses on the calibration of 2-(2-thiazolylazo)-p-cresol (TAC), salicylaldoxime (SA) and 1-nitroso-2-naphthol (NN), along the salinity range 1-90, and titration of natural samples at two different temperatures (4 degrees C and 20 degrees C). The artificial ligand concentration was 10 mu M for TAC and 5 mu M for SA and NN. Calibrations showed that increasing salinity caused a decrease in the conditional stability constants (logK'(Fe'AL)) for NN and SA (although different behaviours were noted for the two species FeSA and FeSA(2)). Less accuracy was noted using TAC, which behaved inconsistently outside the 21 &lt; S &lt; 35 range, and its use is therefore discouraged in fresh and highly saline waters. Titrations of natural samples showed that only SA covered the salinity range selected, up to 78, and its use is therefore recommended in sea-ice studies. The side reaction coefficient (loga'(Fe'AL)) of each artificial ligand was found to be influenced by temperature differently: log alpha'(Fe'SA) was higher at lower temperature (4 degrees C), whereas log alpha'(Fe'SA2) and log alpha'(Fe'NN3) increased with increasing temperature (to 20 degrees C). Although titrations performed at 4 degrees C highlighted that the uncomplexed Fe fraction was 14% lower than at 20 degrees C, with potential consequences on primary productivity, the percentage of natural Fe complexed was &gt;99%. Future investigations should consider the analysis of the samples at a temperature as close as possible to in-situ conditions to reduce the potential temperature effects.</t>
  </si>
  <si>
    <t>[Genovese, Cristina; Lannuzel, Delphine] Univ Tasmania, Inst Marine &amp; Antarctic Studies, Locked Bag 129, Hobart, Tas, Australia; [Grotti, Marco; Ardini, Francisco; Vivado, Davide] Univ Genoa, Dept Chem &amp; Ind Chem, Via Dodecaneso 31, Genoa, Italy; [Cabanes, Damien; Hassler, Christel] Univ Geneva, Dept FA Forel Environm &amp; Aquat Sci, 66 Bvd Carl Vogt, CH-2011 Geneva, Switzerland; [Townsend, Ashley] Univ Tasmania, Cent Sci Lab, Private Bag 74, Hobart, Tas, Australia; [Hassler, Christel] Ecole Polytech Fed Lausanne EPFL, Swiss Polar Inst, GR C2 505,Stn 2, CH-1015 Lausanne, Switzerland; [Wuttig, Kathrin] Univ Tasmania, Antarctic Climate &amp; Ecosyst CRC, Locked Bag 129, Hobart, Tas, Australia; [Genovese, Cristina] Univ Libre Bruxelles ULB, Brussels, Belgium; [Wuttig, Kathrin] Fed Maritime &amp; Hydrog Agcy BSH, Hamburg, Germany</t>
  </si>
  <si>
    <t>University of Tasmania; University of Genoa; University of Geneva; University of Tasmania; Swiss Federal Institutes of Technology Domain; Ecole Polytechnique Federale de Lausanne; University of Tasmania; Universite Libre de Bruxelles</t>
  </si>
  <si>
    <t>Genovese, C (corresponding author), Univ Tasmania, Inst Marine &amp; Antarctic Studies, Locked Bag 129, Hobart, Tas, Australia.;Genovese, C (corresponding author), Univ Libre Bruxelles ULB, Brussels, Belgium.</t>
  </si>
  <si>
    <t>cristina.genovese@utas.edu.au</t>
  </si>
  <si>
    <t>Grotti, Marco/HGU-3949-2022; Lannuzel, Delphine/J-7937-2014; Townsend, Ashley/J-7445-2014; Wuttig, Kathrin/F-5793-2015</t>
  </si>
  <si>
    <t>Grotti, Marco/0000-0001-6956-5761; Townsend, Ashley/0000-0002-2972-2678; Wuttig, Kathrin/0000-0003-4010-5918</t>
  </si>
  <si>
    <t>Australian Research Council [SR140300001, 1900100688]; Australian Research Council [SR140300001] Funding Source: Australian Research Council</t>
  </si>
  <si>
    <t>Australian Research Council(Australian Research Council); Australian Research Council</t>
  </si>
  <si>
    <t>This research was supported under Australian Research Council's Special Research Initiative for Antarctic Gateway Partnership (Project ID SR140300001) and Future Fellowship 1900100688. The authors thank the two anonymous reviewers for their valuable comments which greatly improved the manuscript.</t>
  </si>
  <si>
    <t>0304-4203</t>
  </si>
  <si>
    <t>1872-7581</t>
  </si>
  <si>
    <t>MAR CHEM</t>
  </si>
  <si>
    <t>Mar. Chem.</t>
  </si>
  <si>
    <t>JAN 20</t>
  </si>
  <si>
    <t>10.1016/j.marchem.2021.104051</t>
  </si>
  <si>
    <t>Chemistry, Multidisciplinary; Oceanography</t>
  </si>
  <si>
    <t>Chemistry; Oceanography</t>
  </si>
  <si>
    <t>XE6PV</t>
  </si>
  <si>
    <t>WOS:000723508100003</t>
  </si>
  <si>
    <t>Lefcheck, JS; Edgar, GJ; Stuart-Smith, RD; Bates, AE; Waldock, C; Brandl, SJ; Kininmonth, S; Ling, SD; Duffy, JE; Rasher, DB; Agrawal, AF</t>
  </si>
  <si>
    <t>Lefcheck, Jonathan S.; Edgar, Graham J.; Stuart-Smith, Rick D.; Bates, Amanda E.; Waldock, Conor; Brandl, Simon J.; Kininmonth, Stuart; Ling, Scott D.; Duffy, J. Emmett; Rasher, Douglas B.; Agrawal, Aneil F.</t>
  </si>
  <si>
    <t>Species richness and identity both determine the biomass of global reef fish communities</t>
  </si>
  <si>
    <t>NATURE COMMUNICATIONS</t>
  </si>
  <si>
    <t>MARINE PROTECTED AREAS; ECOSYSTEM FUNCTION; BIODIVERSITY LOSS; PRICE EQUATION; ABUNDANCE; EXTINCTION; RESISTANCE; SELECTION; REVEALS; LOSSES</t>
  </si>
  <si>
    <t>Changing biodiversity alters ecosystem functioning in nature, but the degree to which this relationship depends on the taxonomic identities rather than the number of species remains untested at broad scales. Here, we partition the effects of declining species richness and changing community composition on fish community biomass across &gt;3000 coral and rocky reef sites globally. We find that high biodiversity is 5.7x more important in maximizing biomass than the remaining influence of other ecological and environmental factors. Differences in fish community biomass across space are equally driven by both reductions in the total number of species and the disproportionate loss of larger-than-average species, which is exacerbated at sites impacted by humans. Our results confirm that sustaining biomass and associated ecosystem functions requires protecting diversity, most importantly of multiple large-bodied species in areas subject to strong human influences. Species identity and richness both contribute biodiversity-ecosystem functioning relationships. Here the authors apply a decomposition approach inspired by the Price equation to a global dataset of reef fish community biomass, finding that increased richness and community compositions favouring large-bodied species enhance biomass.</t>
  </si>
  <si>
    <t>[Lefcheck, Jonathan S.; Duffy, J. Emmett] Smithsonian Environm Res Ctr, Tennenbaum Marine Observ Network, POB 28, Edgewater, MD 21037 USA; [Lefcheck, Jonathan S.; Duffy, J. Emmett] Smithsonian Environm Res Ctr, MarineGEO Program, POB 28, Edgewater, MD 21037 USA; [Edgar, Graham J.; Stuart-Smith, Rick D.; Ling, Scott D.] Univ Tasmania, Inst Marine &amp; Antarctic Studies, Hobart, Tas 7001, Australia; [Bates, Amanda E.] Mem Univ Newfoundland, Dept Ocean Sci, St John, NF A1C 5S7, Canada; [Bates, Amanda E.] Univ Victoria, Dept Biol, Victoria, BC V8P 5C, Canada; [Waldock, Conor] Swiss Fed Inst Technol, Inst Terr Ecosyst, Landscape Ecol, CH-8092 Zurich, Switzerland; [Waldock, Conor] Univ Bern, Inst Ecol &amp; Evolut, Aquat Ecol &amp; Evolut, Bern, Switzerland; [Brandl, Simon J.] Univ Texas Austin, Marine Sci Inst, Dept Marine Sci, Port Aransas, TX 78373 USA; [Kininmonth, Stuart] Univ South Pacific, Sch Marine Studies, Laucala Bay Rd, Suva, Fiji; [Rasher, Douglas B.] Bigelow Lab Ocean Sci, East Boothbay, ME 04544 USA; [Agrawal, Aneil F.] Univ Toronto, Dept Ecol &amp; Evolutionary Biol, Toronto, ON M5S 3B2, Canada</t>
  </si>
  <si>
    <t>Smithsonian Institution; Smithsonian Environmental Research Center; Smithsonian Institution; Smithsonian Environmental Research Center; University of Tasmania; Memorial University Newfoundland; University of Victoria; Swiss Federal Institutes of Technology Domain; ETH Zurich; University of Bern; University of Texas System; University of Texas Austin; University of the South Pacific; Bigelow Laboratory for Ocean Sciences; University of Toronto</t>
  </si>
  <si>
    <t>Lefcheck, JS (corresponding author), Smithsonian Environm Res Ctr, Tennenbaum Marine Observ Network, POB 28, Edgewater, MD 21037 USA.;Lefcheck, JS (corresponding author), Smithsonian Environm Res Ctr, MarineGEO Program, POB 28, Edgewater, MD 21037 USA.</t>
  </si>
  <si>
    <t>LefcheckJ@si.edu</t>
  </si>
  <si>
    <t>Kininmonth, Stuart/N-9299-2013; Stuart-Smith, Rick/I-5214-2019; Lefcheck, Jonathan/H-8768-2019; Brandl, Simon/H-4150-2019; Edgar, Graham/AAY-3797-2020</t>
  </si>
  <si>
    <t>Kininmonth, Stuart/0000-0001-9198-3396; Stuart-Smith, Rick/0000-0002-8874-0083; Lefcheck, Jonathan/0000-0002-8787-1786; Brandl, Simon/0000-0002-6649-2496; Edgar, Graham/0000-0003-0833-9001; Waldock, Conor/0000-0002-2818-9859; Duffy, J. Emmett/0000-0001-8595-6391</t>
  </si>
  <si>
    <t>Australian Research Council, Institute for Marine and Antarctic Studies; Marine Biodiversity Hub; Australian Government's National Environmental Science Program; Tennenbaum Marine Observatories Network; Maxwell Hanrahan Foundation; Canada Research Chairs program; Tennenbaum Marine Observatories Network and MarineGEO program</t>
  </si>
  <si>
    <t>Australian Research Council, Institute for Marine and Antarctic Studies(Australian Research Council); Marine Biodiversity Hub; Australian Government's National Environmental Science Program(Australian Government); Tennenbaum Marine Observatories Network(Smithsonian InstitutionSmithsonian Tennenbaum Marine Observatories Network); Maxwell Hanrahan Foundation; Canada Research Chairs program(Canada Research Chairs); Tennenbaum Marine Observatories Network and MarineGEO program</t>
  </si>
  <si>
    <t>We acknowledge the many Reef Life Survey (RLS) divers who participated in data collection; Sue Baker, Hugh Sweatman, Beth Strain, and Russell Thomson for productive discussions; Jeremy Fox for constructive comments on an earlier draft; and Katie May Laumann and Berlioz the cat for moral support. J.S.L. was supported by the Michael E. Tennenbaum Secretarial Scholar gift to the Smithsonian Institution. G.J.E. and R.D.S.-S. were supported by the Australian Research Council, Institute for Marine and Antarctic Studies, and the Marine Biodiversity Hub, a collaborative partnership supported through the Australian Government's National Environmental Science Program. J.E.D. was supported by the Tennenbaum Marine Observatories Network. D.B.R. was supported by the Maxwell Hanrahan Foundation. A.E.B. was supported by the Canada Research Chairs program. This is contribution #92 from the Tennenbaum Marine Observatories Network and MarineGEO program.</t>
  </si>
  <si>
    <t>2041-1723</t>
  </si>
  <si>
    <t>NAT COMMUN</t>
  </si>
  <si>
    <t>Nat. Commun.</t>
  </si>
  <si>
    <t>10.1038/s41467-021-27212-9</t>
  </si>
  <si>
    <t>XD7EG</t>
  </si>
  <si>
    <t>WOS:000722866700076</t>
  </si>
  <si>
    <t>Dirscherl, MC; Dietz, AJ; Kuenzer, C</t>
  </si>
  <si>
    <t>Dirscherl, Mariel C.; Dietz, Andreas J.; Kuenzer, Claudia</t>
  </si>
  <si>
    <t>Seasonal evolution of Antarctic supraglacial lakes in 2015-2021 and links to environmental controls</t>
  </si>
  <si>
    <t>SURFACE MASS-BALANCE; VI ICE SHELF; DRONNING MAUD LAND; STRUCTURAL GLACIOLOGY; LARSEN; MELT; PENINSULA; MELTWATER; DRAINAGE; CLIMATE</t>
  </si>
  <si>
    <t>Supraglacial meltwater accumulation on ice shelves may have important implications for future sea level rise. Despite recent progress in the understanding of Antarctic surface hydrology, potential influences on ice shelf stability as well as links to environmental drivers remain poorly constrained. In this study, we employ state-of-the-art machine learning on Sentinel-1 synthetic aperture radar (SAR) and optical Sentinel-2 satellite imagery to provide new insight into the inter-annual and intra-annual evolution of surface hydrological features across six major Antarctic Peninsula and East Antarctic ice shelves. For the first time, we produce a high-resolution record of supraglacial lake extent dynamics for the period 2015-2021 at unprecedented 10m spatial resolution and bi-weekly temporal scale. Through synergetic use of optical and SAR data, we obtain a more complete mapping record also enabling the delineation of buried lakes. Our results for Antarctic Peninsula ice shelves reveal below-average meltwater ponding during most of melting seasons 2015-2018 and above-average meltwater ponding throughout summer 2019-2020 and early 2020-2021 considering years 2015-2021 as a reference period. Meltwater ponding on investigated East Antarctic ice shelves was far more variable, with above-average lake extents during most 2016-2019 melting seasons and below-average lake extents during 2020-2021, considering the reference interval 2016-2021. This study is the first to investigate relationships with climate drivers both spatially and temporally including time lag analysis. The results indicate that supraglacial lake formation in 2015-2021 is coupled to the complex interplay of local, regional and large-scale environmental drivers with similar driving factors over both ice sheet regions. In particular, varying air temperature, solar radiation and wind conditions influenced supraglacial lake formation over all six ice shelves despite strong local to regional discrepancies, as revealed through pixel-based correlation analysis. Furthermore, regional climatic conditions were shown to be influenced by Southern Hemisphere atmospheric modes showing large-scale impacts on the spatio-temporal evolution of supraglacial lakes as well as on above- or below-average meltwater ponding with respect to the period 2015-2021. Finally, the local glaciological setting, including melt-albedo feedbacks and the firn air content, was revealed to strongly influence supraglacial lake distribution. Recent increases in Antarctic Peninsula surface ponding point towards a further reduction in the firn air content, implying an increased risk for ponding and hydrofracture. In addition, lateral meltwater transport was observed over both Antarctic regions with similar implications for future ice shelf stability.</t>
  </si>
  <si>
    <t>[Dirscherl, Mariel C.; Dietz, Andreas J.; Kuenzer, Claudia] German Aerosp Ctr DLR, German Remote Sensing Data Ctr DFD, Munchener Str 20, D-82234 Wassling, Germany; [Kuenzer, Claudia] Univ Wurzburg, Inst Geog &amp; Geol, D-97074 Wurzburg, Germany</t>
  </si>
  <si>
    <t>Helmholtz Association; German Aerospace Centre (DLR); University of Wurzburg</t>
  </si>
  <si>
    <t>Dirscherl, MC (corresponding author), German Aerosp Ctr DLR, German Remote Sensing Data Ctr DFD, Munchener Str 20, D-82234 Wassling, Germany.</t>
  </si>
  <si>
    <t>mariel.dirscherl@dlr.de</t>
  </si>
  <si>
    <t>Dietz, Andreas/0000-0002-5733-7136; Dirscherl, Mariel/0000-0002-3324-7646</t>
  </si>
  <si>
    <t>10.5194/tc-15-5205-2021</t>
  </si>
  <si>
    <t>XD9RI</t>
  </si>
  <si>
    <t>WOS:000723036600001</t>
  </si>
  <si>
    <t>Van Achter, G; Fichefet, T; Goosse, H; Pelletier, C; Sterlin, J; Huot, PV; Lemieux, JF; Fraser, AD; Haubner, K; Porter-Smith, R</t>
  </si>
  <si>
    <t>Van Achter, Guillian; Fichefet, Thierry; Goosse, Hugues; Pelletier, Charles; Sterlin, Jean; Huot, Pierre-Vincent; Lemieux, Jean-Francois; Fraser, Alexander D.; Haubner, Konstanze; Porter-Smith, Richard</t>
  </si>
  <si>
    <t>Modelling landfast sea ice and its influence on ocean-ice interactions in the area of the Totten Glacier, East Antarctica</t>
  </si>
  <si>
    <t>OCEAN MODELLING</t>
  </si>
  <si>
    <t>East Antarctica; Sea ice; Ocean; Ice shelves; Landfast sea ice; Totten region</t>
  </si>
  <si>
    <t>MELT RATES; THICKNESS DISTRIBUTION; SHELF; VARIABILITY; CIRCULATION; DYNAMICS; PARAMETERIZATION; BAY</t>
  </si>
  <si>
    <t>The Totten Glacier in East Antarctica is of major climate interest because of the large fluctuation of its grounding line and of its potential vulnerability to climate change. The ocean above the continental shelf in front of the Totten ice shelf exhibits large extents of landfast sea ice with low interannual variability. Landfast sea ice is either crudely or not at all represented in current climate models. These models are potentially omitting or misrepresenting important effects related to this type of sea ice, such as its influence on coastal polynya locations. Yet, the impact of the landfast sea ice on the ocean-ice shelf interactions is poorly understood. Using a series of high-resolution, regional NEMO-LIM-based experiments, including an explicit treatment of ocean-ice shelf interactions, over the years 2001-2010, we simulate a realistic landfast sea ice extent in the area of Totten Glacier through a combination of a sea ice tensile strength parameterisation and a grounded iceberg representation. We show that the presence of landfast sea ice impacts seriously both the location of coastal polynyas and the ocean mixed layer depth along the coast, in addition to favouring the intrusion of mixed Circumpolar Deep Water into the ice shelf cavities. Depending on the local bathymetry and the landfast sea ice distribution, landfast sea ice affects ice shelf cavities differently. The Totten ice shelf melt rate is increased by 16% on average and its variance decreased by 38%, while the Moscow University ice shelf melt rate is increased by +54% in winter. This highlights the importance of including an accurate landfast sea ice representation in regional and eventually global climate models.</t>
  </si>
  <si>
    <t>[Van Achter, Guillian; Fichefet, Thierry; Goosse, Hugues; Pelletier, Charles; Sterlin, Jean; Huot, Pierre-Vincent] UCLouvain, Earth &amp; Life Inst, Georges Lemaitre Ctr Earth &amp; Climate Res, Louvain La Neuve, Belgium; [Lemieux, Jean-Francois] Environm &amp; Changement Climat Canada, Rech Previs Numer Environm, Quebec City, PQ, Canada; [Fraser, Alexander D.; Porter-Smith, Richard] Univ Tasmania, Inst Marine &amp; Antarctic Studies, Australian Antarctic Program Partnership, Hobart, Tas 7001, Australia; [Haubner, Konstanze] Univ Libre Bruxelles, Lab Glaciol, Brussels, Belgium</t>
  </si>
  <si>
    <t>Universite Catholique Louvain; Environment &amp; Climate Change Canada; Meteorological Service of Canada; Recherche en Prevision Numerique (RPN); University of Tasmania; Universite Libre de Bruxelles</t>
  </si>
  <si>
    <t>Van Achter, G (corresponding author), UCLouvain, Earth &amp; Life Inst, Georges Lemaitre Ctr Earth &amp; Climate Res, Louvain La Neuve, Belgium.</t>
  </si>
  <si>
    <t>guillian.vanachter@uclouvain.be</t>
  </si>
  <si>
    <t>Fraser, Alexander/AFO-7186-2022; Haubner, Konstanze/G-3627-2018</t>
  </si>
  <si>
    <t>Fraser, Alexander/0000-0003-1924-0015; Van Achter, Guillian/0000-0003-3864-9238; Huot, Pierre-Vincent/0000-0002-2536-3700; Pelletier, Charles/0000-0003-2177-2694; Lemieux, Jean-Francois/0000-0003-2084-5759</t>
  </si>
  <si>
    <t>FWO, Belgium [EOS O0100718F]; F.R.S.-FNRS, Belgium under the Excellence of Science (EOS) programme [EOS O0100718F]; Fond de la Recherche Scientifique de Belgique, Belgium (F.R.S.-FNRS) [2.5020.11]; Walloon Region [1117545]; Australian Government, Antarctic Science Collaboration Initiative program</t>
  </si>
  <si>
    <t>FWO, Belgium(FWO); F.R.S.-FNRS, Belgium under the Excellence of Science (EOS) programme; Fond de la Recherche Scientifique de Belgique, Belgium (F.R.S.-FNRS)(Fonds de la Recherche Scientifique - FNRS); Walloon Region; Australian Government, Antarctic Science Collaboration Initiative program(Australian Government)</t>
  </si>
  <si>
    <t>This project (EOS O0100718F) has received funding from the FWO, Belgium and F.R.S.-FNRS, Belgium under the Excellence of Science (EOS) programme. HG is research director with the F.R.S-FNRS (Belgium). Computational resources have been provided by the supercomputing facilities of the Universite catholique de Louvain (CISM/UCL) and the Consortium des Equipements de Calcul Intensif en Federation Wallonie Bruxelles (CECI) funded by the Fond de la Recherche Scientifique de Belgique, Belgium (F.R.S.-FNRS) under convention 2.5020.11. The present research benefited from computational resources made available on the Tier-1 supercomputer of the Federation WallonieBruxelles, infrastructure funded by the Walloon Region under the grant agreement n1117545. This project received grant funding from the Australian Government as part of the Antarctic Science Collaboration Initiative program. The marine mammal data were collected and made freely available by the International MEOP Consortium and the national programs that contribute to it (http://www.meop.net).This study has been conducted using E.U. Copernicus Marine Service Information.</t>
  </si>
  <si>
    <t>ELSEVIER SCI LTD</t>
  </si>
  <si>
    <t>THE BOULEVARD, LANGFORD LANE, KIDLINGTON, OXFORD OX5 1GB, OXON, ENGLAND</t>
  </si>
  <si>
    <t>1463-5003</t>
  </si>
  <si>
    <t>1463-5011</t>
  </si>
  <si>
    <t>OCEAN MODEL</t>
  </si>
  <si>
    <t>Ocean Model.</t>
  </si>
  <si>
    <t>10.1016/j.ocemod.2021.101920</t>
  </si>
  <si>
    <t>XF6RB</t>
  </si>
  <si>
    <t>WOS:000724195900002</t>
  </si>
  <si>
    <t>Sirevaag, H; Jacobs, J; Ksienzyk, AK</t>
  </si>
  <si>
    <t>Sirevaag, Hallgeir; Jacobs, Joachim; Ksienzyk, Anna K.</t>
  </si>
  <si>
    <t>Substantial spatial variation in glacial erosion rates in the Dronning Maud Land Mountains, East Antarctica</t>
  </si>
  <si>
    <t>COMMUNICATIONS EARTH &amp; ENVIRONMENT</t>
  </si>
  <si>
    <t>APATITE FISSION-TRACK; CENTRAL TRANSANTARCTIC MOUNTAINS; BEACON SUPERGROUP; TECTONOTHERMAL EVOLUTION; RADIATION-DAMAGE; MARINE-SEDIMENTS; HELIUM DIFFUSION; ICE-SHEET; EVENTS; AGES</t>
  </si>
  <si>
    <t>The topography of the Dronning Maud Land Mountains, Antarctica, has become more pronounced and rugged since preglacial times due to higher glacial erosion at low elevations and lower erosion at high elevations, according to low-temperature thermochronology The coast-parallel Dronning Maud Land (DML) mountains represent a key nucleation site for the protracted glaciation of Antarctica. Their evolution is therefore of special interest for understanding the formation and development of the Antarctic ice sheet. Extensive glacial erosion has clearly altered the landscape over the past 34 Myr. Yet, the total erosion still remains to be properly constrained. Here, we investigate the power of low-temperature thermochronology in quantifying glacial erosion in-situ. Our data document the differential erosion along the DML escarpment, with up to c. 1.5 and 2.4 km of erosion in western and central DML, respectively. Substantial erosion at the escarpment foothills, and limited erosion at high elevations and close to drainage divides, is consistent with an escarpment retreat model. Such differential erosion suggests major alterations of the landscape during 34 Myr of glaciation and should be implemented in future ice sheet models.</t>
  </si>
  <si>
    <t>[Sirevaag, Hallgeir; Jacobs, Joachim; Ksienzyk, Anna K.] Univ Bergen, Dept Earth Sci, PB 7803, N-5020 Bergen, Norway; [Ksienzyk, Anna K.] Geol Survey Norway, POB 6315 Torgarden, N-7491 Trondheim, Norway</t>
  </si>
  <si>
    <t>University of Bergen; Geological Survey of Norway</t>
  </si>
  <si>
    <t>Sirevaag, H (corresponding author), Univ Bergen, Dept Earth Sci, PB 7803, N-5020 Bergen, Norway.</t>
  </si>
  <si>
    <t>Hallgeir.Sirevaag@uib.no</t>
  </si>
  <si>
    <t>University of Bergen</t>
  </si>
  <si>
    <t>This project was funded through the PhD program at the University of Bergen. We thank Tore Aadland for contributing on the Python-script for interpolating and extracting temperatures from the thermal history models. We appreciate the critical reviews from Stephen E. Cox, Maria Laura Balestrieri and one anonymous reviewer, and thank editors Joe Aslin and Christophe Kinnard for handling of the manuscript.</t>
  </si>
  <si>
    <t>SPRINGERNATURE</t>
  </si>
  <si>
    <t>CAMPUS, 4 CRINAN ST, LONDON, N1 9XW, ENGLAND</t>
  </si>
  <si>
    <t>2662-4435</t>
  </si>
  <si>
    <t>COMMUN EARTH ENVIRON</t>
  </si>
  <si>
    <t>Commun. Earth Environ.</t>
  </si>
  <si>
    <t>10.1038/s43247-021-00315-3</t>
  </si>
  <si>
    <t>Environmental Sciences; Geosciences, Multidisciplinary; Meteorology &amp; Atmospheric Sciences</t>
  </si>
  <si>
    <t>Environmental Sciences &amp; Ecology; Geology; Meteorology &amp; Atmospheric Sciences</t>
  </si>
  <si>
    <t>XD3HW</t>
  </si>
  <si>
    <t>WOS:000722602800001</t>
  </si>
  <si>
    <t>Gordillo, S; Moran, GA; Malvé, ME</t>
  </si>
  <si>
    <t>Gordillo, Sandra; Moran, Gisela A.; Malve, Mariano E.</t>
  </si>
  <si>
    <t>Octopuses and drilling snails as the main suspects of predation traces on shelled molluscs in West Antarctica</t>
  </si>
  <si>
    <t>South Shetland Islands; Drilling gastropods; Octopuses; Durophagous predation; Bottom benthic communities</t>
  </si>
  <si>
    <t>GASTROPOD PREDATION; CLIMATE-CHANGE; BIVALVE PREY; VULGARIS; BEHAVIOR; BIODIVERSITY; PENETRATION; SELECTION; PATTERNS; MUSSELS</t>
  </si>
  <si>
    <t>The analysis of predation traces on shelled taxa is a primary source of data for studying predator-prey interactions in both modern and past ecosystems, and provides valuable information along ecological and evolutionary timescales. For Antarctica, there is little information about predation traces on shelled taxa, and the available studies come almost entirely from fossil remains. We examined traces (holes and cracks) attributed to different predators on mollusc shells from bottom benthic communities at 15 stations in West Antarctica, at depths between 71.5 and 754 m. Based on 72 shells with signs of predation, we recognized three different patterns: one produced by drilling gastropods (most probably naticids), and two others interpreted as caused by octopuses. Our results indicate that predation traces on bivalves, which were the most common prey, are nonrandomly distributed, suggesting site selectivity by predators. Future work on predation traces by durophages on shelled Antarctic molluscs is still a pending and necessary issue.</t>
  </si>
  <si>
    <t>[Gordillo, Sandra] Univ Nacl Cordoba, Fac Filosofia &amp; Humanidades, Museo Antropol, Cordoba, Argentina; [Gordillo, Sandra] Consejo Nacl Invest Cient &amp; Tecn, Consejo Nacl Invest Cient &amp; Tecn, Inst Antropol Cordoba IDACOR, Avda Hipolito Yrigoyen 174,X5000JHO, Cordoba, Argentina; [Moran, Gisela A.] Univ Nacl Cordoba, Fac Ciencias Exactas, Fis &amp; Nat, Cordoba, Argentina; [Moran, Gisela A.] Consejo Nacl Invest Cient &amp; Tecn, Consejo Nacl Invest Cient &amp; Tecn, Inst Diversidad &amp; Ecol Anim IDEA, Avda Velez Sarfield 299,X5016GCA, Cordoba, Argentina; [Malve, Mariano E.] Univ Nacl Patagonia San Juan Bosco, Fac Ciencias Nat &amp; Ciencias Salud, Ruta Prov 1 S-N, RA-9000 Comodoro Rivadavia, Argentina</t>
  </si>
  <si>
    <t>National University of Cordoba; Consejo Nacional de Investigaciones Cientificas y Tecnicas (CONICET); National University of Cordoba; Consejo Nacional de Investigaciones Cientificas y Tecnicas (CONICET); Universidad Nacional de la Patagonia San Juan Bosco</t>
  </si>
  <si>
    <t>Gordillo, S (corresponding author), Univ Nacl Cordoba, Fac Filosofia &amp; Humanidades, Museo Antropol, Cordoba, Argentina.;Gordillo, S (corresponding author), Consejo Nacl Invest Cient &amp; Tecn, Consejo Nacl Invest Cient &amp; Tecn, Inst Antropol Cordoba IDACOR, Avda Hipolito Yrigoyen 174,X5000JHO, Cordoba, Argentina.</t>
  </si>
  <si>
    <t>sandra.gordillo@unc.edu.ar</t>
  </si>
  <si>
    <t>Malve, Mariano/0000-0001-7797-5488; Moran, Gisela A./0000-0002-1477-5638; Gordillo, Sandra/0000-0002-3937-4865</t>
  </si>
  <si>
    <t>Consejo Nacional de Investigaciones Cientificas y Tecnicas (CONICET) [Project-PIP-114-20110100238]; Instituto Antartico Argentino (IAA); Direccion Nacional del Antartico (DNA)</t>
  </si>
  <si>
    <t>Consejo Nacional de Investigaciones Cientificas y Tecnicas (CONICET)(Consejo Nacional de Investigaciones Cientificas y Tecnicas (CONICET)); Instituto Antartico Argentino (IAA); Direccion Nacional del Antartico (DNA)</t>
  </si>
  <si>
    <t>This research was supported by Consejo Nacional de Investigaciones Cientificas y Tecnicas (CONICET; Project-PIP-114-20110100238 to SG), Direccion Nacional del Antartico (DNA) and Instituto Antartico Argentino (IAA).</t>
  </si>
  <si>
    <t>10.1007/s00300-021-02975-5</t>
  </si>
  <si>
    <t>YK1YU</t>
  </si>
  <si>
    <t>WOS:000722498800001</t>
  </si>
  <si>
    <t>Moore, EMM; Eaves, SR; Norton, KP; Mackintosh, AN; Anderson, BM; Dowling, LH; Hidy, AJ</t>
  </si>
  <si>
    <t>Moore, Emily M. M.; Eaves, Shaun R.; Norton, Kevin P.; Mackintosh, Andrew N.; Anderson, Brian M.; Dowling, Lisa H.; Hidy, Alan J.</t>
  </si>
  <si>
    <t>Climate reconstructions for the Last Glacial Maximum from a simple cirque glacier in Fiordland, New Zealand</t>
  </si>
  <si>
    <t>QUATERNARY SCIENCE REVIEWS</t>
  </si>
  <si>
    <t>Quaternary; Pleistocene; Glaciation; Paleoclimatology; Southern pacific; Cosmogenic isotopes; Geomorphology; Glacial; Equilibrium line altitude; Degree day modelling</t>
  </si>
  <si>
    <t>EQUILIBRIUM-LINE ALTITUDE; FRANZ-JOSEF GLACIER; SOUTHERN ALPS; COSMOGENIC BE-10; NORTH-ISLAND; MOUNTAIN GLACIER; LGM GLACIATION; YOUNGER DRYAS; TEMPERATURE; CHRONOLOGY</t>
  </si>
  <si>
    <t>Mountain glacier records offer important constraints on the timing and magnitude of climate variability during the last glacial cycle. Existing moraine chronologies from the central Southern Alps indicate maximum ice extent was achieved during marine isotope stages 3-4, followed by repeated advances of similar, but gradually declining extent during marine isotope stage 2, until onset of the glacial termination. Questions remain over the precise role of climate in driving these changes, as most existing moraine chronologies come from large, complex former valley glacier systems, where non-climatic influences such as changing bed topography and proglacial lake formation may have influenced glacier length changes. Here we address this problem via a new cosmogenic Be-10 chronology and equilibrium line altitude reconstruction from a cirque glacier situated in Fiordland, New Zealand. Our chronology shows moraine deposition at 32 +/- 11 ka, 18.7 +/- 0.2 ka, 18.1 +/- 0.1 ka, and c. 17.2 +/- 0.3 ka. The simple geometry of the former glacier supports the role of climate in driving a net decline of regional ice volume during marine isotope stages 3-2. Close spacing and good preservation of the 19-17 ka moraines permits 2D glacier reconstruction which suggests the equilibrium line altitude remained depressed by c.1130 m (equivalent to 5.8 +/- 0.6 degrees C colder than present) during this interval. Onset of warming after 17.2 +/- 0.2 ka is consistent with climate proxy evidence for a sustained southward shift in the southern westerly winds, which may have promoted deglaciation via shifting ocean currents and promoting increases in atmospheric carbon dioxide. (C) 2021 Elsevier Ltd. All rights reserved.</t>
  </si>
  <si>
    <t>[Moore, Emily M. M.; Eaves, Shaun R.; Anderson, Brian M.] Victoria Univ Wellington, Antarctic Res Ctr, Wellington, New Zealand; [Moore, Emily M. M.; Eaves, Shaun R.; Norton, Kevin P.] Victoria Univ Wellington, Sch Geog Environm &amp; Earth Sci, Wellington, New Zealand; [Mackintosh, Andrew N.] Monash Univ, Sch Earth Atmosphere &amp; Environm, Clayton, Vic, Australia; [Dowling, Lisa H.] Natl Isotope Ctr, GNS Sci, Wellington, New Zealand; [Hidy, Alan J.] Lawrence Livermore Natl Lab, Livermore, CA 94550 USA</t>
  </si>
  <si>
    <t>Victoria University Wellington; Victoria University Wellington; Monash University; GNS Science - New Zealand; United States Department of Energy (DOE); Lawrence Livermore National Laboratory</t>
  </si>
  <si>
    <t>Eaves, SR (corresponding author), Victoria Univ Wellington, POB 600, Wellington 6140, New Zealand.</t>
  </si>
  <si>
    <t>shaun.eaves@vuw.ac.nz</t>
  </si>
  <si>
    <t>Hidy, Alan J/G-1862-2012; Norton, Kevin/CAF-1290-2022</t>
  </si>
  <si>
    <t>Norton, Kevin/0000-0002-7995-6464; Mackintosh, Andrew/0000-0002-6430-4711; Eaves, Shaun/0000-0003-0444-631X; Hidy, Alan/0000-0003-2916-1425</t>
  </si>
  <si>
    <t>Marsden Fund Council [VUW1701]; U.S. Department of Energy by Lawrence Livermore National Laboratory [DE-AC52-07NA27344]</t>
  </si>
  <si>
    <t>Marsden Fund Council(Royal Society of New ZealandMarsden Fund (NZ)); U.S. Department of Energy by Lawrence Livermore National Laboratory(United States Department of Energy (DOE))</t>
  </si>
  <si>
    <t>This research was supported by the Marsden Fund Council from Government funding, managed by Royal Society Te Ap~arangi (contract VUW1701). We thank Meah Taylor and Richard Jones for assistance in the field, Lauren Vargo and Martin Brook for review of the master's thesis from which this work is derived, and two anonymous reviewers for their constructive feedback. This work was performed in part under the auspices of the U.S. Department of Energy by Lawrence Livermore National Laboratory under Contract DE-AC52-07NA27344. This is LLNL-JRNL-824284.</t>
  </si>
  <si>
    <t>0277-3791</t>
  </si>
  <si>
    <t>1873-457X</t>
  </si>
  <si>
    <t>QUATERNARY SCI REV</t>
  </si>
  <si>
    <t>Quat. Sci. Rev.</t>
  </si>
  <si>
    <t>JAN 1</t>
  </si>
  <si>
    <t>10.1016/j.quascirev.2021.107281</t>
  </si>
  <si>
    <t>XE2AH</t>
  </si>
  <si>
    <t>WOS:000723195900002</t>
  </si>
  <si>
    <t>Lawler, KA; Cortese, G; Civel-Mazens, M; Bostock, H; Crosta, X; Leventer, A; Lowe, V; Rogers, J; Armand, LK</t>
  </si>
  <si>
    <t>Lawler, Kelly-Anne; Cortese, Giuseppe; Civel-Mazens, Matthieu; Bostock, Helen; Crosta, Xavier; Leventer, Amy; Lowe, Vikki; Rogers, John; Armand, Leanne K.</t>
  </si>
  <si>
    <t>The Southern Ocean Radiolarian (SO-RAD) dataset: a new compilation of modern radiolarian census data</t>
  </si>
  <si>
    <t>EARTH SYSTEM SCIENCE DATA</t>
  </si>
  <si>
    <t>MAJOR DIATOM TAXA; SEA-ICE; PALEOENVIRONMENTAL RECONSTRUCTIONS; POLYCYSTINA PROTISTA; BIOGEOGRAPHY; SURFACE; EVOLUTION; SEDIMENTS; MAXIMUM; SECTOR</t>
  </si>
  <si>
    <t>Radiolarians (holoplanktonic protozoa) preserved in marine sediments are commonly used as palaeoclimate proxies for reconstructing past Southern Ocean environments. Generating reconstructions of past climate based on microfossil abundances, such as radiolarians, requires a spatially and environmentally comprehensive reference dataset of modern census counts. The Southern Ocean Radiolarian (SO-RAD) dataset includes census counts for 238 radiolarian taxa from 228 surface sediment samples located in the Atlantic, Indian, and southwest Pacific sectors of the Southern Ocean. This compilation is the largest radiolarian census dataset derived from surface sediment samples in the Southern Ocean. The SO-RAD dataset may be used as a reference dataset for palaeoceanographic reconstructions, or for studying modern radiolarian biogeography and species diversity. As well as describing the data collection and collation, we include recommendations and guidelines for cleaning and subsetting the data for users unfamiliar with the procedures typically used by the radiolarian community.</t>
  </si>
  <si>
    <t>[Lawler, Kelly-Anne; Rogers, John; Armand, Leanne K.] Australian Natl Univ, Res Sch Earth Sci, Canberra, ACT 2601, Australia; [Cortese, Giuseppe] GNS Sci, 1 Fairway Dr, Lower Hutt 5010, New Zealand; [Civel-Mazens, Matthieu] Kochi Univ, Grad Sch Integrated Arts &amp; Sci, Nankoku, Kochi, Japan; [Civel-Mazens, Matthieu] AIST, Geol Survey Japan, Tsukuba, Ibaraki, Japan; [Bostock, Helen; Lowe, Vikki] Univ Queensland, Sch Earth &amp; Environm Sci, Brisbane, Qld, Australia; [Bostock, Helen] Natl Inst Water &amp; Atmospher Res NIWA, Wellington, New Zealand; [Crosta, Xavier] Univ Bordeaux, CNRS, EPHE, UMR 5805 EPOC, F-33615 Pessac, France; [Leventer, Amy] Colgate Univ, Dept Geol, Hamilton, NY USA</t>
  </si>
  <si>
    <t>Australian National University; GNS Science - New Zealand; Kochi University; National Institute of Advanced Industrial Science &amp; Technology (AIST); University of Queensland; National Institute of Water &amp; Atmospheric Research (NIWA) - New Zealand; Universite PSL; Ecole Pratique des Hautes Etudes (EPHE); Centre National de la Recherche Scientifique (CNRS); Universite de Bordeaux; Colgate University</t>
  </si>
  <si>
    <t>Lawler, KA (corresponding author), Australian Natl Univ, Res Sch Earth Sci, Canberra, ACT 2601, Australia.</t>
  </si>
  <si>
    <t>kelly-anne.lawler@anu.edu.au</t>
  </si>
  <si>
    <t>Lowe, Vikki/KDO-5506-2024; Bostock, Helen/A-6834-2013</t>
  </si>
  <si>
    <t>Lowe, Vikki/0000-0003-3314-1005; Bostock, Helen/0000-0002-8903-8958; Lawler, Kelly-Anne/0000-0002-8770-1365; Leventer, Amy/0000-0001-9401-0987</t>
  </si>
  <si>
    <t>New Zealand Ministry of Business, Innovation and Employment through the Antarctic Science Platform [ANTA1801]; New Zealand Ministry of Business, Innovation and Employment through the Global Change through Time Programme (GCT SSIF) [C05X1702]; IdEx (Initiative d'Excellence de l'Universite de Bordeaux); Australian Research Training Program (RTP) scholarship; Australian government's Australian Antarctic Science Grant Program (AAS) [4333]; Australian Research Council [DP170100557]; NSF Antarctic Integrated Systems Science Program [1143834, 1143836, 1143837, 1143843, 1313826]; New Zealand Ministry of Business, Innovation &amp; Employment (MBIE) [C05X1702] Funding Source: New Zealand Ministry of Business, Innovation &amp; Employment (MBIE); Office of Polar Programs (OPP); Directorate For Geosciences [1143834, 1143843, 1143836, 1313826, 1143837] Funding Source: National Science Foundation</t>
  </si>
  <si>
    <t>New Zealand Ministry of Business, Innovation and Employment through the Antarctic Science Platform(New Zealand Ministry of Business, Innovation and Employment (MBIE)); New Zealand Ministry of Business, Innovation and Employment through the Global Change through Time Programme (GCT SSIF)(New Zealand Ministry of Business, Innovation and Employment (MBIE)); IdEx (Initiative d'Excellence de l'Universite de Bordeaux); Australian Research Training Program (RTP) scholarship; Australian government's Australian Antarctic Science Grant Program (AAS); Australian Research Council(Australian Research Council); NSF Antarctic Integrated Systems Science Program; New Zealand Ministry of Business, Innovation &amp; Employment (MBIE); Office of Polar Programs (OPP); Directorate For Geosciences(National Science Foundation (NSF)NSF - Directorate for Geosciences (GEO))</t>
  </si>
  <si>
    <t>This research was supported by the New Zealand Ministry of Business, Innovation and Employment through the Antarctic Science Platform (ANTA1801) and the Global Change through Time Programme (GCT SSIF, contract C05X1702) as well as through an IdEx (Initiative d'Excellence de l'Universite de Bordeaux) visiting professorship grant (GC).; Kelly-Anne Lawler and Vikki Lowe are each supported by an Australian Research Training Program (RTP) scholarship.; Voyage IN2017-V01 was supported by the Australian government's Australian Antarctic Science Grant Program (AAS no. 4333) and the Australian Research Council (grant no: DP170100557).; Voyage NBP1402 was supported by NSF Antarctic Integrated Systems Science Program (grant nos. 1143834, 1143836, 1143837, 1143843 and 1313826).</t>
  </si>
  <si>
    <t>1866-3508</t>
  </si>
  <si>
    <t>1866-3516</t>
  </si>
  <si>
    <t>EARTH SYST SCI DATA</t>
  </si>
  <si>
    <t>Earth Syst. Sci. Data</t>
  </si>
  <si>
    <t>10.5194/essd-13-5441-2021</t>
  </si>
  <si>
    <t>Geosciences, Multidisciplinary; Meteorology &amp; Atmospheric Sciences</t>
  </si>
  <si>
    <t>Geology; Meteorology &amp; Atmospheric Sciences</t>
  </si>
  <si>
    <t>XD9RZ</t>
  </si>
  <si>
    <t>WOS:000723038300001</t>
  </si>
  <si>
    <t>Mei, C; Liu, JH; Huang, Z; Wang, H; Wang, KB; Shao, WW; Li, M</t>
  </si>
  <si>
    <t>Mei, Chao; Liu, Jiahong; Huang, Ze; Wang, Hao; Wang, Kaibo; Shao, Weiwei; Li, Meng</t>
  </si>
  <si>
    <t>Spatiotemporal pattern variations of daily precipitation concentration and their relationship with possible causes in the Yangtze River Delta, China</t>
  </si>
  <si>
    <t>JOURNAL OF WATER AND CLIMATE CHANGE</t>
  </si>
  <si>
    <t>daily precipitation concentration; large-scale atmosphere circulation; Lorenz curve; spatiotemporal pattern; Yangtze River Delta</t>
  </si>
  <si>
    <t>SPATIAL-DISTRIBUTION; CONCENTRATION INDEX; CLIMATE-CHANGE; BASIN; VARIABILITY; EXTREMES; INTENSITY; TRENDS</t>
  </si>
  <si>
    <t>Understanding the spatiotemporal pattern of precipitation concentration is important in the water cycle under changing environments. In this study, the daily precipitation concentration index in the Yangtze River Delta in China is calculated based on the Lorenz curves obtained from the observed data of 36 meteorological stations from 1960 to 2017, and spatiotemporal pattern variations and their possible causes are investigated. The driving forces of elevation, SUNSPOT, El Nino-Antarctic Oscillation, Pacific Decade Oscillation, and Arctic Oscillation are detected with correlation and wavelet analysis. Results show that, the daily precipitation concentration index ranges from 0.55 to 0.62 during the study period, 22 of 36 stations (accounting for 61%) show increasing trends, while three stations increase significantly at the 95% significant level. Relationship analysis indicates that the daily precipitation concentration shows a slightly negative correlation with elevation, while the relationships with SUNSPOT, El Nino-Antarctic Oscillation, Pacific Decade Oscillation, and Arctic Oscillation are complicated and diverse, there are different correlations and significance levels in different years. Further analysis shows that SUNSPOT is significantly correlated with El Nino-Antarctic Oscillation, Pacific Decade Oscillation, and Arctic Oscillation, which suggests that SUNSPOT may be an important factor that drives the changes of the three large-scale atmosphere circulation factors and causes precipitation concentration changing indirectly. These results provide further understandings of precipitation variations, which are meaningful for regional flood risk management under climate change.</t>
  </si>
  <si>
    <t>[Mei, Chao; Liu, Jiahong; Wang, Hao; Wang, Kaibo; Shao, Weiwei; Li, Meng] China Inst Water Resources &amp; Hydropower Res, State Key Lab Simulat &amp; Regulat Water Cycle River, Beijing 100038, Peoples R China; [Huang, Ze] Power China Huadong Engn Corp Ltd, Hangzhou 311100, Peoples R China; [Liu, Jiahong; Wang, Hao] Foshan Univ, Sch Transportat &amp; Civil Engn &amp; Architecture, Guangzhou 528000, Guangdong, Peoples R China; [Liu, Jiahong; Wang, Hao] Engn &amp; Technol Res Ctr Water Resources &amp; Hydroeco, Minist Water Resources, Beijing 100044, Peoples R China</t>
  </si>
  <si>
    <t>China Institute of Water Resources &amp; Hydropower Research; Foshan University</t>
  </si>
  <si>
    <t>Liu, JH (corresponding author), China Inst Water Resources &amp; Hydropower Res, State Key Lab Simulat &amp; Regulat Water Cycle River, Beijing 100038, Peoples R China.;Liu, JH (corresponding author), Foshan Univ, Sch Transportat &amp; Civil Engn &amp; Architecture, Guangzhou 528000, Guangdong, Peoples R China.;Liu, JH (corresponding author), Engn &amp; Technol Res Ctr Water Resources &amp; Hydroeco, Minist Water Resources, Beijing 100044, Peoples R China.</t>
  </si>
  <si>
    <t>liujh@iwhr.com</t>
  </si>
  <si>
    <t>Liu, Jiahong/AAG-1319-2021; Shao, Weiwei/AAO-6848-2021; wang, kaibo/I-8670-2014; Mei, Chao/Y-3225-2019</t>
  </si>
  <si>
    <t>Wang, Hao/0000-0001-7594-7387; Shao, Weiwei/0000-0002-4421-6781</t>
  </si>
  <si>
    <t>National Key Research and Development Program of China [2018YFC1508203]; Chinese National Natural Science Foundation [51739011, 51879274]</t>
  </si>
  <si>
    <t>National Key Research and Development Program of China; Chinese National Natural Science Foundation(National Natural Science Foundation of China (NSFC))</t>
  </si>
  <si>
    <t>This study is supported by the National Key Research and Development Program of China (No. 2018YFC1508203) and the Chinese National Natural Science Foundation (No. 51739011 and No. 51879274).</t>
  </si>
  <si>
    <t>IWA PUBLISHING</t>
  </si>
  <si>
    <t>REPUBLIC-EXPORT BLDG, UNITS 1 04 &amp; 1 05, 1 CLOVE CRESCENT, LONDON, ENGLAND</t>
  </si>
  <si>
    <t>2040-2244</t>
  </si>
  <si>
    <t>2408-9354</t>
  </si>
  <si>
    <t>J WATER CLIM CHANGE</t>
  </si>
  <si>
    <t>J. Water Clim. Chang.</t>
  </si>
  <si>
    <t>10.2166/wcc.2021.413</t>
  </si>
  <si>
    <t>Water Resources</t>
  </si>
  <si>
    <t>0A8QP</t>
  </si>
  <si>
    <t>WOS:000722325300001</t>
  </si>
  <si>
    <t>Martin, CI; Quirchmayr, R</t>
  </si>
  <si>
    <t>Martin, Calin Iulian; Quirchmayr, Ronald</t>
  </si>
  <si>
    <t>Exact solutions and internal waves for the Antarctic Circumpolar Current in spherical coordinates</t>
  </si>
  <si>
    <t>STUDIES IN APPLIED MATHEMATICS</t>
  </si>
  <si>
    <t>Antarctic Circumpolar Current; Coriolis force; exact solutions in spherical coordinates; internal waves; interface; stratification</t>
  </si>
  <si>
    <t>PURELY AZIMUTHAL FLOW; WATER-WAVES; GEOPHYSICAL WAVES; EQUATORIAL FLOWS; CRITICAL LAYERS; FREE-SURFACE; STEADY; MODEL; STRATIFICATION; TRANSPORT</t>
  </si>
  <si>
    <t>This paper is concerned with some analytical aspects pertaining to the Antarctic Circumpolar Current. We use spherical coordinates in a rotating frame to derive a new exact and partially explicit solution to the governing equations of geophysical fluid dynamics for an inviscid and incompressible azimuthal flow with a discontinuous density distribution and subjected to forcing terms. The latter are of paramount importance for the modeling of realistic flows, that is, flows that are observed in an averaged sense in the ocean. The discontinuous density triggers the appearance of an interface that plays the role of an internal wave. Although the velocity and the pressure are determined explicitly, we use functional analytical techniques that uniquely render the surface and interface defining functions in an implicit way as soon as a small enough pressure is applied on the free surface. Additionally, we consider a particular example, where the interface can be determined explicitly. We conclude our discussion by setting out monotonicity relations between the surface pressure and its distortion that concur with the physical expectations. A regularity result concerning the interface is also derived.</t>
  </si>
  <si>
    <t>[Martin, Calin Iulian; Quirchmayr, Ronald] Univ Vienna, Fac Math, Morgenstern Pl 1, A-1090 Vienna, Austria</t>
  </si>
  <si>
    <t>University of Vienna</t>
  </si>
  <si>
    <t>Quirchmayr, R (corresponding author), Univ Vienna, Fac Math, Morgenstern Pl 1, A-1090 Vienna, Austria.</t>
  </si>
  <si>
    <t>calin.martin@univie.ac.at; ronald.quirchmayr@univie.ac.at</t>
  </si>
  <si>
    <t>Martin, Calin/D-3284-2013</t>
  </si>
  <si>
    <t>Martin, Calin/0000-0002-5800-9265; Quirchmayr, Ronald/0000-0002-2240-1812</t>
  </si>
  <si>
    <t>Vienna Science and Technology Fund; Austrian Science Fund</t>
  </si>
  <si>
    <t>Vienna Science and Technology Fund; Austrian Science Fund(Austrian Science Fund (FWF))</t>
  </si>
  <si>
    <t>0022-2526</t>
  </si>
  <si>
    <t>1467-9590</t>
  </si>
  <si>
    <t>STUD APPL MATH</t>
  </si>
  <si>
    <t>Stud. Appl. Math.</t>
  </si>
  <si>
    <t>10.1111/sapm.12467</t>
  </si>
  <si>
    <t>Mathematics, Applied</t>
  </si>
  <si>
    <t>Mathematics</t>
  </si>
  <si>
    <t>ZL0JD</t>
  </si>
  <si>
    <t>hybrid</t>
  </si>
  <si>
    <t>WOS:000722359400001</t>
  </si>
  <si>
    <t>Ouyang, SQ; Duan, ZF; Lin, WC; Luo, YM</t>
  </si>
  <si>
    <t>Ouyang, Siqi; Duan, Zhifei; Lin, Weichang; Luo, Yiming</t>
  </si>
  <si>
    <t>Revisit of thorium-based dust fluxes and their implications for the iron fertilization hypothesis</t>
  </si>
  <si>
    <t>JOURNAL OF OCEANOGRAPHY</t>
  </si>
  <si>
    <t>Th-230 normalization; Th-232; Dust reconstruction; Excess barium; Export productivity</t>
  </si>
  <si>
    <t>EASTERN EQUATORIAL PACIFIC; DEEP-SEA SEDIMENT; LAST GLACIAL MAXIMUM; SOUTHERN-OCEAN; NORTH PACIFIC; ATLANTIC SECTOR; INTERGLACIAL CHANGES; CONTINENTAL-MARGIN; DEGLACIAL CHANGES; EXPORT PRODUCTION</t>
  </si>
  <si>
    <t>Aeolian dust has a crucial impact on the marine carbon cycle, through its leverage on marine export production. To reconstruct dust depositions, Th-232 in marine sediment is widely used as a proxy, with different Th-232 concentrations of upper continental crust (UCC). Here, by comparing a novel compilation of Th-230-normalized Th-232 in globally distributed marine sediment and the directly measured dust flux, we show that 14 ppm of Th-232 concentration in UCC is the optimized parameter for deriving dust flux. This concentration was subsequently applied to recalculate the thorium-based dust flux during both the Holocene and the last glacial maximum (LGM), which yielded elevated LGM dust deposition over Holocene in most cores. A closer look at the dust comparison reveals a marked increase in the LGM dust flux at regions between 45 degrees S to 55 degrees S of the Southern Ocean owing to the variation in the dynamics of the Antarctic Circumpolar Current. Furthermore, with a compilation of the Th-230-normalized excess barium flux, these thorium-derived dust depositions suggest that no dust-induced iron fertilization occurred in the equatorial Pacific and the Antarctic zone of the Southern Ocean, as upwelling-derived iron was much greater than dust-derived iron, while the same case in the north Pacific Ocean was caused by the reduced vertical supply of nutrients. In contrast, dust-born iron boosted export productivity in most regions of the Subantarctic zone of the Southern Ocean.</t>
  </si>
  <si>
    <t>[Ouyang, Siqi; Lin, Weichang; Luo, Yiming] Sun Yat Sen Univ, Sch Marine Sci, B311 Main Bldg,SYSU,2 Univ Rd, Zhuhai 519082, Guangdong, Peoples R China; [Ouyang, Siqi; Lin, Weichang; Luo, Yiming] Southern Marine Sci &amp; Engn Guangdong Lab Zhuhai, Zhuhai 519082, Guangdong, Peoples R China; [Duan, Zhifei; Luo, Yiming] Tongji Univ, State Key Lab Marine Geol, 1239 Siping Rd, Shanghai 200092, Peoples R China; [Luo, Yiming] Guangdong Prov Key Lab Marine Resources &amp; Coastal, Guangzhou 510006, Peoples R China</t>
  </si>
  <si>
    <t>Sun Yat Sen University; Southern Marine Science &amp; Engineering Guangdong Laboratory; Southern Marine Science &amp; Engineering Guangdong Laboratory (Zhuhai); Tongji University; Sun Yat Sen University</t>
  </si>
  <si>
    <t>Luo, YM (corresponding author), Sun Yat Sen Univ, Sch Marine Sci, B311 Main Bldg,SYSU,2 Univ Rd, Zhuhai 519082, Guangdong, Peoples R China.;Luo, YM (corresponding author), Southern Marine Sci &amp; Engn Guangdong Lab Zhuhai, Zhuhai 519082, Guangdong, Peoples R China.;Luo, YM (corresponding author), Tongji Univ, State Key Lab Marine Geol, 1239 Siping Rd, Shanghai 200092, Peoples R China.;Luo, YM (corresponding author), Guangdong Prov Key Lab Marine Resources &amp; Coastal, Guangzhou 510006, Peoples R China.</t>
  </si>
  <si>
    <t>luoyiming@mail.sysu.edu.cn</t>
  </si>
  <si>
    <t>luo, yiming/0000-0003-2792-0678</t>
  </si>
  <si>
    <t>National Natural Science Foundation of China [41976031, 41976192]; National Key Research and Development Program of China [2019YFE0114800]; Innovation Group Project of Southern Marine Science and Engineering Guangdong Laboratory (Zhuhai) [311020005]; Key Laboratory of Global Change and Marine-Atmospheric Chemistry, MNR from the Open Foundation of Key Laboratory of Submarine Geosciences, MNR [GCMAC1803, KLSG1904]; state key laboratory of marine geology, Tongji University [VF201810, MGK1908]</t>
  </si>
  <si>
    <t>National Natural Science Foundation of China(National Natural Science Foundation of China (NSFC)); National Key Research and Development Program of China; Innovation Group Project of Southern Marine Science and Engineering Guangdong Laboratory (Zhuhai); Key Laboratory of Global Change and Marine-Atmospheric Chemistry, MNR from the Open Foundation of Key Laboratory of Submarine Geosciences, MNR; state key laboratory of marine geology, Tongji University</t>
  </si>
  <si>
    <t>This research was supported by the National Natural Science Foundation of China (41976031, 41976192), the National Key Research and Development Program of China (2019YFE0114800) and Innovation Group Project of Southern Marine Science and Engineering Guangdong Laboratory (Zhuhai) (No. 311020005). YL acknowledges funding from the Key Laboratory of Global Change and Marine-Atmospheric Chemistry, MNR (GCMAC1803), grant from the Open Foundation of Key Laboratory of Submarine Geosciences, MNR (KLSG1904) and the state key laboratory of marine geology, Tongji University (VF201810 and MGK1908). Roger Francois (University of British Columbia), Samuel L. Jaccard (University of Bern), Sylvain Pichat (CNRS) and Jorg Lippold (Heidelberg University) are thanked for their comments on an earlier version of this paper. Xiaoqing Liu (Sun Yat-sen University), Lan Li (Sun Yat-sen University), Jinqi Xia (Sun Yat-sen University) and Handan Zhang (Sun Yat-sen University) are acknowledged for their help with the manuscript preparation.</t>
  </si>
  <si>
    <t>0916-8370</t>
  </si>
  <si>
    <t>1573-868X</t>
  </si>
  <si>
    <t>J OCEANOGR</t>
  </si>
  <si>
    <t>J. Oceanogr.</t>
  </si>
  <si>
    <t>10.1007/s10872-021-00626-1</t>
  </si>
  <si>
    <t>YI6IT</t>
  </si>
  <si>
    <t>WOS:000722480800001</t>
  </si>
  <si>
    <t>Castellani, G; Veyssière, G; Karcher, M; Stroeve, J; Banas, SN; Bouman, AH; Brierley, SA; Connan, S; Cottier, F; Grosse, F; Hobbs, L; Katlein, C; Light, B; McKee, D; Orkney, A; Proud, R; Schourup-Kristensen, V</t>
  </si>
  <si>
    <t>Castellani, Giulia; Veyssiere, Gaelle; Karcher, Michael; Stroeve, Julienne; Banas, S. Neil; Bouman, A. Heather; Brierley, S. Andrew; Connan, Stacey; Cottier, Finlo; Grosse, Fabian; Hobbs, Laura; Katlein, Christian; Light, Bonnie; McKee, David; Orkney, Andrew; Proud, Roland; Schourup-Kristensen, Vibe</t>
  </si>
  <si>
    <t>Shine a light: Under-ice light and its ecological implications in a changing Arctic Ocean</t>
  </si>
  <si>
    <t>Arctic ecosystem; Arctic Ocean; Light transmission; Phytoplankton; Primary production; Sea ice algae</t>
  </si>
  <si>
    <t>SEA-ICE; BARENTS SEA; DYNAMICS; CARBON; ZOOPLANKTON; MECHANISMS; PARTICLES; BLOOMS; GROWTH; ALGAE</t>
  </si>
  <si>
    <t>The Arctic marine ecosystem is shaped by the seasonality of the solar cycle, spanning from 24-h light at the sea surface in summer to 24-h darkness in winter. The amount of light available for under-ice ecosystems is the result of different physical and biological processes that affect its path through atmosphere, snow, sea ice and water. In this article, we review the present state of knowledge of the abiotic (clouds, sea ice, snow, suspended matter) and biotic (sea ice algae and phytoplankton) controls on the underwater light field. We focus on how the available light affects the seasonal cycle of primary production (sympagic and pelagic) and discuss the sensitivity of ecosystems to changes in the light field based on model simulations. Lastly, we discuss predicted future changes in under-ice light as a consequence of climate change and their potential ecological implications, with the aim of providing a guide for future research.</t>
  </si>
  <si>
    <t>[Castellani, Giulia; Katlein, Christian] Helmholtz Zentrum Polar &amp; Meeresforsch, Alfred Wegener Inst, Handelshafen 12, D-27570 Bremerhaven, Germany; [Veyssiere, Gaelle] British Antarctic Survey, High Cross Madingley Rd, Cambridge CB3 0ET, England; [Karcher, Michael] Ocean Atmosphere Syst GmbH, Tewessteg 4, D-20249 Hamburg, Germany; [Stroeve, Julienne] UCL, Gower St, London WC1E 6BT, England; [Stroeve, Julienne] Univ Manitoba, 66 Chancellors Cir, Winnipeg, MB R3T 2N2, Canada; [Stroeve, Julienne] Univ Colorado, Natl Snow &amp; Ice Data Ctr CIRES, 449 UCB, Boulder, CO 80309 USA; [Banas, S. Neil; Connan, Stacey; Grosse, Fabian; Hobbs, Laura; McKee, David] Univ Strathclyde, Livingstone Tower,26 Richmond St, Glasgow G1 1XH, Lanark, Scotland; [Bouman, A. Heather; Orkney, Andrew] Univ Oxford, South Parks Rd, Oxford OX1 3AN, England; [Brierley, S. Andrew; Proud, Roland] Univ St Andrews, Pelag Ecol Res Grp, Scottish Oceans Inst, Gatty Marine Lab,Sch Biol, St Andrews KY16 8LB, Fife, Scotland; [Cottier, Finlo] Scottish Assoc Marine Sci, Oban PA37 1QA, Argyll, Scotland; [Cottier, Finlo] Scottish Assoc Marine Sci, Oban PA37 1QA, Bute, Scotland; [Grosse, Fabian] German Fed Inst Hydrol, Dept Microbil, Mainzer Tor 1, D-56068 Koblenz, Germany; [Light, Bonnie] Univ Washington, Seattle, WA 98195 USA; [Schourup-Kristensen, Vibe] Aarhus Univ, Dept Appl Marine Ecol &amp; Modeling, Nordre Ringgade 1, DK-8000 Aarhus C, Denmark</t>
  </si>
  <si>
    <t>Helmholtz Association; Alfred Wegener Institute, Helmholtz Centre for Polar &amp; Marine Research; UK Research &amp; Innovation (UKRI); Natural Environment Research Council (NERC); NERC British Antarctic Survey; University of London; University College London; University of Manitoba; University of Colorado System; University of Colorado Boulder; University of Strathclyde; University of Oxford; University of St Andrews; UHI Millennium Institute; UHI Millennium Institute; University of Washington; University of Washington Seattle; Aarhus University</t>
  </si>
  <si>
    <t>Castellani, G (corresponding author), Helmholtz Zentrum Polar &amp; Meeresforsch, Alfred Wegener Inst, Handelshafen 12, D-27570 Bremerhaven, Germany.</t>
  </si>
  <si>
    <t>giulia.castellani@awi.de; gaevey@bas.ac.uk; Michael.Karcher@awi.de; j.stroeve@ucl.ac.uk; neil.banas@strath.ac.uk; heather.bouman@earth.ox.ac.uk; asb4@standrews.ac.uk; stacey.connan@strath.ac.uk; finlo.cottier@sams.ac.uk; grosse@bafg.de; laura.hobbs@strath.ac.uk; ckatlein@awi.de; bonlight@uw.edu; david.mckee@strath.ac.uk; andrew.orkney@earth.ox.ac.uk; rp43@st-andrews.ac.uk; vibe.schourup@ecos.au.dk</t>
  </si>
  <si>
    <t>McKee, David J C/D-6244-2013; Orkney, Andrew/AAC-3444-2022; Banas, Neil/C-8565-2015; Brierley, Andrew/G-8019-2011</t>
  </si>
  <si>
    <t>Orkney, Andrew/0000-0003-4972-2541; Light, Bonnie/0000-0003-2640-5738; Banas, Neil/0000-0002-1892-9497; Brierley, Andrew/0000-0002-6438-6892; Connan-McGinty, Stacey/0000-0001-8661-8984; Grosse, Fabian/0000-0003-2801-5493; Schourup-Kristensen, Vibe/0000-0003-0263-9046; Veyssiere, Gaelle/0000-0003-4843-4935; McKee, David/0000-0001-8023-5923; Proud, Roland/0000-0002-8647-5562; Karcher, Michael/0000-0002-9587-811X</t>
  </si>
  <si>
    <t>UKRI Natural Environment Research Council (NERC) [03V01465, NE/P00573X/1, NE/P005721/1, NE/R012849/1, 03F0810A, NE/R012679/1, NE/R012636/1, NE/P005985/1]; German Federal Ministry of Education and Research (BMBF) [03V01465, NE/P00573X/1, NE/P005721/1, NE/R012849/1, 03F0810A, NE/R012679/1, NE/R012636/1, NE/P005985/1]; FRontiers in Arctic marine Monitoring program (FRAM); NERC [NE/R012849/1, 1940183, NE/P006507/1, NE/R012679/1, NE/P00573X/1, NE/P005721/1, NE/P006302/1, NE/P005985/1, bas0100032, NE/R012636/1] Funding Source: UKRI</t>
  </si>
  <si>
    <t>UKRI Natural Environment Research Council (NERC)(UK Research &amp; Innovation (UKRI)Natural Environment Research Council (NERC)); German Federal Ministry of Education and Research (BMBF)(Federal Ministry of Education &amp; Research (BMBF)); FRontiers in Arctic marine Monitoring program (FRAM); NERC(UK Research &amp; Innovation (UKRI)Natural Environment Research Council (NERC))</t>
  </si>
  <si>
    <t>This study was supported by the Changing Arctic Ocean projects EcoLight (03V01465), Arctic PRIZE (NE/P00573X/1; NE/P005721/1), Diatom-ARCTIC (NE/R012849/1; 03F0810A), MiMeMo (NE/R012679/1), CHASE, Peanuts (NE/R012636/1) and Diapod (NE/P005985/1) jointly funded by the UKRI Natural Environment Research Council (NERC) and the German Federal Ministry of Education and Research (BMBF). VSK was funded by the FRontiers in Arctic marine Monitoring program (FRAM). This work benefited from the collaboration with the international working group BEPSII: Biogeochemical Exchange Processes at Sea Ice Interfaces.</t>
  </si>
  <si>
    <t>10.1007/s13280-021-01662-3</t>
  </si>
  <si>
    <t>Green Published, Green Accepted, hybrid</t>
  </si>
  <si>
    <t>WOS:000722479700001</t>
  </si>
  <si>
    <t>Ismailov, II; Scharping, JB; Andreeva, IE; Friedlander, MJ</t>
  </si>
  <si>
    <t>Ismailov, Iskander I.; Scharping, Jordan B.; Andreeva, Iraida E.; Friedlander, Michael J.</t>
  </si>
  <si>
    <t>Antarctic teleosts with and without hemoglobin behaviorally mitigate deleterious effects of acute environmental warming</t>
  </si>
  <si>
    <t>PLOS ONE</t>
  </si>
  <si>
    <t>FAST-START PERFORMANCE; COD GADUS-MORHUA; TEMPERATURE ADAPTATION; CONTRACTILE PROPERTIES; THERMAL-ACCLIMATION; NOTOTHENIOID FISH; ESCAPE RESPONSE; CLIMATE-CHANGE; MUSCLE-FIBERS; MAUTHNER CELL</t>
  </si>
  <si>
    <t>Recent studies forecast that many ectothermic animals, especially aquatic stenotherms, may not be able to thrive or even survive predicted climate change. These projections, however, generally do not call much attention to the role of behavior, an essential thermoregulatory mechanism of many ectotherms. Here we characterize species-specific locomotor and respiratory responses to acute ambient warming in two highly stenothermic Antarctic Notothenioid fishes, one of which (Chaenocephalus aceratus) lacks hemoglobin and appears to be less tolerant to thermal stress as compared to the other (Notothenia coriiceps), which expresses hemoglobin. At the onset of ambient warming, both species perform distinct locomotor maneuvers that appear to include avoidance reactions. In response to unavoidable progressive hyperthermia, fishes demonstrate a range of species-specific maneuvers, all of which appear to provide some mitigation of the deleterious effects of obligatory thermoconformation and to compensate for increasing metabolic demand by enhancing the efficacy of branchial respiration. As temperature continues to rise, Chaenocephalus aceratus supplements these behaviors with intensive pectoral fin fanning which may facilitate cutaneous respiration through its scaleless integument, and Notothenia coriiceps manifests respiratory-locomotor coupling during repetitive startle-like maneuvers which may further augment gill ventilation. The latter behaviors, found only in Notothenia coriiceps, have highly stereotyped appearance resembling Fixed Action Pattern sequences. Altogether, this behavioral flexibility could contribute to the reduction of the detrimental effects of acute thermal stress within a limited thermal range. In an ecologically relevant setting, this may enable efficient thermoregulation of fishes by habitat selection, thus facilitating their resilience in persistent environmental change.</t>
  </si>
  <si>
    <t>[Ismailov, Iskander I.; Andreeva, Iraida E.; Friedlander, Michael J.] Virginia Tech Carilion, Fralin Biomed Res Inst, Roanoke, VA 24016 USA; [Scharping, Jordan B.] Virginia Tech Carilion Sch Med, Roanoke, VA USA; [Friedlander, Michael J.] Virginia Polytech Inst &amp; State Univ, Dept Biol Sci, Blacksburg, VA 24061 USA</t>
  </si>
  <si>
    <t>Virginia Polytechnic Institute &amp; State University</t>
  </si>
  <si>
    <t>Ismailov, II; Friedlander, MJ (corresponding author), Virginia Tech Carilion, Fralin Biomed Res Inst, Roanoke, VA 24016 USA.;Friedlander, MJ (corresponding author), Virginia Polytech Inst &amp; State Univ, Dept Biol Sci, Blacksburg, VA 24061 USA.</t>
  </si>
  <si>
    <t>ismailov@vtc.vt.edu; friedlan@vtc.vt.edu</t>
  </si>
  <si>
    <t>friedlander, michael j/F-5952-2011</t>
  </si>
  <si>
    <t>National Science Foundation [ANT 1341602]; Fralin Biomedical Research Institute at VTC operational funds</t>
  </si>
  <si>
    <t>National Science Foundation(National Science Foundation (NSF)); Fralin Biomedical Research Institute at VTC operational funds</t>
  </si>
  <si>
    <t>Funding for the field work was provided by the National Science Foundation grant ANT 1341602 to Dr. Elizabeth L. Crockett (Ohio University, USA). Acquisition of equipment for behavioral experiments and all other activities throughout the study including the time and effort of Drs. Ismailov, Scharping and Friedlander were supported by the Fralin Biomedical Research Institute at VTC operational funds.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</si>
  <si>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</si>
  <si>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</si>
  <si>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</si>
  <si>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</si>
  <si>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</si>
  <si>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NOV 24</t>
  </si>
  <si>
    <t>e0252359</t>
  </si>
  <si>
    <t>10.1371/journal.pone.0252359</t>
  </si>
  <si>
    <t>YN4MP</t>
  </si>
  <si>
    <t>Green Published, Green Submitted, gold</t>
  </si>
  <si>
    <t>WOS:000747234800003</t>
  </si>
  <si>
    <t>Kim, BK; Jeon, M; Joo, HM; Kim, TW; Park, SJ; Park, J; Ha, SY</t>
  </si>
  <si>
    <t>Kim, Bo Kyung; Jeon, Misa; Joo, Hyoung Min; Kim, Tae-Wan; Park, Sang-Jong; Park, Jisoo; Ha, Sun-Yong</t>
  </si>
  <si>
    <t>Impact of Freshwater Discharge on the Carbon Uptake Rate of Phytoplankton During Summer (January-February 2019) in Marian Cove, King George Island, Antarctica</t>
  </si>
  <si>
    <t>phytoplankton; carbon uptake rate; stable isotope; Marian Cove; Antarctica</t>
  </si>
  <si>
    <t>SOUTH SHETLAND ISLANDS; CLIMATE-CHANGE; SEA-ICE; INTERANNUAL VARIABILITY; COMMUNITY STRUCTURE; SEASONAL-VARIATION; PENINSULA; WEST; ASSEMBLAGES; STATION</t>
  </si>
  <si>
    <t>Rapidly changing conditions in high-latitude coastal systems can significantly impact biogeochemical cycles because these systems are strongly influenced by freshwater discharged from melting glaciers and streams on land. Generally, Antarctic coastal areas are considered high-productivity areas in which phytoplankton growth prevails under various environmental conditions (e.g., oceanographic and meteorological conditions). This study provides carbon uptake rates of phytoplankton in Marian Cove during summer (January-February 2019). Daily depth-integrated carbon uptake varied greatly and averaged 0.8 g C m(-2) day(-1), with a maximum of 4.52 mg g C m(-2) day(-1) recorded on 14 January. Similarly, the observed biomass standing stocks were very high (up to 19.5 mg m(-3) chlorophyll a) and were dominated by microphytoplankton (20-200 mu m), representing 84% of total chlorophyll a (chl-a). The depth-integrated chl-a and carbon uptake decreased from outer to inner areas (close to the glacial front) in the cove. As the austral summer progressed, the freshening of the surface waters coincided with high water stability and suspended material and with low productivity when nanophytoplankton were present (2-20 mu m; &gt;60%). These findings suggest that both photosynthetically active radiation penetrating the water column and enhanced turbidity control light availability for phytoplankton, as well as their community compositions.</t>
  </si>
  <si>
    <t>[Kim, Bo Kyung; Jeon, Misa; Kim, Tae-Wan; Park, Jisoo; Ha, Sun-Yong] Korea Polar Res Inst, Div Ocean Sci, Incheon, South Korea; [Joo, Hyoung Min] Korea Polar Res Inst, Unit Next Generat IBRV Bldg Program, Incheon, South Korea; [Park, Sang-Jong] Korea Polar Res Inst, Div Atmospher Sci, Incheon, South Korea</t>
  </si>
  <si>
    <t>Korea Polar Research Institute (KOPRI); Korea Polar Research Institute (KOPRI); Korea Polar Research Institute (KOPRI)</t>
  </si>
  <si>
    <t>Ha, SY (corresponding author), Korea Polar Res Inst, Div Ocean Sci, Incheon, South Korea.</t>
  </si>
  <si>
    <t>syha@kopri.re.kr</t>
  </si>
  <si>
    <t>Kim, Bo Kyung/GRY-2456-2022; Kim, Tae-Wan/JGM-9981-2023; Park, Sang-Jong/B-7049-2011</t>
  </si>
  <si>
    <t>Kim, Bo Kyung/0009-0005-4890-701X; Kim, Tae-Wan/0000-0001-5257-7256;</t>
  </si>
  <si>
    <t>10.3389/fmars.2021.725173</t>
  </si>
  <si>
    <t>YA4QG</t>
  </si>
  <si>
    <t>WOS:000738319100001</t>
  </si>
  <si>
    <t>Flynn, RF; Bornman, TG; Burger, JM; Smith, S; Spence, KAM; Fawcett, SE</t>
  </si>
  <si>
    <t>Flynn, Raquel F.; Bornman, Thomas G.; Burger, Jessica M.; Smith, Shantelle; Spence, Kurt A. M.; Fawcett, Sarah E.</t>
  </si>
  <si>
    <t>Summertime productivity and carbon export potential in the Weddell Sea, with a focus on the waters adjacent to Larsen C Ice Shelf</t>
  </si>
  <si>
    <t>BIOGEOSCIENCES</t>
  </si>
  <si>
    <t>PHAEOCYSTIS-ANTARCTICA PRYMNESIOPHYCEAE; PHYTOPLANKTON COMMUNITY STRUCTURE; SOUTHERN-OCEAN PHYTOPLANKTON; NITROGEN UPTAKE REGIME; POLAR FRONTAL ZONE; IRON LIMITATION; BOTTOM WATER; ROSS SEA; BIOCHEMICAL-COMPOSITION; ANTHROPOGENIC CARBON</t>
  </si>
  <si>
    <t>The Weddell Sea represents a point of origin in the Southern Ocean where globally important water masses form. Biological activities inWeddell Sea surface waters thus affect large-scale ocean biogeochemistry. During JanuaryFebruary 2019, we measured net primary production (NPP), nitrogen (nitrate, ammonium, urea) uptake, and nitrification in the western Weddell Sea at the Antarctic Peninsula (AP) and Larsen C Ice Shelf (LCIS), in the southwestern Weddell Gyre (WG), and at Fimbul Ice Shelf (FIS) in the southeastern Weddell Sea. The highest average rates of NPP and greatest nutrient drawdown occurred at LCIS. Here, the phytoplankton community was dominated by colonial Phaeocystis antarctica, with diatoms increasing in abundance later in the season as sea ice melted. At the other stations, NPP was variable, and diatoms known to enhance carbon export (e.g. Thalassiosira spp.) were dominant. Euphotic zone nitrification was always below detection, such that nitrate uptake could be used as a proxy for carbon export potential, which was highest in absolute terms at LCIS and the AP. Surprisingly, the highest f ratios occurred near FIS rather than LCIS (average of 0.73 +/- 0.09 versus 0.47 +/- 0.08). We attribute this unexpected result to partial ammonium inhibition of nitrate uptake at LCIS (where ammonium concentrations were 0.6 +/- 0.4 mu M, versus 0.05 +/- 0 .1 mu M at FIS), with elevated ammonium resulting from increased heterotrophy following the accumulation of nitrate-fuelled phytoplankton biomass in early summer. Across the Weddell Sea, carbon export appears to be controlled by a combination of physical, chemical, and biological factors, with the highest potential export flux occurring at the ice shelves and lowest in the central WG.</t>
  </si>
  <si>
    <t>[Flynn, Raquel F.; Burger, Jessica M.; Smith, Shantelle; Spence, Kurt A. M.; Fawcett, Sarah E.] Univ Cape Town, Dept Oceanog, Cape Town, South Africa; [Bornman, Thomas G.] South African Environm Observat Network, Elwandle Coastal Node, Gqeberha, South Africa; [Bornman, Thomas G.] Nelson Mandela Univ, Inst Coastal &amp; Marine Res, Gqeberha, South Africa; [Fawcett, Sarah E.] Univ Cape Town, Marine &amp; Antarctic Res Ctr Innovat &amp; Sustainabil, Cape Town, South Africa</t>
  </si>
  <si>
    <t>University of Cape Town; National Research Foundation - South Africa; South African Environmental Observation Network (SAEON); Nelson Mandela University; University of Cape Town</t>
  </si>
  <si>
    <t>Flynn, RF (corresponding author), Univ Cape Town, Dept Oceanog, Cape Town, South Africa.</t>
  </si>
  <si>
    <t>flyraq001@myuct.ac.za</t>
  </si>
  <si>
    <t>Bornman, Thomas George/V-7794-2019</t>
  </si>
  <si>
    <t>Bornman, Thomas George/0000-0003-1868-479X; Smith, Shantelle/0000-0003-3917-4545; Flynn, Raquel Francesca/0000-0003-3118-4474; Spence, Kurt/0000-0003-0837-3234; Burger, Jessica/0000-0002-8621-8005</t>
  </si>
  <si>
    <t>Flotilla Foundation; South African National Antarctic Programme [105539, 117035, 129232]; South African National Research Foundation; African Academy of Sciences; Royal Society through a FLAIR Fellowship; UCT; South African Department of Science and Innovation's Biogeochemistry Research Infrastructure Platform (BIOGRIP); Shallow Marine and Coastal Research Infrastructure (SMCRI)</t>
  </si>
  <si>
    <t>Flotilla Foundation; South African National Antarctic Programme; South African National Research Foundation(National Research Foundation - South Africa); African Academy of Sciences; Royal Society through a FLAIR Fellowship; UCT; South African Department of Science and Innovation's Biogeochemistry Research Infrastructure Platform (BIOGRIP); Shallow Marine and Coastal Research Infrastructure (SMCRI)</t>
  </si>
  <si>
    <t>This research was supported by the Flotilla Foundation through a grant to Sarah E. Fawcett and Thomas G. Bornman; the South African National Antarctic Programme through grants 105539, 117035, and 129232 to Sarah E. Fawcett; the South African National Research Foundation through postgraduate fellowships to Raquel F. Flynn, Jessica M. Burger, Shantelle Smith and Kurt A. M. Spence; and the African Academy of Sciences and Royal Society through a FLAIR Fellowship to Sarah E. Fawcett. Additionally it was supported by UCT through a Science Faculty Fellowship to Raquel F. Flynn; Vice-Chancellor Doctoral Research scholarships and Postgraduate Merit awards to Raquel F. Flynn, Jessica M. Burger, and Shantelle Smith; and a Vice-Chancellor Future Leaders 2030 award to Sarah E. Fawcett. The authors were also financed by the South African Department of Science and Innovation's Biogeochemistry Research Infrastructure Platform (BIOGRIP) and Shallow Marine and Coastal Research Infrastructure (SMCRI).</t>
  </si>
  <si>
    <t>1726-4170</t>
  </si>
  <si>
    <t>1726-4189</t>
  </si>
  <si>
    <t>Biogeosciences</t>
  </si>
  <si>
    <t>10.5194/bg-18-6031-2021</t>
  </si>
  <si>
    <t>Ecology; Geosciences, Multidisciplinary</t>
  </si>
  <si>
    <t>Environmental Sciences &amp; Ecology; Geology</t>
  </si>
  <si>
    <t>XE1EB</t>
  </si>
  <si>
    <t>WOS:000723137600001</t>
  </si>
  <si>
    <t>Lescroël, A; Schmidt, A; Elrod, M; Ainley, DG; Ballard, G</t>
  </si>
  <si>
    <t>Lescroel, Amelie; Schmidt, Annie; Elrod, Megan; Ainley, David G.; Ballard, Grant</t>
  </si>
  <si>
    <t>Foraging dive frequency predicts body mass gain in the Adelie penguin</t>
  </si>
  <si>
    <t>MARINE PREDATOR; BEHAVIOR; SEABIRD; EFFICIENCY; DYNAMICS; SUCCESS; QUALITY; IMPACT; DEPTH; SIZE</t>
  </si>
  <si>
    <t>Quantifying food intake in wild animals is crucial to many ecological and evolutionary questions, yet it can be very challenging, especially in the marine environment. Because foraging behavior can be inferred from dive recordings in many marine creatures, we hypothesized that specific behavioral dive variables can indicate food intake. To test this hypothesis, we attached time-depth recorders to breeding Adelie penguins also implanted with RFID tags that crossed a weighbridge as they traveled to and from the ocean to feed their chicks. The weighbridge reported how much mass the penguin had gained during a foraging trip. The variables that explained a significant amount of the change in body mass while at sea were the number of foraging dives per hour (46%) and the number of undulations per hour (12%). Most importantly, every increment of 1 in the rate of foraging dives per hour equated to a penguin gaining an average 170 g of mass, over the course of a 6-60 h foraging trip. These results add to a growing understanding that different metrics of foraging success are likely appropriate for different species, and that assessing the types and frequencies of dives using time-depth recorders can yield valuable insights.</t>
  </si>
  <si>
    <t>[Lescroel, Amelie; Schmidt, Annie; Elrod, Megan; Ballard, Grant] Point Blue Conservat Sci, Petaluma, CA 94954 USA; [Ainley, David G.] HT Harvey &amp; Associates Ecol Consultants, La Gatos, CA 95032 USA</t>
  </si>
  <si>
    <t>Lescroël, A (corresponding author), Point Blue Conservat Sci, Petaluma, CA 94954 USA.</t>
  </si>
  <si>
    <t>alescroel@pointblue.org</t>
  </si>
  <si>
    <t>Schmidt, Annie/0000-0001-6144-9950</t>
  </si>
  <si>
    <t>National Science Foundation [OPP-1543498, 1935870]; NASA [80NSSC19K0189]</t>
  </si>
  <si>
    <t>National Science Foundation(National Science Foundation (NSF)); NASA(National Aeronautics &amp; Space Administration (NASA))</t>
  </si>
  <si>
    <t>We are grateful for financial support provided by the National Science Foundation (OPP-1543498 &amp; 1935870) and NASA (80NSSC19K0189). Logistical support for work in Antarctica was provided by the US Antarctic Program. Data were collected using protocols approved by Point Blue Conservation Science and Oregon State University Institutional Animal Care and Use Committees. Nathaniel Polish and Seth Herr designed and constructed the weighbridge based on earlier versions designed by Michael Beigel and Nathaniel Polish. This is Point Blue Conservation Science Contribution #2384.</t>
  </si>
  <si>
    <t>10.1038/s41598-021-02451-4</t>
  </si>
  <si>
    <t>XC9YI</t>
  </si>
  <si>
    <t>WOS:000722365800080</t>
  </si>
  <si>
    <t>Nichols, HJ; Fuchs, B; Paijmans, AJ; Lewis, G; Bonin, CA; Goebel, ME; Hoffman, JI</t>
  </si>
  <si>
    <t>Nichols, H. J.; Fuchs, B.; Paijmans, A. J.; Lewis, G.; Bonin, C. A.; Goebel, M. E.; Hoffman, J., I</t>
  </si>
  <si>
    <t>Where are the beachmasters? Unexpectedly weak polygyny among southern elephant seals on a South Shetland Island</t>
  </si>
  <si>
    <t>JOURNAL OF ZOOLOGY</t>
  </si>
  <si>
    <t>beachmaster; mating system plasticity; Mirounga leonina; polygyny; reproductive skew; Southern elephant seal</t>
  </si>
  <si>
    <t>MATING SYSTEM; POPULATION-GENETICS; BREEDING BIOLOGY; SEXUAL SELECTION; R-PACKAGE; PATERNITY; INFERENCE; PARENTAGE; BEHAVIOR; ECOLOGY</t>
  </si>
  <si>
    <t>Intraspecific variation in animal mating systems can have important implications for ecological, evolutionary and demographic processes in wild populations. For example, patterns of mating can impact social structure, dispersal, effective population size and inbreeding. However, few species have been studied in sufficient detail to elucidate mating system plasticity and its dependence on ecological and demographic factors. Southern elephant seals (Mirounga leonina) have long been regarded as a textbook example of a polygynous mating system, with dominant 'beachmaster' males controlling harems of up to several hundred females. However, behavioural and genetic studies have uncovered appreciable geographic variation in the strength of polygyny among elephant seal populations. We, therefore, used molecular parentage analysis to investigate patterns of parentage in a small satellite colony of elephant seals at the South Shetland Islands. We hypothesised that dominant males would be able to successfully monopolise the relatively small numbers of females present in the colony, leading to relatively high levels of polygyny. A total of 424 individuals (comprising 33 adult males, 101 adult females and 290 pups) sampled over 8 years were genotyped at 20 microsatellites and reproductive success was analysed by genetically assigning parents. Paternity could only be assigned to 31 pups (10.7%), despite our panel of genetic markers being highly informative and the genotyping error rate being very low. The strength of inferred polygyny was weak in comparison to previous genetic studies of the same species, with the most successful male fathering only seven pups over the entire course of our study. Our results show that, even in a species long regarded as a model for extreme polygyny, male reproductive skew can vary substantially among populations.</t>
  </si>
  <si>
    <t>[Nichols, H. J.; Lewis, G.] Swansea Univ, Dept Biosci, Singleton Pk, Swansea SA2 8PP, W Glam, Wales; [Nichols, H. J.; Fuchs, B.; Paijmans, A. J.; Hoffman, J., I] Univ Bielefeld, Dept Anim Behav, Bielefeld, Germany; [Bonin, C. A.] Hampton Univ, Dept Marine &amp; Environm Sci, Hampton, VA 23668 USA; [Goebel, M. E.] Univ Calif Santa Cruz, Inst Marine Sci, Santa Cruz, CA 95064 USA; [Goebel, M. E.] NOAA NMFS, Antarctic Ecosyst Res Div, Southwest Fisheries Sci Ctr, La Jolla, CA USA</t>
  </si>
  <si>
    <t>Swansea University; University of Bielefeld; Hampton University; University of California System; University of California Santa Cruz; National Oceanic Atmospheric Admin (NOAA) - USA</t>
  </si>
  <si>
    <t>Nichols, HJ (corresponding author), Swansea Univ, Dept Biosci, Singleton Pk, Swansea SA2 8PP, W Glam, Wales.</t>
  </si>
  <si>
    <t>H.J.Nichols@swansea.ac.uk</t>
  </si>
  <si>
    <t>; Hoffman, Joseph/K-7725-2012</t>
  </si>
  <si>
    <t>Bonin Lewallen, Carolina/0000-0003-1162-7290; Paijmans, A.J./0000-0002-5481-7337; Goebel, Michael Edward/0000-0001-6664-8684; Hoffman, Joseph/0000-0001-5895-8949</t>
  </si>
  <si>
    <t>National Science Foundation; Deutsche Forschungsgemeinschaft (DFG, German Research Foundation) [316099922, 396774617-TRR 212]; priority programme 'Antarctic Research with Comparative Investigations in Arctic Ice Areas' [SPP 1158, 424119118]; US Antarctic Marine Living Resources Program as part of their Ecosystem Monitoring Studies; Alexander von Humboldt Foundation; National Science Foundation (NSF) [HRD 2000211]; National Oceanic and Atmospheric Administration Living Marine Resources Cooperative Science Center (NOAALMRCSC) [NA16SEC4810007]; ProjektDEAL</t>
  </si>
  <si>
    <t>National Science Foundation(National Science Foundation (NSF)); Deutsche Forschungsgemeinschaft (DFG, German Research Foundation)(German Research Foundation (DFG)); priority programme 'Antarctic Research with Comparative Investigations in Arctic Ice Areas'; US Antarctic Marine Living Resources Program as part of their Ecosystem Monitoring Studies; Alexander von Humboldt Foundation(Alexander von Humboldt Foundation); National Science Foundation (NSF)(National Science Foundation (NSF)); National Oceanic and Atmospheric Administration Living Marine Resources Cooperative Science Center (NOAALMRCSC); ProjektDEAL</t>
  </si>
  <si>
    <t>All sampling was conducted in accordance with Marine Mammal Protection Act Permit Nos. 16472-01 and 774-1847-04 granted by the Office of Protected Resources, National Marine Fisheries Service, the Antarctic Conservation Act Permit Nos. 2012-005 and 2008-008. The protocols used in this study were also reviewed and approved by the U.S. National Marine Fisheries Service Southwest and Pacific Islands Region's Institutional Animal Use and Care Committee (SWR/PIR IACUC approval documents: #SWPI2011-02, #SWPI2014-03). We thank the following people for field assistance: Scott Freeman, Ryan Burner, Ray Buchheit, Kevin Pietrzak, Jay Wright, Melany Zimmerman, McKenzie Mudge, Wiley Archibald, Whitney Taylor, Sam Woodman, Raul Vasquez del Mercado, David Vejar, Jessica Senzer, Michelle Goh, Matt Klosterman, Naira de Gracia, Drs. Nicola Pussini, Whitney Taylor and Douglas Krause. A special thanks to the directors of the US-AMLR Program, Drs. Rennie Holt and George Watters. This work could not have been done without the support of the captain and crew of the Laurence M Gould and the National Science Foundation. We are also grateful to Laura Gerrish from the Mapping and Geographic Information Centre of the British Antarctic Survey for preparing the map. Open access funding enabled and organized by ProjektDEAL. This work was supported by the Deutsche Forschungsgemeinschaft (DFG, German Research Foundation) in the framework of a Sonderforschungsbereich (project numbers 316099922 and 396774617-TRR 212) and the priority programme 'Antarctic Research with Comparative Investigations in Arctic Ice Areas' SPP 1158 (project number 424119118). This study was also supported by core funding from the US Antarctic Marine Living Resources Program as part of their Ecosystem Monitoring Studies. HJN was supported by a Humboldt Research Fellowship for Experienced Researchers awarded by the Alexander von Humboldt Foundation. CB was funded by National Science Foundation (NSF) award number HRD 2000211 and by the National Oceanic and Atmospheric Administration Living Marine Resources Cooperative Science Center (NOAA-LMRCSC # NA16SEC4810007). The funders had no role in study design, data collection and analysis, decision to publish, or preparation of the manuscript.</t>
  </si>
  <si>
    <t>0952-8369</t>
  </si>
  <si>
    <t>1469-7998</t>
  </si>
  <si>
    <t>J ZOOL</t>
  </si>
  <si>
    <t>J. Zool.</t>
  </si>
  <si>
    <t>10.1111/jzo.12936</t>
  </si>
  <si>
    <t>Zoology</t>
  </si>
  <si>
    <t>YY1QR</t>
  </si>
  <si>
    <t>Green Published, Green Submitted</t>
  </si>
  <si>
    <t>WOS:000722132400001</t>
  </si>
  <si>
    <t>Ratkowsky, D; Ross, T</t>
  </si>
  <si>
    <t>Ratkowsky, David; Ross, Tom</t>
  </si>
  <si>
    <t>Tom McMeekin: a pioneer in 'Predictive Food Microbiology' and Antarctic microbial ecology</t>
  </si>
  <si>
    <t>MICROBIOLOGY AUSTRALIA</t>
  </si>
  <si>
    <t>Biographical-Item</t>
  </si>
  <si>
    <t>CSIRO PUBLISHING</t>
  </si>
  <si>
    <t>CLAYTON</t>
  </si>
  <si>
    <t>UNIPARK, BLDG 1, LEVEL 1, 195 WELLINGTON RD, LOCKED BAG 10, CLAYTON, VIC 3168, AUSTRALIA</t>
  </si>
  <si>
    <t>1324-4272</t>
  </si>
  <si>
    <t>2201-9189</t>
  </si>
  <si>
    <t>MICROBIOL AUST</t>
  </si>
  <si>
    <t>Microbiol. Aust.</t>
  </si>
  <si>
    <t>10.1071/MA21054</t>
  </si>
  <si>
    <t>Emerging Sources Citation Index (ESCI)</t>
  </si>
  <si>
    <t>XK9QE</t>
  </si>
  <si>
    <t>WOS:000721719700001</t>
  </si>
  <si>
    <t>Pavoni, G; Corsini, M; Ponchio, F; Muntoni, A; Edwards, C; Pedersen, N; Sandin, S; Cignoni, P</t>
  </si>
  <si>
    <t>Pavoni, Gaia; Corsini, Massimiliano; Ponchio, Federico; Muntoni, Alessandro; Edwards, Clinton; Pedersen, Nicole; Sandin, Stuart; Cignoni, Paolo</t>
  </si>
  <si>
    <t>TagLab: AI-assisted annotation for the fast and accurate semantic segmentation of coral reef orthoimages</t>
  </si>
  <si>
    <t>JOURNAL OF FIELD ROBOTICS</t>
  </si>
  <si>
    <t>artificial intelligence; computer vision</t>
  </si>
  <si>
    <t>Semantic segmentation is a widespread image analysis task; in some applications, it requires such high accuracy that it still has to be done manually, taking a long time. Deep learning-based approaches can significantly reduce such times, but current automated solutions may produce results below expert standards. We propose agLab, an interactive tool for the rapid labelling and analysis of orthoimages that speeds up semantic segmentation. TagLab follows a human-centered artificial intelligence approach that, by integrating multiple degrees of automation, empowers human capabilities. We evaluated TagLab's efficiency in annotation time and accuracy through a user study based on a highly challenging task: the semantic segmentation of coral communities in marine ecology. In the assisted labelling of corals, TagLab increased the annotation speed by approximately 90% for nonexpert annotators while preserving the labelling accuracy. Furthermore, human-machine interaction has improved the accuracy of fully automatic predictions by about 7% on average and by 14% when the model generalizes poorly. Considering the experience done through the user study, TagLab has been improved, and preliminary investigations suggest a further significant reduction in annotation times.</t>
  </si>
  <si>
    <t>[Pavoni, Gaia; Corsini, Massimiliano; Ponchio, Federico; Muntoni, Alessandro; Cignoni, Paolo] ISTI CNR, Pisa, Italy; [Edwards, Clinton; Pedersen, Nicole; Sandin, Stuart] UCSD, Scripps Inst Oceanog, La Jolla, CA USA</t>
  </si>
  <si>
    <t>Consiglio Nazionale delle Ricerche (CNR); Istituto di Scienza e Tecnologie dell'Informazione Alessandro Faedo (ISTI-CNR); University of California System; University of California San Diego; Scripps Institution of Oceanography</t>
  </si>
  <si>
    <t>Corsini, M (corresponding author), ISTI CNR, Pisa, Italy.</t>
  </si>
  <si>
    <t>massimiliano.corsini@isti.cnr.it</t>
  </si>
  <si>
    <t>Corsini, Massimiliano/B-6375-2015; Cignoni, Paolo/B-7192-2012</t>
  </si>
  <si>
    <t>Corsini, Massimiliano/0000-0003-0543-1638; Cignoni, Paolo/0000-0002-2686-8567; Ponchio, Federico/0000-0002-2974-0577; Sandin, Stuart/0000-0003-1714-4492; Pedersen, Nicole/0000-0003-4332-5561; Muntoni, Alessandro/0000-0001-5502-3582</t>
  </si>
  <si>
    <t>National Antarctic Research Program [PNRA18 00263-B2]; Ministero dell'Istruzione, dell'Universitae della Ricerca</t>
  </si>
  <si>
    <t>National Antarctic Research Program; Ministero dell'Istruzione, dell'Universitae della Ricerca(Ministry of Education, Universities and Research (MIUR))</t>
  </si>
  <si>
    <t>PNRA18 00263-B2, National Antarctic Research Program; Ministero dell'Istruzione, dell'Universitae della Ricerca</t>
  </si>
  <si>
    <t>1556-4959</t>
  </si>
  <si>
    <t>1556-4967</t>
  </si>
  <si>
    <t>J FIELD ROBOT</t>
  </si>
  <si>
    <t>J. Field Robot.</t>
  </si>
  <si>
    <t>10.1002/rob.22049</t>
  </si>
  <si>
    <t>Robotics</t>
  </si>
  <si>
    <t>ZX1MG</t>
  </si>
  <si>
    <t>WOS:000721822800001</t>
  </si>
  <si>
    <t>Kim, Y; Jung, JW; Kim, JU; Oh, YS; Chung, H; Kim, JH</t>
  </si>
  <si>
    <t>Kim, Youmin; Jung, Jin-Woo; Kim, Jong-U; Oh, Yeon-Soo; Chung, Hosung; Kim, Jeong-Hoon</t>
  </si>
  <si>
    <t>Dietary niche partitioning in brown skuas (Stercorarius lonnbergi) during the chick-rearing period at Narebski Point on King George Island, Antarctica</t>
  </si>
  <si>
    <t>Stercorarius lonnbergi; Diet composition; Territoriality; Hatching date; Antarctica</t>
  </si>
  <si>
    <t>SOUTH POLAR SKUAS; CATHARACTA-MACCORMICKI; FEEDING TERRITORIES; REPRODUCTIVE CONSEQUENCES; PARENTAL QUALITY; BIRD-ISLAND; GROWTH; SUCCESS; AVAILABILITY; SURVIVAL</t>
  </si>
  <si>
    <t>Brown Skuas (Stercorarius lonnbergi) are known to feed on other birds or eggs during the breeding season. In some cases, however, a few pairs monopolize a penguin colony, and the other skuas mainly forage in the sea. We installed automatic camera traps to monitor two groups of breeding Brown Skua pairs on King George Island: the nests of Group A were located near a Gentoo Penguin (Pygoscelis papua) colony, while those of Group B were relatively far away. From the resulting photographs, we were able to distinguish the food items that parents brought to the nest and could confirm the egg hatching date. Overall, 97.1% of the food items that group A brought to the nest were from the penguin colonies, while 94.1% of the prey items of group B were fish. Group A had a hatching date at least 8 days earlier than Group B. Our results show that a few Brown Skua pairs that bred near the penguin colony fed primarily on penguin nest contents such as eggs or chicks within their feeding territory and had earlier hatching dates. The Brown Skuas that nested close to penguin nests may have had advantages in foraging and breeding performance.</t>
  </si>
  <si>
    <t>[Kim, Youmin; Kim, Jong-U; Oh, Yeon-Soo; Chung, Hosung; Kim, Jeong-Hoon] Korea Polar Res Inst, Div Life Sci, Incheon, South Korea; [Jung, Jin-Woo] Natl Inst Ecol, Res Ctr Endangered Species, Seocheon, South Korea; [Oh, Yeon-Soo] Korea Univ, Dept Biotechnol, Seoul 02841, South Korea</t>
  </si>
  <si>
    <t>Korea Polar Research Institute (KOPRI); National Institute of Ecology; Korea University</t>
  </si>
  <si>
    <t>Kim, JH (corresponding author), Korea Polar Res Inst, Div Life Sci, Incheon, South Korea.</t>
  </si>
  <si>
    <t>jhkim94@kopri.re.kr</t>
  </si>
  <si>
    <t>Jung, Jin-Woo/0000-0001-6901-3836; KIM, JONG-U/0000-0001-7790-1817; Kim, Jeong-Hoon/0000-0002-2397-2668</t>
  </si>
  <si>
    <t>Ecophysiology of Antarctic Terrestrial Organisms to Reveal Mechanisms of Adaptation to a Changing Environment program - Korea Polar Research Institute [PE21130]; Korean Ministry of Environment [PG20040]</t>
  </si>
  <si>
    <t>Ecophysiology of Antarctic Terrestrial Organisms to Reveal Mechanisms of Adaptation to a Changing Environment program - Korea Polar Research Institute(Korea Polar Research Institute of Marine Research Placement (KOPRI)); Korean Ministry of Environment(Ministry of Environment (ME), Republic of Korea)</t>
  </si>
  <si>
    <t>This research was supported by the Ecophysiology of Antarctic Terrestrial Organisms to Reveal Mechanisms of Adaptation to a Changing Environment program, funded by the Korea Polar Research Institute (PE21130) and long-term ecosystem monitoring in Antarctic Specially Protected Area no. 171 on King George Island was funded by The Korean Ministry of Environment (PG20040).</t>
  </si>
  <si>
    <t>10.1007/s00300-021-02971-9</t>
  </si>
  <si>
    <t>WOS:000722086300001</t>
  </si>
  <si>
    <t>Zhang, H; Sun, Y; Zeng, QL; Crowe, SA; Luo, HW</t>
  </si>
  <si>
    <t>Zhang, Hao; Sun, Ying; Zeng, Qinglu; Crowe, Sean A.; Luo, Haiwei</t>
  </si>
  <si>
    <t>Snowball Earth, population bottleneck and Prochlorococcus evolution</t>
  </si>
  <si>
    <t>PROCEEDINGS OF THE ROYAL SOCIETY B-BIOLOGICAL SCIENCES</t>
  </si>
  <si>
    <t>Prochlorococcus; Neoproterozoic Snowball Earth; genome reduction; molecular dating</t>
  </si>
  <si>
    <t>ANTARCTIC SEA-ICE; TEMPERATURE; LIGHT; PHOTOSYNTHESIS; TURNOVER; OXYGEN; CLOCK; LIFE</t>
  </si>
  <si>
    <t>Prochlorococcus are the most abundant photosynthetic organisms in the modern ocean. A massive DNA loss event occurred in their early evolutionary history, leading to highly reduced genomes in nearly all lineages, as well as enhanced efficiency in both nutrient uptake and light absorption. The environmental landscape that shaped this ancient genome reduction, however, remained unknown. Through careful molecular clock analyses, we established that this Prochlorococcus genome reduction occurred during the Neoproterozoic Snowball Earth climate catastrophe. The lethally low temperature and exceedingly dim light during the Snowball Earth event would have inhibited Prochlorococcus growth and proliferation, and caused severe population bottlenecks. These bottlenecks are recorded as an excess of deleterious mutations accumulated across genomic regions and inherited by descendant lineages. Prochlorococcus adaptation to extreme environmental conditions during Snowball Earth intervals can be inferred by tracing the evolutionary paths of genes that encode key metabolic potential. Key metabolic innovation includes modified lipopolysaccharide structure, strengthened peptidoglycan biosynthesis, the replacement of a sophisticated circadian clock with an hourglass-like mechanism that resets daily for dim light adaption and the adoption of ammonia diffusion as an efficient membrane transporter-independent mode of nitrogen acquisition. In this way, the Neoproterozoic Snowball Earth event may have altered the physiological characters of Prochlorococcus, shaping their ecologically vital role as the most abundant primary producers in the modern oceans.</t>
  </si>
  <si>
    <t>[Zhang, Hao; Luo, Haiwei] Chinese Univ Hong Kong, Shenzhen Res Inst, Shenzhen 518000, Peoples R China; [Zhang, Hao; Sun, Ying; Luo, Haiwei] Chinese Univ Hong Kong, Sch Life Sci, Simon FS Li Marine Sci Lab, Shatin, Hong Kong, Peoples R China; [Zhang, Hao; Sun, Ying; Luo, Haiwei] Chinese Univ Hong Kong, State Key Lab Agrobiotechnol, Shatin, Hong Kong, Peoples R China; [Zeng, Qinglu] Hong Kong Univ Sci &amp; Technol, Dept Ocean Sci, Clear Water Bay, Hong Kong, Peoples R China; [Crowe, Sean A.] Univ Hong Kong, Sch Biol Sci, Dept Earth Sci, Pokfulam Rd, Hong Kong, Peoples R China; [Crowe, Sean A.] Univ Hong Kong, Swire Inst Marine Sci SWIMS, Pokfulam Rd, Hong Kong, Peoples R China; [Crowe, Sean A.] Univ British Columbia, Dept Microbiol &amp; Immunol, 2350 Hlth Sci Mall, Vancouver, BC V6T 1Z3, Canada</t>
  </si>
  <si>
    <t>The Chinese University of Hong Kong, Shenzhen; CUHK Shenzhen Research Institute; Chinese University of Hong Kong; Chinese University of Hong Kong; Hong Kong University of Science &amp; Technology; University of Hong Kong; University of Hong Kong; University of British Columbia</t>
  </si>
  <si>
    <t>Luo, HW (corresponding author), Chinese Univ Hong Kong, Shenzhen Res Inst, Shenzhen 518000, Peoples R China.;Luo, HW (corresponding author), Chinese Univ Hong Kong, Sch Life Sci, Simon FS Li Marine Sci Lab, Shatin, Hong Kong, Peoples R China.;Luo, HW (corresponding author), Chinese Univ Hong Kong, State Key Lab Agrobiotechnol, Shatin, Hong Kong, Peoples R China.</t>
  </si>
  <si>
    <t>hluo2006@gmail.com</t>
  </si>
  <si>
    <t>Luo, Haiwei/AAE-1958-2021</t>
  </si>
  <si>
    <t>Luo, Haiwei/0000-0001-8452-6066; Zeng, Qinglu/0000-0002-5616-7155; SUN, YING/0000-0002-4224-341X</t>
  </si>
  <si>
    <t>National Natural Science Foundation of China [92051113]; Hong Kong Research Grants Council General Research Fund [14110820]; Hong Kong Research Grants Council Area of Excellence Scheme [AoE/M-403/16]; HKU FoS funds; Direct Grant of CUHK [4053257, 3132809]</t>
  </si>
  <si>
    <t>National Natural Science Foundation of China(National Natural Science Foundation of China (NSFC)); Hong Kong Research Grants Council General Research Fund(Hong Kong Research Grants Council); Hong Kong Research Grants Council Area of Excellence Scheme(Hong Kong Research Grants Council); HKU FoS funds; Direct Grant of CUHK(Chinese University of Hong Kong)</t>
  </si>
  <si>
    <t>This work is supported by the National Natural Science Foundation of China (grant no. 92051113), the Hong Kong Research Grants Council General Research Fund (grant no. 14110820), the Hong Kong Research Grants Council Area of Excellence Scheme (grant no. AoE/M-403/16), HKU FoS funds to S.A.C., and the Direct Grant of CUHK (grant nos. 4053257 and 3132809).</t>
  </si>
  <si>
    <t>ROYAL SOC</t>
  </si>
  <si>
    <t>6-9 CARLTON HOUSE TERRACE, LONDON SW1Y 5AG, ENGLAND</t>
  </si>
  <si>
    <t>0962-8452</t>
  </si>
  <si>
    <t>1471-2954</t>
  </si>
  <si>
    <t>P ROY SOC B-BIOL SCI</t>
  </si>
  <si>
    <t>Proc. R. Soc. B-Biol. Sci.</t>
  </si>
  <si>
    <t>10.1098/rspb.2021.1956</t>
  </si>
  <si>
    <t>Biology; Ecology; Evolutionary Biology</t>
  </si>
  <si>
    <t>Life Sciences &amp; Biomedicine - Other Topics; Environmental Sciences &amp; Ecology; Evolutionary Biology</t>
  </si>
  <si>
    <t>WY5RW</t>
  </si>
  <si>
    <t>WOS:000719337000002</t>
  </si>
  <si>
    <t>Chen, YY; Hirashita, H; Wang, WH; Nakai, N</t>
  </si>
  <si>
    <t>Chen, Yung Ying; Hirashita, Hiroyuki; Wang, Wei-Hao; Nakai, Naomasa</t>
  </si>
  <si>
    <t>A simple numerical experiment on the dust temperature bias for Lyman break galaxies at z ≳ 5</t>
  </si>
  <si>
    <t>MONTHLY NOTICES OF THE ROYAL ASTRONOMICAL SOCIETY</t>
  </si>
  <si>
    <t>dust, extinction; galaxies: evolution; galaxies: high-redshift; galaxies: statistics; infrared: galaxies; submillimetre: galaxies</t>
  </si>
  <si>
    <t>SPECTRAL ENERGY-DISTRIBUTIONS; STAR-FORMING CLOUDS; INFRARED-EMISSION; EVOLUTION; ALMA; ULTRAVIOLET; MODEL; MASS; FRAGMENTATION; SIMULATIONS</t>
  </si>
  <si>
    <t>Some studies suggest that the dust temperatures (T-d) in high-redshift (z greater than or similar to 5) Lyman break galaxies (LBGs) are high. However, possible observational bias in T-d is yet to be understood. Thus, we perform a simple test using random realizations of LBGs with various stellar masses, dust temperatures, and dust-to-stellar mass ratios and examine how the sample detected by Atacama Large Millimetre/submillimetre Array (ALMA) is biased in terms of T-d. We show that ALMA tends to miss high-T-d objects even at total dust luminosity L-IR &gt; 10(11) L-circle dot. LBGs are, however, basically selected by the stellar UV luminosity. The dust-temperature bias in a UV-selected sample is complicated because of the competing effects between high T-d and low dust abundance. For ALMA Band 6, there is no tendency of high-T-d LBGs being more easily detected in our experiment. Thus, we suggest that the observed trend of high T-d in z greater than or similar to 5 LBGs is real. We also propose that the 450 band is useful in further clarifying the dust temperatures. To overcome the current shallowness of 450 observations, we examine a future Antarctic 30-m class telescope with a suitable atmospheric condition for wavelengths , where the detection is not confusion-limited. We find that, with this telescope, an L-IR-selected sample with log(L-IR/L-circle dot) &gt; 11 is constructed for z greater than or similar to 5, and detection in the intermediate-M-star (stellar mass) range [9 &lt; log(M-star/M-circle dot) &lt; 9.5] is much improved, especially at high T-d.</t>
  </si>
  <si>
    <t>[Chen, Yung Ying; Hirashita, Hiroyuki; Wang, Wei-Hao] Acad Sinica, Inst Astron &amp; Astrophys, Astron Math Bldg,Roosevelt Rd, Taipei 10617, Taiwan; [Nakai, Naomasa] Kwansei Gakuin Univ, Sch Sci &amp; Technol, 2-1 Gakuen, Sanda, Hyogo 6691337, Japan</t>
  </si>
  <si>
    <t>Academia Sinica - Taiwan; Kwansei Gakuin University</t>
  </si>
  <si>
    <t>Chen, YY (corresponding author), Acad Sinica, Inst Astron &amp; Astrophys, Astron Math Bldg,Roosevelt Rd, Taipei 10617, Taiwan.</t>
  </si>
  <si>
    <t>abbey000508@gmail.com; hirashita@asiaa.sinica.edu.tw</t>
  </si>
  <si>
    <t>Hirashita, Hiroyuki/AAZ-7547-2020; Wang, Wei-Hao/ABD-9942-2020</t>
  </si>
  <si>
    <t>Hirashita, Hiroyuki/0000-0002-4189-8297; Wang, Wei-Hao/0000-0003-2588-1265</t>
  </si>
  <si>
    <t>Ministry of Science and Technology (MOST) [MOST 107-2923-M001-003-MY3 (RFBR 18-52-52006), MOST 108-2112-M-001007-MY3]; Academia Sinica [AS-IA109-M02]</t>
  </si>
  <si>
    <t>Ministry of Science and Technology (MOST)(Ministry of Science and Technology, China); Academia Sinica(Academia Sinica - Taiwan)</t>
  </si>
  <si>
    <t>We are grateful to C.-Y. Lin and the anonymous referee for useful discussions and comments. HH thanks the Ministry of Science and Technology (MOST) for support through grantMOST 107-2923-M001-003-MY3 (RFBR 18-52-52006) and MOST 108-2112-M-001007-MY3, and the Academia Sinica for Investigator Award AS-IA109-M02.</t>
  </si>
  <si>
    <t>OXFORD UNIV PRESS</t>
  </si>
  <si>
    <t>GREAT CLARENDON ST, OXFORD OX2 6DP, ENGLAND</t>
  </si>
  <si>
    <t>0035-8711</t>
  </si>
  <si>
    <t>1365-2966</t>
  </si>
  <si>
    <t>MON NOT R ASTRON SOC</t>
  </si>
  <si>
    <t>Mon. Not. Roy. Astron. Soc.</t>
  </si>
  <si>
    <t>10.1093/mnras/stab3142</t>
  </si>
  <si>
    <t>Astronomy &amp; Astrophysics</t>
  </si>
  <si>
    <t>XL8HG</t>
  </si>
  <si>
    <t>WOS:000728381700049</t>
  </si>
  <si>
    <t>Hamer, PD; Marécal, V; Hossaini, R; Pirre, M; Krysztofiak, G; Ziska, F; Engel, A; Sala, S; Keber, T; Bönisch, H; Atlas, E; Krüger, K; Chipperfield, M; Catoire, V; Samah, AA; Dorf, M; Moi, PS; Schlager, H; Pfeilsticker, K</t>
  </si>
  <si>
    <t>Hamer, Paul D.; Marecal, Virginie; Hossaini, Ryan; Pirre, Michel; Krysztofiak, Gisele; Ziska, Franziska; Engel, Andreas; Sala, Stephan; Keber, Timo; Boenisch, Harald; Atlas, Elliot; Krueger, Kirstin; Chipperfield, Martyn; Catoire, Valery; Samah, Azizan A.; Dorf, Marcel; Siew Moi, Phang; Schlager, Hans; Pfeilsticker, Klaus</t>
  </si>
  <si>
    <t>Cloud-scale modelling of the impact of deep convection on the fate of oceanic bromoform in the troposphere: a case study over the west coast of Borneo</t>
  </si>
  <si>
    <t>SHORT-LIVED SUBSTANCES; SPLIT-WINDOW MEASUREMENTS; TOP HEIGHT ESTIMATION; BOUNDARY-LAYER; ATMOSPHERIC CHEMISTRY; TRANSPORT MODEL; INDIAN-OCEAN; CATT-BRAMS; IN-SITU; BROMINE</t>
  </si>
  <si>
    <t>This paper presents a modelling study on the fate of CHBr3 and its product gases in the troposphere within the context of tropical deep convection. A cloud-scale case study was conducted along the west coast of Borneo, where several deep convective systems were triggered on the afternoon and early evening of 19 November 2011. These systems were sampled by the Falcon aircraft during the field campaign of the SHIVA project and analysed using a simulation with the cloud-resolving meteorological model C-CATT-BRAMS at 2x2 km resolution that represents the emissions, transport by large-scale flow, convection, photochemistry, and washout of CHBr3 and its product gases (PGs). We find that simulated CHBr3 mixing ratios and the observed values in the boundary layer and the outflow of the convective systems agree. However, the model underestimates the background CHBr3 mixing ratios in the upper troposphere, which suggests a missing source at the regional scale. An analysis of the simulated chemical speciation of bromine within and around each simulated convective system during the mature convective stage reveals that &gt; 85% of the bromine derived from CHBr3 and its PGs is transported vertically to the point of convective detrainment in the form of CHBr3 and that the remaining small fraction is in the form of organic PGs, principally insoluble brominated carbonyls produced from the photo-oxidation of CHBr3. The model simulates that within the boundary layer and free troposphere, the inorganic PGs are only present in soluble forms, i.e. HBr, HOBr, and BrONO2, and, consequently, within the convective clouds, the inorganic PGs are almost entirely removed by wet scavenging. We find that HBr is the most abundant PG in background lower-tropospheric air and that this prevalence of HBr is a result of the relatively low background tropospheric ozone levels at the regional scale. Contrary to a previous study in a different environment, for the conditions in the simulation, the insoluble Br-2 species is hardly formed within the convective systems and therefore plays no significant role in the vertical transport of bromine. This likely results from the relatively small quantities of simulated inorganic bromine involved, the presence of HBr in large excess compared to HOBr and BrO, and the relatively efficient removal of soluble compounds within the convective column.</t>
  </si>
  <si>
    <t>[Hamer, Paul D.] Norwegian Inst Air Res NILU, Kjeller, Norway; [Hamer, Paul D.; Marecal, Virginie] Univ Toulouse, Meteo France, Ctr Natl Rech Meteorol, CNRS, Toulouse, France; [Hossaini, Ryan] Univ Lancaster, Lancaster Environm Ctr, Lancaster LA1 4YQ, England; [Pirre, Michel; Krysztofiak, Gisele; Catoire, Valery] CNRS, Lab Phys &amp; Chim Environm &amp; Espace, Orleans, France; [Pirre, Michel; Krysztofiak, Gisele; Catoire, Valery] Univ Orleans, UMR7328, Orleans, France; [Ziska, Franziska] GEOMAR Helmholtz Ctr Ocean Res Kiel, Kiel, Germany; [Engel, Andreas; Sala, Stephan; Keber, Timo; Boenisch, Harald] Goethe Univ Frankfurt, Inst Atmospher &amp; Environm Sci, Altenhoferallee 1, D-60438 Frankfurt, Germany; [Atlas, Elliot] Univ Miami, 4600 Rickenbacker Causeway, Miami, FL 33149 USA; [Krueger, Kirstin] Univ Oslo, Dept Geosci, Postboks 1022, N-0315 Oslo, Norway; [Chipperfield, Martyn] Univ Leeds, Sch Earth &amp; Environm, Leeds, W Yorkshire, England; [Samah, Azizan A.] Univ Malaya, Natl Antarctic Res Ctr, Kuala Lumpur 50603, Malaysia; [Samah, Azizan A.; Siew Moi, Phang] Univ Malaya, Inst Ocean &amp; Earth Sci, Kuala Lumpur 50603, Malaysia; [Dorf, Marcel] Max Planck Inst Chem, Dept Atmospher Chem, Mainz, Germany; [Schlager, Hans] Deutsch Zentrum Luft &amp; Raumfahrt DLR, Inst Phys &amp; Atmosphare, Munchner Str 20, D-82234 Oberpfaffenhofen, Germany; [Pfeilsticker, Klaus] Heidelberg Univ, Inst Environm Phys, Neuenheimer Feld 229, D-69120 Heidelberg, Germany</t>
  </si>
  <si>
    <t>NILU; Meteo France; Centre National de la Recherche Scientifique (CNRS); Universite de Toulouse; Lancaster University; Centre National de la Recherche Scientifique (CNRS); Centre National de la Recherche Scientifique (CNRS); CNRS - National Institute for Earth Sciences &amp; Astronomy (INSU); Universite de Orleans; Helmholtz Association; GEOMAR Helmholtz Center for Ocean Research Kiel; Goethe University Frankfurt; University of Miami; University of Oslo; University of Leeds; Universiti Malaya; Universiti Malaya; Max Planck Society; Helmholtz Association; German Aerospace Centre (DLR); Ruprecht Karls University Heidelberg</t>
  </si>
  <si>
    <t>Hamer, PD (corresponding author), Norwegian Inst Air Res NILU, Kjeller, Norway.;Hamer, PD (corresponding author), Univ Toulouse, Meteo France, Ctr Natl Rech Meteorol, CNRS, Toulouse, France.</t>
  </si>
  <si>
    <t>paul.hamer@nilu.no</t>
  </si>
  <si>
    <t>Chipperfield, Martyn/H-6359-2013; Phang, Siew Moi/A-7653-2008; Hossaini, Ryan/F-7134-2015; Catoire, Valéry/E-9662-2015; Engel, Andreas/E-3100-2014</t>
  </si>
  <si>
    <t>Chipperfield, Martyn/0000-0002-6803-4149; Marecal, Virginie/0000-0003-1077-909X; Krysztofiak, Gisele/0000-0003-4762-8471; Hossaini, Ryan/0000-0003-2395-6657; Bonisch, Harald/0000-0002-1004-0861; Hamer, Paul/0000-0003-0645-2932; Engel, Andreas/0000-0003-0557-3935</t>
  </si>
  <si>
    <t>European Commission [SHIVA-226224-FP7-ENV-2008-1, 226224]; NERC independent research fellowship [NE/N014375/1]; NASA Upper Atmosphere Program [NNX17AE43G]; NERC [NE/N014375/1] Funding Source: UKRI</t>
  </si>
  <si>
    <t>European Commission(European Union (EU)European Commission Joint Research Centre); NERC independent research fellowship(UK Research &amp; Innovation (UKRI)Natural Environment Research Council (NERC)); NASA Upper Atmosphere Program; NERC(UK Research &amp; Innovation (UKRI)Natural Environment Research Council (NERC))</t>
  </si>
  <si>
    <t>This work was supported by the European Commission via the Stratospheric Ozone: Halogen Impacts in a Varying Atmosphere (SHIVA) project (project no. SHIVA-226224-FP7-ENV-2008-1 and grant no. 226224). Ryan Hossaini is supported by a NERC independent research fellowship (grant no. NE/N014375/1). Elliot Atlas was supported by funds from NASA Upper Atmosphere Program (grant no. NNX17AE43G).</t>
  </si>
  <si>
    <t>NOV 23</t>
  </si>
  <si>
    <t>10.5194/acp-21-16955-2021</t>
  </si>
  <si>
    <t>XD1FK</t>
  </si>
  <si>
    <t>Green Submitted, Green Published, gold, Green Accepted</t>
  </si>
  <si>
    <t>WOS:000722457300001</t>
  </si>
  <si>
    <t>Scur, MC; Kitaura, MJ; de Paula, JB; Spielmann, AA; Lorenz, AP</t>
  </si>
  <si>
    <t>Scur, Mayara Camila; Kitaura, Marcos Junji; de Paula, Julia Bianchi; Spielmann, Adriano Afonso; Lorenz, Aline Pedroso</t>
  </si>
  <si>
    <t>Contrasting variation patterns in Austroplaca hookeri and Rusavskia elegans (Teloschistaceae, lichenized Ascomycota) in maritime Antarctica</t>
  </si>
  <si>
    <t>DNA barcoding; Lichens; nuITS sequences; Species complex</t>
  </si>
  <si>
    <t>DISPERSAL; SEQUENCE; POPULATION; DIVERSITY; REGION; KEY</t>
  </si>
  <si>
    <t>Teloschistaceae is one of the largest lichen-forming fungal lineages, with more than one thousand species worldwide distributed, including areas with extreme environmental conditions, such as Antarctica. Two species of this family, Austroplaca hookeri and Rusavskia elegans were investigated with molecular, morphological, and anatomical data to understand their diversity patterns in maritime Antarctica. These species can be confounded in a superficial identification due to their apparent similarities in color, shape, size, and dispersal mode (spores). Sampling area included the King George Island (South Shetland Islands), James Ross Island, and the Antarctica Peninsula. New nuITS sequences revealed low divergence in A. hookeri (haplotypes with a maximum divergence of 0.8%) and high phylogenetic diversity in R. elegans (haplotypes with up to 5.5% of divergence distributed in three different lineages). The same pattern was found examining the morphological and anatomical features, with phenotypic uniformity in A. hookeri and several variations among the R. elegans specimens (such as the presence and location of the isidioid structures, the margin of the hymenial disc, and the parahimenial tissue thickness). The phenotypic variability found in R. elegans is not linked to the different nuITS lineages or to the geographic origin of the specimens analyzed. These patterns probably reflect the unique evolutionary history of each species and their different pathways in the colonization of Antarctica.</t>
  </si>
  <si>
    <t>[Scur, Mayara Camila; de Paula, Julia Bianchi; Spielmann, Adriano Afonso; Lorenz, Aline Pedroso] Univ Fed Mato Grosso do Sul, Inst Biosci, Av Costa &amp; Silva S-N, BR-79070900 Campo Grande, MS, Brazil; [Kitaura, Marcos Junji] Univ Fed Mato Grosso do Sul, CPAQ, Av Oscar Trindade Barros 740, BR-79200000 Aquidauana, MS, Brazil</t>
  </si>
  <si>
    <t>Universidade Federal de Mato Grosso do Sul; Universidade Federal de Mato Grosso do Sul</t>
  </si>
  <si>
    <t>Scur, MC (corresponding author), Univ Fed Mato Grosso do Sul, Inst Biosci, Av Costa &amp; Silva S-N, BR-79070900 Campo Grande, MS, Brazil.</t>
  </si>
  <si>
    <t>mayarascur@gmail.com</t>
  </si>
  <si>
    <t>Lorenz, Aline Pedroso/I-1743-2012; Spielmann, Adriano Afonso/J-8176-2015</t>
  </si>
  <si>
    <t>Lorenz, Aline Pedroso/0000-0002-2810-2282; Spielmann, Adriano Afonso/0000-0003-0137-0807; Kitaura, Marcos Junji/0000-0002-2175-3533</t>
  </si>
  <si>
    <t>Coordenacao de Aperfeicoamento de Pessoal de Nivel Superior-Brasil (CAPES) [001]; Brazilian Evolution and Dispersal of Antarctic Bipolar Species of Mosses and Lichens project (MCTI/CNPq/FNDCT-Acao Transversal) [64/2013]; CAPES; Fundacao de Apoio ao Desenvolvimento do Ensino, Ciencia e Tecnologia do Estado de Mato Grosso do Sul to Postdoctoral scholarship of the Chamada Fundect/CNPq [04/2019-PDCTR]</t>
  </si>
  <si>
    <t>Coordenacao de Aperfeicoamento de Pessoal de Nivel Superior-Brasil (CAPES)(Coordenacao de Aperfeicoamento de Pessoal de Nivel Superior (CAPES)); Brazilian Evolution and Dispersal of Antarctic Bipolar Species of Mosses and Lichens project (MCTI/CNPq/FNDCT-Acao Transversal); CAPES(Coordenacao de Aperfeicoamento de Pessoal de Nivel Superior (CAPES)); Fundacao de Apoio ao Desenvolvimento do Ensino, Ciencia e Tecnologia do Estado de Mato Grosso do Sul to Postdoctoral scholarship of the Chamada Fundect/CNPq</t>
  </si>
  <si>
    <t>This study was financed in part by the CoordenacAo de Aperfeicoamento de Pessoal de Nivel Superior-Brasil (CAPES)-Finance Code 001. It was also supported by the Brazilian Evolution and Dispersal of Antarctic Bipolar Species of Mosses and Lichens project (MCTI/CNPq/FNDCT-Acao Transversal no 64/2013). M.C. Scur and M. J. Kitaura would like to thank the CAPES for Scholarships of Institutional Scholarship Program and National Postdoctoral Program levels. M.J. Kitaura also want to thank the Fundacao de Apoio ao Desenvolvimento do Ensino, Ciencia e Tecnologia do Estado de Mato Grosso do Sul to Postdoctoral scholarship of the Chamada Fundect/CNPq No. 04/2019-PDCTR. We also want to thank the Helsinki Herbarium that generously sent the isoneotype material and the Instituto Antartico Argentino for the logistic support during the fieldwork on James Ross Island.</t>
  </si>
  <si>
    <t>10.1007/s00300-021-02976-4</t>
  </si>
  <si>
    <t>WOS:000721398800002</t>
  </si>
  <si>
    <t>Cottrell, RS</t>
  </si>
  <si>
    <t>Cottrell, Richard S.</t>
  </si>
  <si>
    <t>Feeding fish with fumes</t>
  </si>
  <si>
    <t>NATURE SUSTAINABILITY</t>
  </si>
  <si>
    <t>Editorial Material</t>
  </si>
  <si>
    <t>FUTURE</t>
  </si>
  <si>
    <t>Sustainable farming of fish requires their feed to be responsibly sourced. New research illustrates how we could convert industrial carbon emissions into a valuable feed resource.</t>
  </si>
  <si>
    <t>[Cottrell, Richard S.] Univ Tasmania, Inst Marine &amp; Antarctic Studies, Hobart, Tas, Australia</t>
  </si>
  <si>
    <t>University of Tasmania</t>
  </si>
  <si>
    <t>Cottrell, RS (corresponding author), Univ Tasmania, Inst Marine &amp; Antarctic Studies, Hobart, Tas, Australia.</t>
  </si>
  <si>
    <t>richardstuart.cottrell@utas.edu.au</t>
  </si>
  <si>
    <t>Cottrell, Richard/0000-0002-6499-7503</t>
  </si>
  <si>
    <t>2398-9629</t>
  </si>
  <si>
    <t>NAT SUSTAIN</t>
  </si>
  <si>
    <t>Nat. Sustain.</t>
  </si>
  <si>
    <t>10.1038/s41893-021-00798-0</t>
  </si>
  <si>
    <t>Green &amp; Sustainable Science &amp; Technology; Environmental Sciences; Environmental Studies</t>
  </si>
  <si>
    <t>Science &amp; Technology - Other Topics; Environmental Sciences &amp; Ecology</t>
  </si>
  <si>
    <t>YQ9BW</t>
  </si>
  <si>
    <t>WOS:000721454400002</t>
  </si>
  <si>
    <t>Alley, KE; Wild, CT; Luckman, A; Scambos, TA; Truffer, M; Pettit, EC; Muto, A; Wallin, B; Klinger, M; Sutterley, T; Child, SF; Hulen, C; Lenaerts, JTM; Maclennan, M; Keenan, E; Dunmire, D</t>
  </si>
  <si>
    <t>Alley, Karen E.; Wild, Christian T.; Luckman, Adrian; Scambos, Ted A.; Truffer, Martin; Pettit, Erin C.; Muto, Atsuhiro; Wallin, Bruce; Klinger, Marin; Sutterley, Tyler; Child, Sarah F.; Hulen, Cyrus; Lenaerts, Jan T. M.; Maclennan, Michelle; Keenan, Eric; Dunmire, Devon</t>
  </si>
  <si>
    <t>Two decades of dynamic change and progressive destabilization on the Thwaites Eastern Ice Shelf</t>
  </si>
  <si>
    <t>AMUNDSEN SEA EMBAYMENT; WEST ANTARCTICA; MASS-LOSS; SHEET; GLACIER; RETREAT; OCEAN; MODEL; MODIS; WIDESPREAD</t>
  </si>
  <si>
    <t>The Thwaites Eastern Ice Shelf (TEIS) buttresses the eastern grounded portion of Thwaites Glacier through contact with a pinning point at its seaward limit. Loss of this ice shelf will promote further acceleration of Thwaites Glacier. Understanding the dynamic controls and structural integrity of the TEIS is therefore important to estimating Thwaites' future sea-level contribution. We present a similar to 20-year record of change on the TEIS that reveals the dynamic controls governing the ice shelf's past behaviour and ongoing evolution. We derived ice velocities from MODIS and Sentinel-1 image data using feature tracking and speckle tracking, respectively, and we combined these records with ITS_LIVE and GOLIVE velocity products from Landsat-7 and Landsat-8. In addition, we estimated surface lowering and basal melt rates using the Reference Elevation Model of Antarctica (REMA) DEM in comparison to ICESat and ICESat-2 altimetry. Early in the record, TEIS flow dynamics were strongly controlled by the neighbouring ThwaitesWestern Ice Tongue (TWIT). Flow patterns on the TEIS changed following the disintegration of the TWIT around 2008, with a new divergence in ice flow developing around the pinning point at its seaward limit. Simultaneously, the TEIS developed new rifting that extends from the shear zone upstream of the ice rise and increased strain concentration within this shear zone. As these horizontal changes occurred, sustained thinning driven by basal melt reduced ice thickness, particularly near the grounding line and in the shear zone area upstream of the pinning point. This evidence of weakening at a rapid pace suggests that the TEIS is likely to fully destabilize in the next few decades, leading to further acceleration of Thwaites Glacier.</t>
  </si>
  <si>
    <t>[Alley, Karen E.] Univ Manitoba, Ctr Earth Observat Sci, Dept Environm &amp; Geog, Winnipeg, MB, Canada; [Wild, Christian T.; Pettit, Erin C.] Oregon State Univ, Coll Earth Ocean &amp; Atmospher Sci, Corvallis, OR 97331 USA; [Luckman, Adrian] Swansea Univ, Dept Geog, Swansea, W Glam, Wales; [Scambos, Ted A.; Child, Sarah F.] Univ Colorado, Cooperat Inst Res Environm Sci, Earth Sci &amp; Observat Ctr, Boulder, CO 80309 USA; [Truffer, Martin] Univ Alaska Fairbanks, Geophys Inst, Fairbanks, AK USA; [Truffer, Martin] Univ Alaska Fairbanks, Dept Phys, Fairbanks, AK USA; [Muto, Atsuhiro] Temple Univ, Dept Earth &amp; Environm Sci, Philadelphia, PA 19122 USA; [Wallin, Bruce; Klinger, Marin] Univ Colorado, Natl Snow &amp; Ice Data Ctr, Boulder, CO 80309 USA; [Sutterley, Tyler] Univ Washington, Polar Sci Ctr, Seattle, WA 98195 USA; [Hulen, Cyrus] Coll Wooster, Dept Earth Sci, Wooster, OH 44691 USA; [Lenaerts, Jan T. M.; Maclennan, Michelle; Keenan, Eric; Dunmire, Devon] Univ Colorado, Dept Atmospher &amp; Ocean Sci, Boulder, CO 80309 USA</t>
  </si>
  <si>
    <t>University of Manitoba; Oregon State University; Swansea University; University of Colorado System; University of Colorado Boulder; University of Alaska System; University of Alaska Fairbanks; University of Alaska System; University of Alaska Fairbanks; Pennsylvania Commonwealth System of Higher Education (PCSHE); Temple University; University of Colorado System; University of Colorado Boulder; University of Washington; University of Washington Seattle; University System of Ohio; College of Wooster; University of Colorado System; University of Colorado Boulder</t>
  </si>
  <si>
    <t>Alley, KE (corresponding author), Univ Manitoba, Ctr Earth Observat Sci, Dept Environm &amp; Geog, Winnipeg, MB, Canada.</t>
  </si>
  <si>
    <t>karen.alley@umanitoba.ca</t>
  </si>
  <si>
    <t>Luckman, Adrian/GVS-1716-2022; Alley, Karen E/HGE-5249-2022</t>
  </si>
  <si>
    <t>Alley, Karen E/0000-0003-0358-3806; Luckman, Adrian/0000-0002-9618-5905; SCAMBOS, Ted A./0000-0003-4268-6322; Muto, Atsuhiro/0000-0002-1722-2457; Maclennan, Michelle L./0000-0002-7591-2704; Pettit, Erin Christine/0000-0002-6765-9841; Dunmire, Devon/0000-0001-6299-9137</t>
  </si>
  <si>
    <t>National Science Foundation, Directorate for Geosciences [1929991]; Natural Environment Research Council, British Antarctic Survey [NE/S006419/1]; NERC [NE/S006419/1] Funding Source: UKRI; Office of Polar Programs (OPP); Directorate For Geosciences [1929991] Funding Source: National Science Foundation</t>
  </si>
  <si>
    <t>National Science Foundation, Directorate for Geosciences(National Science Foundation (NSF)); Natural Environment Research Council, British Antarctic Survey; NERC(UK Research &amp; Innovation (UKRI)Natural Environment Research Council (NERC)); Office of Polar Programs (OPP); Directorate For Geosciences(National Science Foundation (NSF)NSF - Directorate for Geosciences (GEO))</t>
  </si>
  <si>
    <t>This research has been supported by the National Science Foundation, Directorate for Geosciences (grant no. 1929991), and the Natural Environment Research Council, British Antarctic Survey (grant no. NE/S006419/1).</t>
  </si>
  <si>
    <t>NOV 22</t>
  </si>
  <si>
    <t>10.5194/tc-15-5187-2021</t>
  </si>
  <si>
    <t>XB9ZH</t>
  </si>
  <si>
    <t>gold, Green Submitted, Green Accepted</t>
  </si>
  <si>
    <t>WOS:000721678100001</t>
  </si>
  <si>
    <t>Todd, VLG; Williamson, LD</t>
  </si>
  <si>
    <t>Todd, Victoria L. G.; Williamson, Laura D.</t>
  </si>
  <si>
    <t>Cetacean distribution in relation to oceanographic features at the Kerguelen Plateau</t>
  </si>
  <si>
    <t>Kerguelen Plateau; Southern Ocean; Cetaceans; Oceanography; Seismic survey</t>
  </si>
  <si>
    <t>FINNED PILOT WHALES; SOUTHERN-OCEAN; MEGAPTERA-NOVAEANGLIAE; GLOBICEPHALA-MELAS; IRON SUPPLIES; HABITAT; DOLPHINS; ASSOCIATIONS; PATTERNS; BEHAVIOR</t>
  </si>
  <si>
    <t>The Kerguelen Plateau in the south-eastern Indian Ocean is one of the most isolated and understudied regions on earth. As part of the Kerguelen Plateau Drifts project, Marine Mammal Observer (MMO) data were collected during a seismic survey in the austral summer (January-February 2020). Relationships between observation effort, cetacean sightings, seismic operations, and oceanographic variables-including bathymetry (depth and slope), nutrient concentrations, and indices of primary productivity-were investigated using Generalized Additive Models (GAMs). In total, 354 h and 45 min of observation effort resulted in 191 cetaceans (178 adults and at least 13 juveniles) of nine species observed on 48 occasions, over 14 days along the transect line. Marine mammal sightings occurred in water depths of 624-4699 m, with a hotspot of sightings recorded along the northern flank of the Kerguelen Plateau, in proximity to shelf edges. There was one sighting of a mixed pod of Kerguelen Commerson's dolphins (Cephalorhynchus commersonii kerguelenensis) and dusky dolphins (Lagenorhynchus obscurus), which to the best of our knowledge, is the first confirmed sighting of dusky dolphins in the Kerguelen Islands. Of the nine cetacean species observed, no niche separation was apparent, and all species were observed throughout the survey area. Dissolved oxygen and chlorophyll-a were the most significant predictors of cetacean occurrence. Systematic MMO data combined with synoptic satellite-derived/empirical oceanographic metadata have great potential to facilitate understanding of behaviour, geographical range, and population-status monitoring of cetaceans. This is especially important for cetacean stock assessment and minimising potential acoustic disturbance in Antarctic ecosystems.</t>
  </si>
  <si>
    <t>[Todd, Victoria L. G.; Williamson, Laura D.] Ocean Sci Consulting, Spott Rd, Dunbar EH42 1RR, East Lothian, Scotland; [Todd, Victoria L. G.; Williamson, Laura D.] Univ Highlands &amp; Isl, Environm Res Inst, Thurso KW14 7EE, Scotland</t>
  </si>
  <si>
    <t>UHI Millennium Institute</t>
  </si>
  <si>
    <t>Williamson, LD (corresponding author), Ocean Sci Consulting, Spott Rd, Dunbar EH42 1RR, East Lothian, Scotland.;Williamson, LD (corresponding author), Univ Highlands &amp; Isl, Environm Res Inst, Thurso KW14 7EE, Scotland.</t>
  </si>
  <si>
    <t>lw@osc.co.uk</t>
  </si>
  <si>
    <t>Williamson, Laura/0000-0001-6026-9026</t>
  </si>
  <si>
    <t>German Federal Ministry of Education and Research (BMBF) [03G0272A/B]; Alfred Wegener Institute (AWI); Center for Marine Environmental Sciences (MARUM); Macquarie University; University of South Carolina</t>
  </si>
  <si>
    <t>German Federal Ministry of Education and Research (BMBF)(Federal Ministry of Education &amp; Research (BMBF)); Alfred Wegener Institute (AWI); Center for Marine Environmental Sciences (MARUM); Macquarie University; University of South Carolina</t>
  </si>
  <si>
    <t>Funding for the cruise Leg SO272 and the Kerguelen Plateau Drifts project was received primarily by the German Federal Ministry of Education and Research (BMBF) under Project Number 03G0272A/B. Additional funding was provided by the Alfred Wegener Institute (AWI) and the Center for Marine Environmental Sciences (MARUM), as well as Macquarie University and the University of South Carolina.</t>
  </si>
  <si>
    <t>10.1007/s00300-021-02977-3</t>
  </si>
  <si>
    <t>WOS:000721398800001</t>
  </si>
  <si>
    <t>Slinger, J; Wynne, JW; Adams, MB</t>
  </si>
  <si>
    <t>Slinger, Joel; Wynne, James W.; Adams, Mark B.</t>
  </si>
  <si>
    <t>Profiling Branchial Bacteria of Atlantic Salmon (Salmo salar L.) Following Exposure to Antimicrobial Agents</t>
  </si>
  <si>
    <t>FRONTIERS IN ANIMAL SCIENCE</t>
  </si>
  <si>
    <t>dysbiosis; Atlantic salmon; antimicrobial; treatment; pathobiome; mucosal health</t>
  </si>
  <si>
    <t>AMEBIC GILL DISEASE; HYDROGEN-PEROXIDE; CHLORAMINE-T; SUSCEPTIBILITY; FLORFENICOL; MICROBIOTA; STRESS; FRESH; PATHOGENS; EFFICACY</t>
  </si>
  <si>
    <t>Microbial gill diseases caused by either opportunistic or specific pathogens are an emerging area of concern for aquaculture producers in part due to their sometimes complex and/or cryptic nature. Many antimicrobial treatments used in aquacultural settings are broad spectrum in nature. The effect of such therapeutics upon reduction and recolonization of commensal or pathogenic microbiota post-treatment has received little attention to date. Commensal bacteria are an integral component of the barrier function of mucosal surfaces in animals. This study evaluated the effect of several commercially relevant antimicrobial treatments upon the diversity and composition of branchial bacteria of Atlantic salmon. Here we exposed Atlantic salmon smolt to a number of commercially relevant antimicrobial treatments including chemotherapeutants (chloramine-t and hydrogen peroxide) and antibiotics (oxytetracycline and florfenicol) in vivo. Subsequently we examined the change in bacterial load, 16S rRNA gene expression, and taxonomic diversity post-treatment upon the gills. Results revealed a decrease in cultivable bacterial colonies after antimicrobial treatment, and a downstream decrease in bacterial richness and abundance post-treatment, with colonization of several prominent pathogenic taxa including Vibrio and Tenacibaculum. Temporal tracing over a 14-day period demonstrated that the bacteriome of gill mucus is sensitive to change, and altered by antimicrobial treatment and handling. This study identified candidate antimicrobial treatments which could be implemented in future studies to illustrate the effect of dysbiosis on microbial gill diseases.</t>
  </si>
  <si>
    <t>[Slinger, Joel] Commonwealth Sci &amp; Ind Res Org Agr &amp; Food, Livestock &amp; Aquaculture, Woorim, Qld, Australia; [Slinger, Joel; Adams, Mark B.] Univ Tasmania, Inst Marine &amp; Antarctic Studies, Launceston, Tas, Australia; [Wynne, James W.] Commonwealth Sci &amp; Ind Res Org Agr &amp; Food, Livestock &amp; Aquaculture, Hobart, Tas, Australia</t>
  </si>
  <si>
    <t>Slinger, J (corresponding author), Commonwealth Sci &amp; Ind Res Org Agr &amp; Food, Livestock &amp; Aquaculture, Woorim, Qld, Australia.;Slinger, J (corresponding author), Univ Tasmania, Inst Marine &amp; Antarctic Studies, Launceston, Tas, Australia.</t>
  </si>
  <si>
    <t>joel.slinger@csiro.au</t>
  </si>
  <si>
    <t>Wynne, James W/H-7957-2013</t>
  </si>
  <si>
    <t>Wynne, James W/0000-0001-6846-757X; Slinger, Joel/0000-0003-2781-2300</t>
  </si>
  <si>
    <t>Institute for Marine and Antarctic Studies (University of Tasmania)</t>
  </si>
  <si>
    <t>Funding was provided by the Institute for Marine and Antarctic Studies (University of Tasmania), via provision of a PhD scholarship awarded to JS.</t>
  </si>
  <si>
    <t>2673-6225</t>
  </si>
  <si>
    <t>FRONT ANIM SCI</t>
  </si>
  <si>
    <t>Front. Anim. Sci.</t>
  </si>
  <si>
    <t>10.3389/fanim.2021.756101</t>
  </si>
  <si>
    <t>Agriculture, Dairy &amp; Animal Science; Veterinary Sciences</t>
  </si>
  <si>
    <t>Agriculture; Veterinary Sciences</t>
  </si>
  <si>
    <t>I9YU9</t>
  </si>
  <si>
    <t>WOS:001006273400001</t>
  </si>
  <si>
    <t>Hosseini, H; Pooyanmehr, M; Foroughi, A; Esmaeili, N; Ghiasi, F; Lorestany, R</t>
  </si>
  <si>
    <t>Hosseini, Hossein; Pooyanmehr, Mehrdad; Foroughi, Azadeh; Esmaeili, Noah; Ghiasi, Farzad; Lorestany, Reza</t>
  </si>
  <si>
    <t>Remarkable positive effects of figwort (Scrophularia striata) on improving growth performance, and immunohematological parameters of fish</t>
  </si>
  <si>
    <t>FISH &amp; SHELLFISH IMMUNOLOGY</t>
  </si>
  <si>
    <t>Feeding; Growth; Herbal medicine; Hematology; Immune system; Lipid-lowering effect</t>
  </si>
  <si>
    <t>ONCORHYNCHUS-MYKISS WALBAUM; ALLIUM-SATIVUM POWDER; COMMON CARP; CYPRINUS-CARPIO; RAINBOW-TROUT; IMMUNE-RESPONSE; BODY-COMPOSITION; MUCOSAL IMMUNE; IMMUNOLOGICAL PARAMETERS; ESSENTIAL OIL</t>
  </si>
  <si>
    <t>This study was conducted to investigate the effect of figwort on the growth and immunohematological parameters of common carp (14.20 +/- 0.53 g). Four experimental diets were developed to feed fish for eight weeks: control, Figw10 (10 g/kg figwort), Figw20 (20 g/kg figwort), and Figw30 (30 g/kg figwort). The results showed that fish fed dietary Figw10 gained more weight (38.25 g) than control (P &lt; 0.05). Regarding immunohematological parameters, fish fed dietary Figw30 had a higher level of white blood cells (31.2 103/mm3), hematocrit (35.82%), blood performance (14.63), total protein (1.96 g/dL), albumin (0.79 g/dL), globulin (1.17 g/dL), lymphocyte (70.53%), monocyte (3.03%), alternative hemolytic complement activity (ACH50) (147.76 u/mL), lysozyme (62.19 u/mL), and bactericidal activities (135.24) than the control group (P &lt; 0.05). After 14 days of the challenge with Aeromonas hydrophila, the Figw30 treatment had the highest survival ratio (61.76%) compared to the control with 26.46%. Further, after the challenge, fish fed dietary Figw30 had a higher value of immunoglobulin M (42.00 mu g/mL), antibody titer (19.23), complement component 3 (296.39 mu g/mL), and complement component 4 (97.91 mu g/mL) when compared with those fed control diet (P &lt; 0.05). In conclusion, the optimum dosage for providing the best immune response was 30 g/kg in diet.</t>
  </si>
  <si>
    <t>[Hosseini, Hossein; Pooyanmehr, Mehrdad; Foroughi, Azadeh; Lorestany, Reza] Razi Univ, Fac Vet Med, Dept Microbiol Pathobiol &amp; Basic Sci, Kermanshah, Iran; [Esmaeili, Noah] Univ Tasmania, Inst Marine &amp; Antarctic Studies IMAS, Hobart, Tas, Australia; [Ghiasi, Farzad] Univ Kurdistan, Fac Nat Resources, Dept Fisheries, Erbil, Iran</t>
  </si>
  <si>
    <t>Razi University; University of Tasmania; University of Kurdistan</t>
  </si>
  <si>
    <t>Pooyanmehr, M (corresponding author), Razi Univ, Fac Vet Med, Dept Microbiol Pathobiol &amp; Basic Sci, Kermanshah, Iran.</t>
  </si>
  <si>
    <t>ho.hosseinii@yahoo.com; M.pooyanmehr@razi.ac.ir; dr.a.foroughi@gmail.com; noah.esmaeili@utas.edu.au; farzadghiasi@yahoo.com; reza_lorestany@yahoo.com</t>
  </si>
  <si>
    <t>Esmaeili, Noah/Q-4536-2019</t>
  </si>
  <si>
    <t>Esmaeili, Noah/0000-0001-8704-939X</t>
  </si>
  <si>
    <t>Razi University</t>
  </si>
  <si>
    <t>The authors wish to thank Razi University for its financial support. Thanks are also extended to all people for their valuable practical assistance.</t>
  </si>
  <si>
    <t>ACADEMIC PRESS LTD- ELSEVIER SCIENCE LTD</t>
  </si>
  <si>
    <t>24-28 OVAL RD, LONDON NW1 7DX, ENGLAND</t>
  </si>
  <si>
    <t>1050-4648</t>
  </si>
  <si>
    <t>1095-9947</t>
  </si>
  <si>
    <t>FISH SHELLFISH IMMUN</t>
  </si>
  <si>
    <t>Fish Shellfish Immunol.</t>
  </si>
  <si>
    <t>10.1016/j.fsi.2021.11.020</t>
  </si>
  <si>
    <t>Fisheries; Immunology; Marine &amp; Freshwater Biology; Veterinary Sciences</t>
  </si>
  <si>
    <t>XG4QR</t>
  </si>
  <si>
    <t>WOS:000724739600002</t>
  </si>
  <si>
    <t>Penchaszadeh, P; Arrighetti, F; Aldea, C; Teso, V</t>
  </si>
  <si>
    <t>Penchaszadeh, Pablo; Arrighetti, Florencia; Aldea, Cristian; Teso, Valeria</t>
  </si>
  <si>
    <t>Reproductive pattern of Trochita pileolus (d' Orbigny, 1841) (Gastropoda: Calyptraeidae) and different types of intracapsular development in Trochita species of South America</t>
  </si>
  <si>
    <t>Brooding; Direct development; Large eggs; MPA Namuncura; Burdwood Bank; Sub-Antarctic waters; Trochita pileolus</t>
  </si>
  <si>
    <t>CREPIDULA-DILATATA LAMARCK; LARVAL DEVELOPMENT; SEX-CHANGE; EGG SIZE; CHILE; MODES; PROSOBRANCHIA; MOLLUSCA; BORN</t>
  </si>
  <si>
    <t>Several types of development are reported in the worldwide distributed Family Calyptraeidae. In species with direct development, embryos can grow from large eggs or can feed on nurse eggs, nurse embryos, or other intracapsular nutritional resources. Here the reproductive mode of Trochita pileolus and how biochemical composition varies among egg size between three species of Trochita were studied. Adults and broods of T. pileolus were collected off Tierra del Fuego and nearby Burdwood Bank at depths of 96-151 m. The mean shell diameter of brooding females was 16.3 +/- 2 mm and the number of egg capsules observed ranged from 5 to 9. In each egg capsule 7-10 embryos developed from uncleaved eggs of about 500 mu m diameter. Neither nurse eggs nor other kinds of extraviteline food sources were recorded. No oophagy, adelphophagy, or late intracapsular cannibalism were observed. The development mode of T. pileolus closely resembles that of the giant T. trochiformis from Chile, in which the energy for developing embryos is obtained from large fertile eggs. The eggs of T. trochiformis had higher lipid content than the other two species and were more energy-dense than glycogen-enriched eggs. The relative lipid coverage area and the hatching size of T. pileus were similar to T. pileolus, although the egg size was three times smaller. This could be attained because T. pileus has developed intracapsular nutritional resources such as nurse eggs and adelphophagy.</t>
  </si>
  <si>
    <t>[Penchaszadeh, Pablo; Arrighetti, Florencia; Teso, Valeria] Museo Argentino Ciencias Nat Bernardino Rivadavia, Lab Ecosistemas Costeros Plataforma &amp; Mar Profund, Av Angel Gallardo 470,C1405DJR, Buenos Aires, DF, Argentina; [Aldea, Cristian] Univ Magallanes, Dept Ciencias &amp; Recursos Nat, Av Bulnes, Punta Arenas 01855, Chile; [Aldea, Cristian] Univ Magallanes, Ctr Invest GALA Antartica, Av Bulnes, Punta Arenas 01855, Chile; [Penchaszadeh, Pablo] Univ Simon Bolivar, Caracas 1080, Venezuela</t>
  </si>
  <si>
    <t>Museo Argentino de Ciencias Naturales Bernardino Rivadavia (MACN); Universidad de Magallanes; Universidad de Magallanes; Simon Bolivar University</t>
  </si>
  <si>
    <t>Teso, V (corresponding author), Museo Argentino Ciencias Nat Bernardino Rivadavia, Lab Ecosistemas Costeros Plataforma &amp; Mar Profund, Av Angel Gallardo 470,C1405DJR, Buenos Aires, DF, Argentina.</t>
  </si>
  <si>
    <t>valeriateso@gmail.com</t>
  </si>
  <si>
    <t>Aldea, Cristian/J-5391-2013</t>
  </si>
  <si>
    <t>Aldea, Cristian/0000-0002-4473-6509; Teso, Valeria/0000-0002-7210-9721</t>
  </si>
  <si>
    <t>Consejo Nacional de Investigaciones Cientificas y Tecnicas (CONICET) of Argentina; Burdwood Bank</t>
  </si>
  <si>
    <t>Consejo Nacional de Investigaciones Cientificas y Tecnicas (CONICET) of Argentina(Consejo Nacional de Investigaciones Cientificas y Tecnicas (CONICET)); Burdwood Bank</t>
  </si>
  <si>
    <t>We would like to thanks Angel Luque, two anonymous reviewers and Dieter Piepenburg who made very useful comments that improved an earlier version of the manuscript. Special thanks to Carlos Sanchez Antelo, Diego Urteaga, Noelia Sanchez, Pamela Rivadeneira, Javier Di Luca, Jonathan Flores, Mariano Martinez, Luis Monterrey, Alan Aldea and Sergio Herrera for collecting the samples. To Rocio Ciocco who helped with the samples, Guido Pastorino for comments and some SEM images and Lafayette Eaton who helped you with the language correction. This study is contribution N degrees 55 to the Area Marina Protegida Namuncura (Ley 26.875). We acknowledge funding by the Consejo Nacional de Investigaciones Cientificas y Tecnicas (CONICET) of Argentina, to which PP, VT and FA belong as members of the Carrera del Investigador Cientifico y Tecnico. Scientific surveys at the Burdwood Bank were funded through the National Law 26.875 of creation of the MPA Namuncura.</t>
  </si>
  <si>
    <t>10.1007/s00300-021-02972-8</t>
  </si>
  <si>
    <t>WOS:000720584500002</t>
  </si>
  <si>
    <t>Bokhorst, S; Convey, P; van Logtestijn, R; Aerts, R</t>
  </si>
  <si>
    <t>Bokhorst, Stef; Convey, Peter; van Logtestijn, Richard; Aerts, Rien</t>
  </si>
  <si>
    <t>Temperature impact on the influence of penguin-derived nutrients and mosses on non-native grass in a simulated polar ecosystem</t>
  </si>
  <si>
    <t>GLOBAL CHANGE BIOLOGY</t>
  </si>
  <si>
    <t>climate change; cryptogam; facilitation; invasion ecology; nitrogen; nitrogen isotopes</t>
  </si>
  <si>
    <t>VASCULAR PLANTS; COMMUNITY COMPOSITION; COMPETITIVE ABILITY; FALKLAND ISLANDS; SOIL-NITROGEN; CLIMATE; BRYOPHYTE; FERTILIZATION; GERMINATION; GROWTH</t>
  </si>
  <si>
    <t>Human activity and climate change are increasing the spread of species across the planet, threatening biodiversity and ecosystem functions. Invasion engineers, such as birds, facilitate plant growth through manuring of soil, while native vegetation influences plant germination by creating suitable microhabitats which are especially valuable in cold and dry polar regions. Here we tested how penguin-derived nitrogen, several common Antarctic moss species and warming affect seed germination and growth of the non-native grass Agrostis capillaris under laboratory conditions. Experimental settings included a simulation of contemporary season-specific Antarctic light and temperature (2 degrees C) conditions and a +5 degrees C warming scenario. Mosses (Andreaea depressinervis, A. regularis, Sanionia uncinata and Chorisodontium aciphyllum) incorporated a range of nitrogen content and isotopic nitrogen signatures (delta N-15) due to variation in sampling proximity to penguin colonies. Moss species greatly affected time to germination with consequences for further growth under the simulated Antarctic conditions. Grass seeds germinated 10 days earlier among A. regularis compared to S. uncinata and C. aciphyllum and 26 days earlier compared to A. depressinervis. Moss-specific effects are likely related to microclimatic differences within the moss canopy. Warming reduced this moss influence. Grass emerged on average 20 days earlier under warming, leading to increased leaf count (88%), plant height (112%) and biomass (145%). Positive correlations were identified between moss and grass nitrogen content (r = 0.377), grass biomass (r = 0.332) and height (r = 0.742) with stronger effects under the warming scenario. Transfer of nitrogen from moss to grass was confirmed by delta N-15 (r = 0.803). Overall, the results suggest a shift from temperature-limited to N-limited growth of invasive plants under increased warming in the maritime Antarctic.</t>
  </si>
  <si>
    <t>[Bokhorst, Stef; van Logtestijn, Richard; Aerts, Rien] Vrije Univ Amsterdam, Dept Ecol Sci, Amsterdam, Netherlands; [Convey, Peter] British Antarctic Survey, Nat Environm Res Council, Cambridge, England; [Convey, Peter] Univ Johannesburg, Dept Zool, Johannesburg, South Africa</t>
  </si>
  <si>
    <t>Vrije Universiteit Amsterdam; UK Research &amp; Innovation (UKRI); Natural Environment Research Council (NERC); NERC British Antarctic Survey; University of Johannesburg</t>
  </si>
  <si>
    <t>Bokhorst, S (corresponding author), Vrije Univ Amsterdam, Dept Ecol Sci, Amsterdam, Netherlands.</t>
  </si>
  <si>
    <t>s.f.bokhorst@vu.nl</t>
  </si>
  <si>
    <t>Bokhorst, Stef/D-1858-2009; Convey, Peter/AAV-5728-2020; van Logtestijn, Richardus SP/B-9680-2009</t>
  </si>
  <si>
    <t>Convey, Peter/0000-0001-8497-9903; van Logtestijn, Richardus/0000-0001-9063-2180; Bokhorst, Stef/0000-0003-0184-1162; Aerts, Rien/0000-0001-6694-0669</t>
  </si>
  <si>
    <t>Netherlands Polar Programme [ALWPP2016.006]; Natural Environment Research Council; NERC [bas0100036] Funding Source: UKRI</t>
  </si>
  <si>
    <t>Netherlands Polar Programme; Natural Environment Research Council(UK Research &amp; Innovation (UKRI)Natural Environment Research Council (NERC)); NERC(UK Research &amp; Innovation (UKRI)Natural Environment Research Council (NERC))</t>
  </si>
  <si>
    <t>This study would not have been possible without the logistical support of the British Antarctic Survey. This study was funded by the Netherlands Polar Programme (ALWPP2016.006). PC is supported by core funding from the Natural Environment Research Council to the British Antarctic Survey's 'Biodiversity, Evolution, and Adaptation' team. We thank anonymous reviewers for their constructive comments on earlier versions of this work. This work is a contribution to the Integrated Science to Inform Antarctic and Southern Ocean Conservation (Ant-ICON) Scientific Research Programme of the Scientific Committee on Antarctic Research (SCAR).</t>
  </si>
  <si>
    <t>1354-1013</t>
  </si>
  <si>
    <t>1365-2486</t>
  </si>
  <si>
    <t>GLOBAL CHANGE BIOL</t>
  </si>
  <si>
    <t>Glob. Change Biol.</t>
  </si>
  <si>
    <t>10.1111/gcb.15979</t>
  </si>
  <si>
    <t>Biodiversity Conservation; Ecology; Environmental Sciences</t>
  </si>
  <si>
    <t>YC1QF</t>
  </si>
  <si>
    <t>Green Accepted, Green Published</t>
  </si>
  <si>
    <t>WOS:000720520300001</t>
  </si>
  <si>
    <t>Hebel, I; Gonzalez, I; Jana, R</t>
  </si>
  <si>
    <t>Hebel, Ingrid; Gonzalez, Inti; Jana, Ricardo</t>
  </si>
  <si>
    <t>Genetic Approach on Sanionia uncinata (Hedw.) Loeske to Evaluate Representativeness of in situ Conservation Areas Among Protected and Neighboring Free Access Areas in Maritime Antarctica and Southern Patagonia</t>
  </si>
  <si>
    <t>FRONTIERS IN CONSERVATION SCIENCE</t>
  </si>
  <si>
    <t>dependent ecosystem; human impact; conservation; Antarctic specially protected area; subpopulation; potential distribution model; population genetics; MaxEnt</t>
  </si>
  <si>
    <t>FRAXINUS-EXCELSIOR L.; PENINSULA; SOFTWARE; HOLOCENE; AFLP; SIZE</t>
  </si>
  <si>
    <t>The Antarctic Specially Protected Areas (ASPAs) are zones with restricted access to protect outstanding environmental, scientific, historic, aesthetic, or wilderness values adopted inside the Antarctic Treaty System. Meanwhile, in southern Patagonia, conservation initiatives are implemented by the state of Chile and private entities. However, both are considered unrepresentative. Our work evaluates the representativeness of the in situ conservation through a genetic approach of the moss Sanionia uncinata (Hedw.) Loeske among protected and neighboring free access areas in Maritime Antarctica and southern Patagonia. We discuss observed presence with both current and reconstructed past potential niche distributions (11 and 6 ka BP) in the Fildes Peninsula on King George Island. Results showed occurrence of several spatially genetic subpopulations distributed inside and among ASPA and free access sites. Some free access sites showed a higher amount of polymorphism compared with ASPA, having ancestry in populations developed in those places since 6 ka BP. The different spatial and temporal hierarchies in the analysis suggest that places for conservation of this species in Maritime Antarctica are not well-represented, and that some free access areas should be considered. This work represents a powerful multidisciplinary approach and a great challenge for decision-makers to improve the management plans and the sustainable development in Antarctica.</t>
  </si>
  <si>
    <t>[Hebel, Ingrid] Univ Magallanes, Dept Agr &amp; Aquaculture, Plant Biotechnol Lab, Punta Arenas, Chile; [Gonzalez, Inti] Ctr Estudios Cuaternario CEQUA, Punta Arenas, Chile; [Jana, Ricardo] Chilean Antarctic Inst INACH, Sci Dept, Punta Arenas, Chile</t>
  </si>
  <si>
    <t>Universidad de Magallanes</t>
  </si>
  <si>
    <t>Hebel, I (corresponding author), Univ Magallanes, Dept Agr &amp; Aquaculture, Plant Biotechnol Lab, Punta Arenas, Chile.</t>
  </si>
  <si>
    <t>ingrid.hebel@umag.cl</t>
  </si>
  <si>
    <t>Jaña, Ricardo A/D-7543-2013</t>
  </si>
  <si>
    <t>Hebel, Ingrid/0000-0002-3253-1928</t>
  </si>
  <si>
    <t>Chilean Antarctic Institute [T_17-09]; CONICYT-Programa de Investigacion Asociativa; PIA (Anillos Antarticos project) [ACT-105]</t>
  </si>
  <si>
    <t>Chilean Antarctic Institute; CONICYT-Programa de Investigacion Asociativa; PIA (Anillos Antarticos project)</t>
  </si>
  <si>
    <t>The authors are indebted to the Chilean Antarctic Institute (project T_17-09) and CONICYT-Programa de Investigacion Asociativa, PIA (Anillos Antarticos project ACT-105) for funding. We thank the Wildlife Conservation Society, which permitted our sampling and field research at the Karukinka Natural Park. We are grateful to the logistic staff who supported us during the Antarctic summer field scientific expeditions of 2010-12. Finally, we would like to thank the referees for their comments.</t>
  </si>
  <si>
    <t>2673-611X</t>
  </si>
  <si>
    <t>FRONT CONSERV SCI</t>
  </si>
  <si>
    <t>Front. Conserv. Sci.</t>
  </si>
  <si>
    <t>NOV 19</t>
  </si>
  <si>
    <t>10.3389/fcosc.2021.647798</t>
  </si>
  <si>
    <t>I7BY1</t>
  </si>
  <si>
    <t>WOS:001004314500001</t>
  </si>
  <si>
    <t>Hanafi-Portier, M; Samadi, S; Corbari, L; Chan, TY; Chen, WJ; Chen, JN; Lee, MY; Mah, C; Saucède, T; Borremans, C; Olu, K</t>
  </si>
  <si>
    <t>Hanafi-Portier, Melissa; Samadi, Sarah; Corbari, Laure; Chan, Tin-Yam; Chen, Wei-Jen; Chen, Jhen-Nien; Lee, Mao-Ying; Mah, Christopher; Saucede, Thomas; Borremans, Catherine; Olu, Karine</t>
  </si>
  <si>
    <t>When Imagery and Physical Sampling Work Together: Toward an Integrative Methodology of Deep-Sea Image-Based Megafauna Identification</t>
  </si>
  <si>
    <t>deep-sea megafauna; image-based identification; biodiversity assessment; identification keys; integrative methodology; towed camera; physical sampling</t>
  </si>
  <si>
    <t>PAPUA-NEW-GUINEA; BIODIVERSITY; COMMUNITIES; TAXONOMY; OCEAN; FAUNA; CLASSIFICATION; DIVERSITY; PHYLOGENY; CRUSTACEA</t>
  </si>
  <si>
    <t>Imagery has become a key tool for assessing deep-sea megafaunal biodiversity, historically based on physical sampling using fishing gears. Image datasets provide quantitative and repeatable estimates, small-scale spatial patterns and habitat descriptions. However, taxon identification from images is challenging and often relies on morphotypes without considering a taxonomic framework. Taxon identification is particularly challenging in regions where the fauna is poorly known and/or highly diverse. Furthermore, the efficiency of imagery and physical sampling may vary among habitat types. Here, we compared biodiversity metrics (alpha and gamma diversity, composition) based on physical sampling (dredging and trawling) and towed-camera still images (1) along the upper continental slope of Papua New Guinea (sedimented slope with wood-falls, a canyon and cold seeps), and (2) on the outer slopes of the volcanic islands of Mayotte, dominated by hard bottoms. The comparison was done on selected taxa (Pisces, Crustacea, Echinoidea, and Asteroidea), which are good candidates for identification from images. Taxonomic identification ranks obtained for the images varied among these taxa (e.g., family/order for fishes, genus for echinoderms). At these ranks, imagery provided a higher taxonomic richness for hard-bottom and complex habitats, partially explained by the poor performance of trawling on these rough substrates. For the same reason, the gamma diversity of Pisces and Crustacea was also higher from images, but no difference was observed for echinoderms. On soft bottoms, physical sampling provided higher alpha and gamma diversity for fishes and crustaceans, but these differences tended to decrease for crustaceans identified to the species/morphospecies level from images. Physical sampling and imagery were selective against some taxa (e.g., according to size or behavior), therefore providing different facets of biodiversity. In addition, specimens collected at a larger scale facilitated megafauna identification from images. Based on this complementary approach, we propose a robust methodology for image-based faunal identification relying on a taxonomic framework, from collaborative work with taxonomists. An original outcome of this collaborative work is the creation of identification keys dedicated specifically to in situ images and which take into account the state of the taxonomic knowledge for the explored sites.</t>
  </si>
  <si>
    <t>[Hanafi-Portier, Melissa; Borremans, Catherine; Olu, Karine] Ctr Bretagne, REM EEP, IFREMER, Lab Environm Profond, Plouzane, France; [Hanafi-Portier, Melissa; Samadi, Sarah; Corbari, Laure] Museum Natl Hist Nat, Equipe Explorat Especes &amp; Speciat, UMR 7205 ISYEB, Paris, France; [Chan, Tin-Yam] Natl Taiwan Ocean Univ, Inst Marine Biol, Keelung, Taiwan; [Chen, Wei-Jen; Chen, Jhen-Nien] Natl Taiwan Ocean Univ, Ctr Excellence Oceans, Keelung, Taiwan; [Lee, Mao-Ying] Natl Taiwan Univ, Inst Oceanog, Taipei, Taiwan; [Mah, Christopher] Council Agr, Fisheries Res Inst, Marine Fisheries Div, Keelung, Taiwan; [Saucede, Thomas] Smithsonian Inst, Dept Invertebrate Zool, Natl Museum Nat Hist, Washington, DC USA; Univ Bourgogne Franche Comte, CNRS, Biogeosci, UMR 6282, Dijon, France</t>
  </si>
  <si>
    <t>Ifremer; Universite de Bretagne Occidentale; Centre National de la Recherche Scientifique (CNRS); CNRS - Institute of Ecology &amp; Environment (INEE); Sorbonne Universite; Museum National d'Histoire Naturelle (MNHN); National Taiwan Ocean University; National Taiwan Ocean University; National Taiwan University; Taiwan Fish Research Institute; Smithsonian Institution; Smithsonian National Museum of Natural History; Centre National de la Recherche Scientifique (CNRS); Universite de Bourgogne</t>
  </si>
  <si>
    <t>Hanafi-Portier, M (corresponding author), Ctr Bretagne, REM EEP, IFREMER, Lab Environm Profond, Plouzane, France.;Hanafi-Portier, M (corresponding author), Museum Natl Hist Nat, Equipe Explorat Especes &amp; Speciat, UMR 7205 ISYEB, Paris, France.</t>
  </si>
  <si>
    <t>Melissa.Hanafi.Portier@ifremer.fr</t>
  </si>
  <si>
    <t>samadi, sarah/G-5011-2010; CHEN, Wei-Jen/A-2605-2008</t>
  </si>
  <si>
    <t>samadi, sarah/0000-0003-0725-9368; HANAFI PORTIER, Melissa/0000-0003-1092-8024; Olu, Karine/0000-0002-4906-4131; Borremans, Catherine/0000-0002-8328-4306; CHEN, Wei-Jen/0000-0003-4751-7632</t>
  </si>
  <si>
    <t>Xth European Development Fund (Fonds Europeen de Developpement; FED); Mayotte Departmental Council (Conseil Departemental de Mayotte); French Development Agency (Agence Francaise de Developpement; AFD); European Union; Ministry of Science and Technology, Taiwan [MOST 102-2923-B-002-001-MY3, MOST 107-2611-M-002-007, MOST 108-2611-M-002-012-MY2]; French National Research Agency [ANR 12-ISV7-000501]; Center of Excellence for the Oceans, National Taiwan Ocean University; TOTAL; IFREMER</t>
  </si>
  <si>
    <t>Xth European Development Fund (Fonds Europeen de Developpement; FED); Mayotte Departmental Council (Conseil Departemental de Mayotte); French Development Agency (Agence Francaise de Developpement; AFD); European Union(European Union (EU)); Ministry of Science and Technology, Taiwan(Ministry of Science and Technology, Taiwan); French National Research Agency(Agence Nationale de la Recherche (ANR)); Center of Excellence for the Oceans, National Taiwan Ocean University; TOTAL(Total SA); IFREMER</t>
  </si>
  <si>
    <t>The BioMaGlo cruise and project was supported by funding from the Xth European Development Fund (Fonds Europeen de Developpement; FED) sustainable management of the natural heritage of Mayotte and the Eparses Islands program led by the French Southern and Antarctic Lands (Terres australes et antarctiques francaises; TAAF) with the support of the Mayotte Departmental Council (Conseil Departemental de Mayotte), the French Development Agency (Agence Francaise de Developpement; AFD) and the European Union. Collaboration with Taiwan was supported by funding from the Ministry of Science and Technology, Taiwan (MOST 102-2923-B-002-001-MY3, MOST 107-2611-M-002-007and MOST 108-2611-M-002-012-MY2 to W-JC) and the French National Research Agency (ANR 12-ISV7-000501 to SS) and the Center of Excellence for the Oceans, National Taiwan Ocean University to T-YC. The thesis of MH-P is co-funded by TOTAL and IFREMER as part of the PAMELA (Passive Margin Exploration Laboratories) scientific project.</t>
  </si>
  <si>
    <t>10.3389/fmars.2021.749078</t>
  </si>
  <si>
    <t>6F1SC</t>
  </si>
  <si>
    <t>WOS:000883848800001</t>
  </si>
  <si>
    <t>Villanueva, P; Vásquez, G; Gil-Durán, C; Oliva, V; Díaz, A; Henríquez, M; Alvarez, E; Laich, F; Chávez, R; Vaca, I</t>
  </si>
  <si>
    <t>Villanueva, Pablo; Vasquez, Ghislaine; Gil-Duran, Carlos; Oliva, Vicente; Diaz, Anai; Henriquez, Marlene; Alvarez, Eduardo; Laich, Federico; Chavez, Renato; Vaca, Inmaculada</t>
  </si>
  <si>
    <t>Description of the First Four Species of the Genus Pseudogymnoascus From Antarctica</t>
  </si>
  <si>
    <t>Pseudogymnoascus; new species; Antarctica; taxonomy; multi-locus phylogenetic analyses</t>
  </si>
  <si>
    <t>FUNGAL COMMUNITIES; DIVERSITY; MACROALGAE; GEOMYCES; DESTRUCTANS</t>
  </si>
  <si>
    <t>The genus Pseudogymnoascus represents a diverse group of fungi widely distributed in different cold regions on Earth. Our current knowledge of the species of Pseudogymnoascus is still very limited. Currently, there are only 15 accepted species of Pseudogymnoascus that have been isolated from different environments in the Northern Hemisphere. In contrast, species of Pseudogymnoascus from the Southern Hemisphere have not yet been described. In this work, we characterized four fungal strains obtained from Antarctic marine sponges. Based on multilocus phylogenetic analyses and morphological characterizations we determined that these strains are new species, for which the names Pseudogymnoascus antarcticus sp. nov., Pseudogymnoascus australis sp. nov., Pseudogymnoascus griseus sp. nov., and Pseudogymnoascus lanuginosus sp. nov. are proposed. Phylogenetic analyses indicate that the new species form distinct lineages separated from other species of Pseudogymnoascus with strong support. The new species do not form sexual structures and differ from the currently known species mainly in the shape and size of their conidia, the presence of chains of arthroconidia, and the appearance of their colonies. This is the first report of new species of Pseudogymnoascus not only from Antarctica but also from the Southern Hemisphere.</t>
  </si>
  <si>
    <t>[Villanueva, Pablo; Vasquez, Ghislaine; Gil-Duran, Carlos; Oliva, Vicente; Diaz, Anai; Henriquez, Marlene; Vaca, Inmaculada] Univ Chile, Dept Chem, Fac Sci, Santiago, Chile; [Alvarez, Eduardo] Univ Chile, Inst Biomed Sci ICBM, Mycol Unit, Fac Med, Santiago, Chile; [Laich, Federico] Inst Canario Invest Agrarias, Dept Protecc Vegetal, Santa Cruz De Tenerife, Islas Canarias, Spain; [Chavez, Renato] Univ Santiago Chile USACH, Fac Quim &amp; Biol, Dept Biol, Santiago, Chile</t>
  </si>
  <si>
    <t>Universidad de Chile; Universidad de Chile; Universidad de Santiago de Chile</t>
  </si>
  <si>
    <t>Vaca, I (corresponding author), Univ Chile, Dept Chem, Fac Sci, Santiago, Chile.;Chávez, R (corresponding author), Univ Santiago Chile USACH, Fac Quim &amp; Biol, Dept Biol, Santiago, Chile.</t>
  </si>
  <si>
    <t>inmavaca@uchile.cl</t>
  </si>
  <si>
    <t>Duarte, Eduardo Alvarez/Q-7341-2019</t>
  </si>
  <si>
    <t>Duarte, Eduardo Alvarez/0000-0001-6117-7916</t>
  </si>
  <si>
    <t>Instituto Antartico Chileno (INACH) [MG_07-20, RG_15-14]; Agencia Nacional de Investigacion y Desarrollo, Ministerio de Ciencia, Tecnologia, Conocimiento e Innovacion, Gobierno de Chile; ANID - Fondecyt de Postdoctorado [3210135]; CONICYT-PFCHA/Doctorado Nacional [2018-21181056]; DICYT-USACH</t>
  </si>
  <si>
    <t>Instituto Antartico Chileno (INACH); Agencia Nacional de Investigacion y Desarrollo, Ministerio de Ciencia, Tecnologia, Conocimiento e Innovacion, Gobierno de Chile; ANID - Fondecyt de Postdoctorado; CONICYT-PFCHA/Doctorado Nacional; DICYT-USACH</t>
  </si>
  <si>
    <t>This research was funded by Instituto Antartico Chileno (INACH), grant INACH RG_15-14, and Agencia Nacional de Investigacion y Desarrollo, Ministerio de Ciencia, Tecnologia, Conocimiento e Innovacion, Gobierno de Chile, grant ANID - Fondecyt de Postdoctorado 2021 - No 3210135. VO was supported by doctoral fellowship CONICYT-PFCHA/Doctorado Nacional/2018-21181056. PV was supported by grant Instituto Antartico Chileno (INACH) MG_07-20. RC was supported by DICYT-USACH.</t>
  </si>
  <si>
    <t>10.3389/fmicb.2021.713189</t>
  </si>
  <si>
    <t>VM5LO</t>
  </si>
  <si>
    <t>WOS:001027066400001</t>
  </si>
  <si>
    <t>Uchida, T; Shigeyama, W; Oyabu, I; Goto-Azuma, K; Nakazawa, F; Homma, T; Kawamura, K; Dahl-Jensen, D</t>
  </si>
  <si>
    <t>Uchida, Tsutomu; Shigeyama, Wataru; Oyabu, Ikumi; Goto-Azuma, Kumiko; Nakazawa, Fumio; Homma, Tomoyuki; Kawamura, Kenji; Dahl-Jensen, Dorthe</t>
  </si>
  <si>
    <t>Discovery of argon in air-hydrate crystals in a deep ice core using scanning electron microscopy and energy-dispersive X-ray spectroscopy</t>
  </si>
  <si>
    <t>Air hydrate; argon; energy-dispersive X-ray spectroscopy; NEEM ice core; scanning electron microscopy</t>
  </si>
  <si>
    <t>ABRUPT CLIMATE-CHANGE; POLAR ICE; TRAPPED AIR; ANTARCTIC ICE; OCCLUDED AIR; GAS; CHRONOLOGY; NITROGEN; NUCLEATION; RECORD</t>
  </si>
  <si>
    <t>Tiny samples of ancient atmosphere in air bubbles within ice cores contain argon (Ar), which can be used to reconstruct past temperature changes. At a sufficient depth, the air bubbles are compressed by the overburden pressure under low temperature and transform into air-hydrate crystals. While the oxygen (O-2) and nitrogen (N-2) molecules have indeed been identified in the air-hydrate crystals with Raman spectroscopy, direct observational knowledge of the distribution of Ar at depth within ice sheet and its enclathration has been lacking. In this study, we applied scanning electron microscopy (SEM) and energy-dispersive X-ray spectroscopy (EDS) to five air-hydrate crystals in the Greenland NEEM ice core, finding them to contain Ar and N. Given that Ar cannot be detected by Raman spectroscopy, the method commonly used for O-2 and N-2, the SEM-EDS measurement method may become increasingly useful for measuring inert gases in deep ice cores.</t>
  </si>
  <si>
    <t>[Uchida, Tsutomu] Hokkaido Univ, Fac Engn, Kita Ku, N13 W8, Sapporo, Hokkaido 0608628, Japan; [Shigeyama, Wataru; Goto-Azuma, Kumiko; Nakazawa, Fumio; Kawamura, Kenji] Grad Univ Adv Studies, SOKENDAI, 10-3 Midori Cho, Tachikawa, Tokyo 1908518, Japan; [Shigeyama, Wataru; Oyabu, Ikumi; Goto-Azuma, Kumiko; Nakazawa, Fumio; Kawamura, Kenji] Natl Inst Polar Res, 10-3 Midori Cho, Tachikawa, Tokyo 1908518, Japan; [Homma, Tomoyuki] Nagaoka Univ Technol, 1603-1 Kamitomioka Machi, Nagaoka, Niigata 9402188, Japan; [Kawamura, Kenji] Japan Agcy Marine Sci &amp; Technol JAMSTEC, 2-15 Natsushima Cho, Yokosuka, Kanagawa 2370061, Japan; [Dahl-Jensen, Dorthe] Univ Copenhagen, Ctr Ice &amp; Climate, Juiiane Maries Vej 30, DK-2100 Copenhagen K, Denmark</t>
  </si>
  <si>
    <t>Hokkaido University; Graduate University for Advanced Studies - Japan; Research Organization of Information &amp; Systems (ROIS); National Institute of Polar Research (NIPR) - Japan; Nagaoka University of Technology; Japan Agency for Marine-Earth Science &amp; Technology (JAMSTEC); University of Copenhagen</t>
  </si>
  <si>
    <t>Uchida, T (corresponding author), Hokkaido Univ, Fac Engn, Kita Ku, N13 W8, Sapporo, Hokkaido 0608628, Japan.</t>
  </si>
  <si>
    <t>t-uchida@eng.hokudai.ac.jp</t>
  </si>
  <si>
    <t>Dahl-Jensen, Dorthe/AAO-6951-2020; Oyabu, Ikumi/AGE-1164-2022; Kawamura, Kenji/C-7660-2011</t>
  </si>
  <si>
    <t>Dahl-Jensen, Dorthe/0000-0002-1474-1948; Oyabu, Ikumi/0000-0001-8017-1085; Uchida, Tsutomu/0000-0003-2304-376X; Kawamura, Kenji/0000-0003-1163-700X; Homma, Tomoyuki/0000-0003-1984-3270</t>
  </si>
  <si>
    <t>(FNRS-CFB), Canada; (FWO), Canada; (NRCan/GSC), China; (CAS), Denmark; (FIST), France; (IPEV), Germany; (CNRS/INSU), Germany; (CEA), Germany; (ANR), Germany; (AWI), Iceland; (RannIs), Japan; (NIPR), Korea; (KOPRI), The Netherlands; (NWO/ALW), Sweden; (VR), Switzerland; (SNF), the United Kingdom; NERC; USA (US NSF, Office of Polar Programs); Environment Research and Technology Development Fund of the Environmental Restoration and Conservation Agency of Japan [JPMEERF20202003]; Japan Society for the Promotion of Science KAKENHI [JP22221002, JP18H04140, JP20H04327, JP20H04980]; Arctic Challenge for Sustainability (ArCS) project [JPMXD1300000000]; Arctic Challenge for Sustainability II (ArCS II) project [JPMXD1420318865]; grant for the National Institute of Polar Research, Japan [KP305, 3-6]; Graduate University for Advanced Studies, SOKENDAI; Grants-in-Aid for Scientific Research [20H00638, 20H00639, 20H04327] Funding Source: KAKEN</t>
  </si>
  <si>
    <t>(FNRS-CFB), Canada; (FWO), Canada(FWO); (NRCan/GSC), China; (CAS), Denmark; (FIST), France; (IPEV), Germany; (CNRS/INSU), Germany; (CEA), Germany; (ANR), Germany(Agence Nationale de la Recherche (ANR)); (AWI), Iceland; (RannIs), Japan; (NIPR), Korea; (KOPRI), The Netherlands; (NWO/ALW), Sweden; (VR), Switzerland; (SNF), the United Kingdom; NERC(UK Research &amp; Innovation (UKRI)Natural Environment Research Council (NERC)); USA (US NSF, Office of Polar Programs); Environment Research and Technology Development Fund of the Environmental Restoration and Conservation Agency of Japan; Japan Society for the Promotion of Science KAKENHI(Ministry of Education, Culture, Sports, Science and Technology, Japan (MEXT)Japan Society for the Promotion of ScienceGrants-in-Aid for Scientific Research (KAKENHI)); Arctic Challenge for Sustainability (ArCS) project; Arctic Challenge for Sustainability II (ArCS II) project; grant for the National Institute of Polar Research, Japan; Graduate University for Advanced Studies, SOKENDAI(Graduate University for Advanced Studies - Japan); Grants-in-Aid for Scientific Research(Ministry of Education, Culture, Sports, Science and Technology, Japan (MEXT)Japan Society for the Promotion of ScienceGrants-in-Aid for Scientific Research (KAKENHI))</t>
  </si>
  <si>
    <t>We thank all the NEEM project members involved in logistics, drilling, and ice core processing. NEEM is directed and organized by the Centre of Ice and Climate at the Niels Bohr Institute and the United States National Science Foundation, Office of Polar Programs. NEEM is supported by funding agencies and institutions in Belgium (FNRS-CFB and FWO), Canada (NRCan/GSC), China (CAS), Denmark (FIST), France (IPEV, CNRS/INSU, CEA, and ANR), Germany (AWI), Iceland (RannIs), Japan (NIPR), Korea (KOPRI), The Netherlands (NWO/ALW), Sweden (VR), Switzerland (SNF), the United Kingdom (NERC), and the USA (US NSF, Office of Polar Programs). We acknowledge Professor Nobuhiko Azuma and Dr Morimasa Takata Nagaoka University of Technology) for their technical supports and fruitful discussion. We would also like to thank Dr Jon Nelson (Redmond Phys. Sci.) for English language editing, anonymous reviewers and the scientific editor for their reviewing and editorial comments.This study was supported by the Environment Research and Technology Development Fund (JPMEERF20202003) of the Environmental Restoration and Conservation Agency of Japan, the Japan Society for the Promotion of Science KAKENHI (Grants JP22221002, JP18H04140, JP20H04327 and JP20H04980), the Arctic Challenge for Sustainability (ArCS) project (JPMXD1300000000), the Arctic Challenge for Sustainability II (ArCS II) project (JPMXD1420318865), a grant for the National Institute of Polar Research, Japan (Project Research KP305 and General Collaboration Project no. 3-6), and the Graduate University for Advanced Studies, SOKENDAI.</t>
  </si>
  <si>
    <t>JUN</t>
  </si>
  <si>
    <t>PII S0022143021001155</t>
  </si>
  <si>
    <t>10.1017/jog.2021.115</t>
  </si>
  <si>
    <t>1B4DM</t>
  </si>
  <si>
    <t>WOS:000776410200001</t>
  </si>
  <si>
    <t>Hullé, M; Till, M; Plantegenest, M</t>
  </si>
  <si>
    <t>Hulle, Maurice; Till, Milena; Plantegenest, Manuel</t>
  </si>
  <si>
    <t>Global Warming Could Magnify Insect-Driven Apparent Competition Between Native and Introduced Host Plants in Sub-Antarctic Islands</t>
  </si>
  <si>
    <t>ENVIRONMENTAL ENTOMOLOGY</t>
  </si>
  <si>
    <t>biological invasion; introduced aphid; Myzus ascalonicus; Kerguelen Islands; climate change</t>
  </si>
  <si>
    <t>KERGUELEN; RANGE; VEGETATION; EVOLUTION; ABILITY; APHIDS</t>
  </si>
  <si>
    <t>Pristine sub-Antarctic islands terrestrial ecosystems, including many endemic species, are highly threatened by human-induced cosmopolitan plant invasion. We propose that native plant suppression could be further facilitated by the subsequent invasion by generalist pest species that could exacerbate their competitive exclusion through the process of apparent competition. By comparing the biological parameters of an invasive aphid species, Myzus ascalonicus, on one native (Acaena magellanica) and one invasive (Senecio vulgaris) plant species, we showed that survival and fecundity were higher and development time lower on the native plant species than on the invasive one. Moreover, comparing the effect of a temperature increase on the population dynamics of M. ascalonicus on the two plants, we showed that the relative profitability of the native species is further amplified by warming. Hence, while pest population doubling time is 28% higher on the invasive plant under current temperature, it would become 40% higher with an increase in temperature of 3 degrees C. Consequently, our findings demonstrate that global warming could exacerbate competitive exclusion of native plants by invasive plants in sub-Antarctic islands by its indirect effect on the apparent competition mediated by generalist phytophagous pests.</t>
  </si>
  <si>
    <t>[Hulle, Maurice] INRAE, UMR 1349, IGEPP, F-35650 Le Rheu, France; [Till, Milena] Ecole Ingenieurs Purpan, F-31067 Toulouse, France; [Plantegenest, Manuel] Agrocampus Ouest, UMR 1349, IGEPP, F-35000 Rennes, France</t>
  </si>
  <si>
    <t>INRAE; Universite Federale Toulouse Midi-Pyrenees (ComUE); Universite de Toulouse; Institut National Polytechnique de Toulouse; Institut Agro; Agrocampus Ouest</t>
  </si>
  <si>
    <t>Hullé, M (corresponding author), INRAE, UMR 1349, IGEPP, F-35650 Le Rheu, France.</t>
  </si>
  <si>
    <t>maurice.hulle@inrae.fr</t>
  </si>
  <si>
    <t>Hulle, Maurice/0000-0002-9520-3454</t>
  </si>
  <si>
    <t>French Polar Institute (IPEV); French National Center for Scientific Research (CNRS, Zone Atelier de Recherche sur l'Environnement antarctique et subantarctique)</t>
  </si>
  <si>
    <t>This research was supported by the French Polar Institute (IPEV, 'programme 136 Subanteco') and the French National Center for Scientific Research (CNRS, Zone Atelier de Recherche sur l'Environnement antarctique et subantarctique). We thank Philippe Vernon for his insightful comments and suggestions. We also thank all the young scientific volunteers who helped during fieldwork.</t>
  </si>
  <si>
    <t>OXFORD UNIV PRESS INC</t>
  </si>
  <si>
    <t>CARY</t>
  </si>
  <si>
    <t>JOURNALS DEPT, 2001 EVANS RD, CARY, NC 27513 USA</t>
  </si>
  <si>
    <t>0046-225X</t>
  </si>
  <si>
    <t>1938-2936</t>
  </si>
  <si>
    <t>ENVIRON ENTOMOL</t>
  </si>
  <si>
    <t>Environ. Entomol.</t>
  </si>
  <si>
    <t>FEB 16</t>
  </si>
  <si>
    <t>10.1093/ee/nvab122</t>
  </si>
  <si>
    <t>Entomology</t>
  </si>
  <si>
    <t>ZA2DZ</t>
  </si>
  <si>
    <t>WOS:000755978700021</t>
  </si>
  <si>
    <t>Clarke, PJ; Cubaynes, HC; Stockin, KA; Olavarria, C; de Vos, A; Fretwell, PT; Jackson, JA</t>
  </si>
  <si>
    <t>Clarke, Penny J.; Cubaynes, Hannah C.; Stockin, Karen A.; Olavarria, Carlos; de Vos, Asha; Fretwell, Peter T.; Jackson, Jennifer A.</t>
  </si>
  <si>
    <t>Cetacean Strandings From Space: Challenges and Opportunities of Very High Resolution Satellites for the Remote Monitoring of Cetacean Mass Strandings</t>
  </si>
  <si>
    <t>VHR satellite imagery; mass strandings; cetacean; remote monitoring; One Health; inclusivity</t>
  </si>
  <si>
    <t>BOTTLE-NOSED-DOLPHIN; DELPHINUS-DELPHIS; WHALES; MORTALITY; IMAGERY; CORONAVIRUS; INDICATORS; MANAGEMENT; FIDELITY; HEALTH</t>
  </si>
  <si>
    <t>The study of cetacean strandings was globally recognised as a priority topic at the 2019 World Marine Mammal Conference, in recognition of its importance for understanding the threats to cetacean communities and, more broadly, the threats to ecosystem and human health. Rising multifaceted anthropogenic and environmental threats across the globe, as well as whale population recovery from exploitation in some areas, are likely to coincide with an increase in reported strandings. However, the current methods to monitor strandings are inherently biased towards populated coastlines, highlighting the need for additional surveying tools in remote regions. Very High Resolution (VHR) satellite imagery offers the prospect of upscaling monitoring of mass strandings in minimally populated/unpopulated and inaccessible areas, over broad spatial and temporal scales, supporting and informing intervention on the ground, and can be used to retrospectively analyse historical stranding events. Here we (1) compile global strandings information to identify the current data gaps; (2) discuss the opportunities and challenges of using VHR satellite imagery to monitor strandings using the case study of the largest known baleen whale mass stranding event (3) consider where satellites hold the greatest potential for monitoring strandings remotely and; (4) outline a roadmap for satellite monitoring. To utilise this platform to monitor mass strandings over global scales, considerable technical, practical and environmental challenges need to be addressed and there needs to be inclusivity in opportunity from the onset, through knowledge sharing and equality of access to imagery.</t>
  </si>
  <si>
    <t>[Clarke, Penny J.; Cubaynes, Hannah C.; Fretwell, Peter T.; Jackson, Jennifer A.] British Antarctic Survey, Cambridge, England; [Clarke, Penny J.] UK Antarctic Heritage Trust, Cambridge, England; [Stockin, Karen A.] Massey Univ, Sch Nat Sci, Cetacean Ecol Res Grp, Auckland, New Zealand; [Stockin, Karen A.] Massey Univ, Sch Vet Sci, Anim Welf Sci &amp; Bioeth Ctr, Palmerston North, New Zealand; [Olavarria, Carlos] Ctr Estudios Avanzados Zonas Aridas CEAZA, La Serena, Chile; [de Vos, Asha] Oceanswell, Colombo, Sri Lanka; [de Vos, Asha] Univ Western Australia, UWA Oceans Inst, Crawley, WA, Australia</t>
  </si>
  <si>
    <t>UK Research &amp; Innovation (UKRI); Natural Environment Research Council (NERC); NERC British Antarctic Survey; Massey University; Massey University; University of Western Australia</t>
  </si>
  <si>
    <t>Clarke, PJ (corresponding author), British Antarctic Survey, Cambridge, England.;Clarke, PJ (corresponding author), UK Antarctic Heritage Trust, Cambridge, England.</t>
  </si>
  <si>
    <t>clarke.pennyj@gmail.com</t>
  </si>
  <si>
    <t>Stockin, Karen A/B-4452-2010; Jackson, Jennifer A/E-7997-2013</t>
  </si>
  <si>
    <t>Clarke, Penny/0000-0002-2648-9639; Jackson, Jennifer/0000-0003-4158-1924</t>
  </si>
  <si>
    <t>This study forms part of the Ecosystems component of the British Antarctic Survey Polar Science for Planet Earth Programme, funded by the Natural Environment Research Council.</t>
  </si>
  <si>
    <t>NOV 18</t>
  </si>
  <si>
    <t>10.3389/fmars.2021.650735</t>
  </si>
  <si>
    <t>XT9TG</t>
  </si>
  <si>
    <t>WOS:000733920500001</t>
  </si>
  <si>
    <t>Paquet, M; Day, JMD; Brown, DB; Waters, CL</t>
  </si>
  <si>
    <t>Paquet, Marine; Day, James M. D.; Brown, Diana B.; Waters, Christopher L.</t>
  </si>
  <si>
    <t>Effective global mixing of the highly siderophile elements into Earth's mantle inferred from oceanic abyssal peridotites</t>
  </si>
  <si>
    <t>Oceanic mantle; Peridotite; Highly siderophile elements; Os isotopes; Late accretion; Mantle convection; Heterogeneity</t>
  </si>
  <si>
    <t>TUNGSTEN ISOTOPIC COMPOSITION; PRIMITIVE UPPER-MANTLE; MELT EXTRACTION; CORE FORMATION; OPHIOLITE COMPLEX; MIDOCEAN RIDGE; SILICATE MELTS; TRACE-ELEMENTS; LATE ACCRETION; NOBLE-METALS</t>
  </si>
  <si>
    <t>Late accretion occurred through addition of massive impactors to Earth, leading to potential heterogeneity in the distribution of highly siderophile elements (HSE: Os, Ir, Ru, Pt, Pd, Re) within the mantle. Abyssal peridotites sample the present-day convecting mantle, which make them useful for examining the distribution of the HSE within the mantle. Here we report new HSE abundance data and Os-187/Os-188 ratios, in conjunction with mineral chemistry and bulk rock major- and trace-element compositions for abyssal peridotites from the fast-spreading Pacific Antarctic Ridge (PAR) and East Pacific Rise (Hess Deep), and for slow to intermediate spreading ridges from the Southwest Indian Ridge, Central Indian Ridge and Mid-Atlantic Ridge. These analyses expand the global abyssal peridotite Os isotope and HSE database, enabling evaluation of potential variations with spreading rate, from ultraslow (&lt;20 mm/yr, full spreading rate) to fast (135-150 mm/yr). Accounting for likely effects from seawater modification and serpentinization, the Pacific data reveals heterogeneous and sometimes significant melt depletion for PAR (3-23% melt depletion; Os-187/Os-188 from 0.1189 to 0.1336, average = 0.1267 +/- 0.0065; 2SD) and Hess Deep abyssal peridotites (15-20% melt depletion; 0.1247 +/- 0.0027). Abyssal peridotites from fast to intermediate spreading ridges reveal no systematic differences in the distribution and behavior of the HSE or Os isotopes, or in degrees of melt depletion, compared with slow to ultraslow spreading ridges. These observations arise despite significant differences in melt generation processes at mid-ocean ridges, suggesting that the effects of ancient melt depletion are more profound on HSE compositions in abyssal peridotites than modern melting beneath ridges. Using global abyssal peridotites with Al2O3 content &gt; 2 wt.%, the average composition of the primitive mantle is 0.3 ppb Re, 4.9 ppb Pd, 7.1 ppb Pt, 7.2 ppb Ru, 3.8 ppb Ir and Os, showing no Pd/Ir, but a positive Ru/Ir anomaly, relative to chondrites. There is similar to 50% variation of the HSE abundances in the oceanic mantle, with much of this variation being observed at small length scales (&lt;1 km) and due entirely to both modern and more ancient partial melting effects. Consequently, any significant HSE heterogeneities formed during late accretion or early Earth differentiation processes are no longer recognizable in the mantle sampled within ocean basins, implying generally efficient mixing of Earth's mantle for these elements. By contrast, relatively ancient heterogeneity in Os and other radiogenic isotopes has been effectively preserved in the convecting mantle over the last similar to 2 Ga, through recycling processes and through preservation and isolation of melt-depleted refractory residues. (C) 2021 Elsevier Ltd. All rights reserved.</t>
  </si>
  <si>
    <t>[Paquet, Marine; Day, James M. D.; Brown, Diana B.; Waters, Christopher L.] Univ Calif San Diego, Scripps Inst Oceanog, La Jolla, CA 92093 USA; [Paquet, Marine] Univ Paris, Inst Phys Globe Paris, UMR 7154 CNRS, 1 Rue Jussieu, F-75238 Paris, France</t>
  </si>
  <si>
    <t>University of California System; University of California San Diego; Scripps Institution of Oceanography; Centre National de la Recherche Scientifique (CNRS); CNRS - National Institute for Earth Sciences &amp; Astronomy (INSU); Universite Paris Cite</t>
  </si>
  <si>
    <t>Paquet, M (corresponding author), Univ Calif San Diego, Scripps Inst Oceanog, La Jolla, CA 92093 USA.</t>
  </si>
  <si>
    <t>mpaquet@ucsd.edu; jmdday@ucsd.edu</t>
  </si>
  <si>
    <t>; Day, James/A-5099-2010</t>
  </si>
  <si>
    <t>PAQUET, Marine/0000-0001-6274-5559; Day, James/0000-0001-9520-3465</t>
  </si>
  <si>
    <t>University of California San Diego Academic Senate Award; NSF Petrology and Geochemistry program [NSF EAR 1447130, EAR 1918322]</t>
  </si>
  <si>
    <t>University of California San Diego Academic Senate Award; NSF Petrology and Geochemistry program(National Science Foundation (NSF)NSF - Directorate for Geosciences (GEO))</t>
  </si>
  <si>
    <t>This work was largely supported by a University of California San Diego Academic Senate Award, and in part, by the NSF Petrology and Geochemistry program (NSF EAR 1447130 and EAR 1918322 to JMDD) . We are grateful to Alex Hangsterfer (SIO Geological Collections) for assistance with sample curation. Dean Poeppe and Garrett Stewart are thanked for assistance with sample preparation. Constructive comments from David van Acken, the Associate Editor, Andreas Stracke, and two anonymous reviewers are gratefully acknowledged.</t>
  </si>
  <si>
    <t>10.1016/j.gca.2021.09.033</t>
  </si>
  <si>
    <t>XO3MK</t>
  </si>
  <si>
    <t>WOS:000730092400009</t>
  </si>
  <si>
    <t>Trathan, PN; Warwick-Evans, V; Young, EF; Friedlaender, A; Kim, JH; Kokubun, N</t>
  </si>
  <si>
    <t>Trathan, P. N.; Warwick-Evans, V; Young, E. F.; Friedlaender, A.; Kim, J. H.; Kokubun, N.</t>
  </si>
  <si>
    <t>The ecosystem approach to management of the Antarctic krill fishery-the 'devils are in the detail' at small spatial and temporal scales</t>
  </si>
  <si>
    <t>JOURNAL OF MARINE SYSTEMS</t>
  </si>
  <si>
    <t>Antarctic krill; Krill-dependent predators; Predator krill consumption; Oceanography; Krill flux; Ecosystem approach to fishery management</t>
  </si>
  <si>
    <t>SOUTH SHETLAND ISLANDS; EUPHAUSIA-SUPERBA; MACARONI PENGUINS; ATLANTIC SECTOR; CLIMATE-CHANGE; BRANSFIELD STRAIT; MARINE ECOSYSTEM; FIN WHALES; SEA-ICE; OCEAN</t>
  </si>
  <si>
    <t>Fishery demand for Antarctic krill is increasing, and projected to continue increasing into the future. Krill has the potential to contribute approximately 10% to all future marine landings, adding significantly to global food security. However, the fishery is effectively data-limited so is currently managed using precautionary assess-ments that relate to large spatial and temporal scales that preclude the need for fine-scale ecological data. To respond to recent changes in fishery operation and to mitigate possible ecological impacts, the Commission for the Conservation of Antarctic Marine Living Resources (CCAMLR) plans to revise its management strategy so that it takes into account ecosystem operation at smaller spatial and temporal scales, such as those relevant to krill-dependent predators. Here, we consider how catches in coastal areas potentially present challenges for these predators, where cumulative catches over the fishing season can sometimes be greater than local consumption by predators, and sometimes greater than the standing stock of krill within an area because of krill transport and replenishment by ocean currents. Protecting feeding areas used by land-based predators such as penguins and seals, whilst also offering a high level of protection for pelagic predators such as some species of fish and recovering populations of cetaceans, will require innovative solutions. We highlight critical ecological research needed to reduce management uncertainty. This is important as we demonstrate that krill consumption by predators in near-shore coastal habitats relies absolutely upon krill movement and oceanographic transport. We also highlight the need to improve understanding about krill behaviour, especially in relation to observed seasonal changes in krill biomass. Finally, we highlight that without up-to-date data about changes in krill, krill-dependent predator populations and their oceanographic environ-ment, management will remain challenging in the context of increasing fishing pressure, recovering populations of marine mammals and a changing climate.</t>
  </si>
  <si>
    <t>[Trathan, P. N.; Warwick-Evans, V; Young, E. F.] British Antarctic Survey, Madingley Rd, Cambridge CB3 0ET, England; [Friedlaender, A.] Univ Calif Santa Cruz, Inst Marine Sci, 115 McAllister Way, Santa Cruz, CA 95060 USA; [Kim, J. H.] Korean Polar Res Inst, 26 Songdomirae Ro, Incheon 406840, South Korea; [Kokubun, N.] Natl Inst Polar Res, 10-3 Midori Cho, Tokyo 1908518, Japan</t>
  </si>
  <si>
    <t>UK Research &amp; Innovation (UKRI); Natural Environment Research Council (NERC); NERC British Antarctic Survey; University of California System; University of California Santa Cruz; Research Organization of Information &amp; Systems (ROIS); National Institute of Polar Research (NIPR) - Japan</t>
  </si>
  <si>
    <t>Trathan, PN (corresponding author), British Antarctic Survey, Madingley Rd, Cambridge CB3 0ET, England.</t>
  </si>
  <si>
    <t>pnt@bas.ac.uk</t>
  </si>
  <si>
    <t>Young, Emma/0000-0002-7069-6109</t>
  </si>
  <si>
    <t>Darwin Plus [DPLUS009, DPLUS054, DPLUS072]; UK Foreign and Commonwealth Office</t>
  </si>
  <si>
    <t>Darwin Plus; UK Foreign and Commonwealth Office</t>
  </si>
  <si>
    <t>This paper forms a contribution to the BAS Ecosystems programme. The project was funded by Darwin Plus under grants DPLUS009, DPLUS054 and DPLUS072. We thank Wayne Trivelpiece, Sue Trivelpiece and Jefferson Hinke for providing penguin data from Cape Shirreff and Admiralty Bay. The UK Foreign and Commonwealth Office funded the oceanographic model development, which used the ARCHER UK (www.archer.ac.uk) National Supercomputing Service. J.M. van Wessem provided RACMO output. We thank the CCAMLR Secretariat and those CCAMLR Members that provided access to C1 catch and effort data. PNT would like to thank Harriet Gillett, as well as Eugene Murphy, George Watters and Andrew Constable as well as other colleagues from within both BAS and CCAMLR for exciting and challenging discussions over many years.</t>
  </si>
  <si>
    <t>0924-7963</t>
  </si>
  <si>
    <t>1879-1573</t>
  </si>
  <si>
    <t>J MARINE SYST</t>
  </si>
  <si>
    <t>J. Mar. Syst.</t>
  </si>
  <si>
    <t>10.1016/j.jmarsys.2021.103598</t>
  </si>
  <si>
    <t>Geosciences, Multidisciplinary; Marine &amp; Freshwater Biology; Oceanography</t>
  </si>
  <si>
    <t>Geology; Marine &amp; Freshwater Biology; Oceanography</t>
  </si>
  <si>
    <t>XO3ZT</t>
  </si>
  <si>
    <t>WOS:000730127400001</t>
  </si>
  <si>
    <t>Anilkumar, N; Jena, B; George, JV; Ravichandran, M</t>
  </si>
  <si>
    <t>Anilkumar, N.; Jena, Babula; George, Jenson V.; Ravichandran, M.</t>
  </si>
  <si>
    <t>Recent Freshening, Warming, and Contraction of the Antarctic Bottom Water in the Indian Sector of the Southern Ocean</t>
  </si>
  <si>
    <t>Antarctic Bottom Water (AABW); freshening; contraction; Circumpolar Deep Water (CDW); sea ice</t>
  </si>
  <si>
    <t>SEA-LEVEL RISE; PRYDZ BAY; GLOBAL HEAT; ICE; DEEP; POLYNYA; ABYSSAL; CIRCULATION; SENSITIVITY; FLUX</t>
  </si>
  <si>
    <t>High saline and cold Antarctic Bottom Water (AABW) forms around the continental margin of Antarctica that ventilates into the global ocean. To study the recent changes in AABW, we have analyzed the in situ observations collected from Indian Ocean expeditions to the Southern Ocean during 2010, 2011, 2017, 2018, and 2020. A comprehensive analysis of these observations indicated recent freshening, warming, and contraction in the layer thickness of the AABW. Even though the AABW depicted inter-annual variability, it changed to moderately fresher and lighter water mass at the end of the recent decade. The characteristics of AABW exhibited a contraction in its layer thickness (similar to 50-120 m) during recent years. The water mass showed its freshening (similar to 0.002) and warming (similar to 0.04 degrees C) tendency from 2018 to 2020. The recent warming (similar to 0.3 degrees C) of Circumpolar Deep Water (CDW) near the Prydz Bay suggests enhanced melting of ice shelves. It is hypothesized that the combined influences of onshore intrusion of warm CDW, upper ocean warming, sea ice decline, wind forcing, polynya, and calving events possibly caused the freshening and reduction in the thickness of AABW. The continued changes in the ocean-atmospheric environmental conditions and the subsequent changes in the bottom water characteristics likely influence the global climate, overturning circulation, and the biogeochemical cycle.</t>
  </si>
  <si>
    <t>[Anilkumar, N.; Jena, Babula; George, Jenson V.; Ravichandran, M.] Minist Earth Sci, Natl Ctr Polar &amp; Ocean Res NCPOR, Vasco Da Gama, India</t>
  </si>
  <si>
    <t>Ministry of Earth Sciences (MoES) - India; National Centre for Polar and Ocean Research (NCPOR)</t>
  </si>
  <si>
    <t>Anilkumar, N (corresponding author), Minist Earth Sci, Natl Ctr Polar &amp; Ocean Res NCPOR, Vasco Da Gama, India.</t>
  </si>
  <si>
    <t>anil@ncpor.res.in</t>
  </si>
  <si>
    <t>George, Jenson/GXH-1342-2022</t>
  </si>
  <si>
    <t>Ministry of Earth Sciences (MoES); NCPOR [J-51/2021-22]</t>
  </si>
  <si>
    <t>Ministry of Earth Sciences (MoES); NCPOR</t>
  </si>
  <si>
    <t>This research was supported by the Ministry of Earth Sciences and NCPOR (Government of India).</t>
  </si>
  <si>
    <t>10.3389/fmars.2021.730630</t>
  </si>
  <si>
    <t>XI5XH</t>
  </si>
  <si>
    <t>WOS:000726183600001</t>
  </si>
  <si>
    <t>Weber, ME; Golledge, NR; Fogwill, CJ; Turney, CSM; Thomas, ZA</t>
  </si>
  <si>
    <t>Weber, Michael E.; Golledge, Nicholas R.; Fogwill, Chris J.; Turney, Chris S. M.; Thomas, Zoe A.</t>
  </si>
  <si>
    <t>Decadal-scale onset and termination of Antarctic ice-mass loss during the last deglaciation</t>
  </si>
  <si>
    <t>PINE ISLAND GLACIER; SEA-LEVEL RISE; TIPPING POINTS; SHEET; CLIMATE; OCEAN; VARIABILITY; COLLAPSE; DRIVEN; CHRONOLOGY</t>
  </si>
  <si>
    <t>It may have taken only a decade to repeatedly destabilize the Antarctic Ice Sheet after the last Ice Age as shown by a new data-model study. The ice sheet lost ice for centuries each time before it abruptly re-stabilized again. Emerging ice-sheet modeling suggests once initiated, retreat of the Antarctic Ice Sheet (AIS) can continue for centuries. Unfortunately, the short observational record cannot resolve the tipping points, rate of change, and timescale of responses. Iceberg-rafted debris data from Iceberg Alley identify eight retreat phases after the Last Glacial Maximum that each destabilized the AIS within a decade, contributing to global sea-level rise for centuries to a millennium, which subsequently re-stabilized equally rapidly. This dynamic response of the AIS is supported by (i) a West Antarctic blue ice record of ice-elevation drawdown &gt;600 m during three such retreat events related to globally recognized deglacial meltwater pulses, (ii) step-wise retreat up to 400 km across the Ross Sea shelf, (iii) independent ice sheet modeling, and (iv) tipping point analysis. Our findings are consistent with a growing body of evidence suggesting the recent acceleration of AIS mass loss may mark the beginning of a prolonged period of ice sheet retreat and substantial global sea level rise.</t>
  </si>
  <si>
    <t>[Weber, Michael E.] Univ Bonn, Inst Geosci, Dept Geochem &amp; Petrol, Bonn, Germany; [Golledge, Nicholas R.] Victoria Univ Wellington, Antarctic Res Ctr, Wellington, New Zealand; [Fogwill, Chris J.] Univ Keele, Sch Geog Geol &amp; Environm, Keele, Staffs, England; [Turney, Chris S. M.; Thomas, Zoe A.] Univ New South Wales, Earth &amp; Sustainabil Sci Res Ctr, Sch Biol Earth &amp; Environm Sci, Sydney, NSW, Australia; [Turney, Chris S. M.; Thomas, Zoe A.] Univ New South Wales, ARC Ctr Excellence Australian Biodivers &amp; Heritag, Sch Biol Earth &amp; Environm Sci, Sydney, NSW, Australia</t>
  </si>
  <si>
    <t>University of Bonn; Victoria University Wellington; Keele University; University of New South Wales Sydney; University of New South Wales Sydney</t>
  </si>
  <si>
    <t>Weber, ME (corresponding author), Univ Bonn, Inst Geosci, Dept Geochem &amp; Petrol, Bonn, Germany.</t>
  </si>
  <si>
    <t>mike.weber@uni-bonn.de</t>
  </si>
  <si>
    <t>Weber, Michael E/G-8707-2012; Turney, Chris/P-8701-2018; Thomas, Zoe/D-1656-2016</t>
  </si>
  <si>
    <t>Weber, Michael E/0000-0003-2175-8980; Fogwill, Christopher/0000-0002-6471-1106; Golledge, Nicholas/0000-0001-7676-8970; Turney, Chris/0000-0001-6733-0993; Thomas, Zoe/0000-0002-2323-4366</t>
  </si>
  <si>
    <t>Deutsche Forschungsgemeinschaft (DFG-Priority Programme 527) [We2039/14-1]; Royal Society Te Aparangi [VUW1501]; Australian Research Council (ARC); ARC [DP210103621]; Linkage Partner Antarctic Logistics and Expeditions [LP120200724]; Australian Research Council [LP120200724] Funding Source: Australian Research Council</t>
  </si>
  <si>
    <t>Deutsche Forschungsgemeinschaft (DFG-Priority Programme 527)(German Research Foundation (DFG)); Royal Society Te Aparangi(Royal Society of New Zealand); Australian Research Council (ARC)(Australian Research Council); ARC(Australian Research Council); Linkage Partner Antarctic Logistics and Expeditions; Australian Research Council(Australian Research Council)</t>
  </si>
  <si>
    <t>Funding for this research was provided by the Deutsche Forschungsgemeinschaft (DFG-Priority Programme 527, Grant We2039/14-1 (M.E.W.). N.R.G is supported by fellowship VUW1501 from the Royal Society Te Aparangi. C.J.F. and C.S.M.T. and Z.A.T. are supported by their respective Australian Research Council (ARC) fellowships as well as ARC grant DP210103621 (to all). Fieldwork at the Patriot Hills site was undertaken under ARC Linkage Project (LP120200724), supported by Linkage Partner Antarctic Logistics and Expeditions whose support we gratefully acknowledge.</t>
  </si>
  <si>
    <t>10.1038/s41467-021-27053-6</t>
  </si>
  <si>
    <t>XA5JG</t>
  </si>
  <si>
    <t>WOS:000720682300074</t>
  </si>
  <si>
    <t>Fisher, BJ; Shiggins, CJ; Naylor, AW; Rawlins, LD; Tallentire, GD; van den Heuvel, F; Poku, C; García-Ibañez, MI; Debyser, M; Buckingham, J</t>
  </si>
  <si>
    <t>Fisher, Ben J.; Shiggins, Connor J.; Naylor, Angus W.; Rawlins, Lauren D.; Tallentire, Guy D.; van den Heuvel, Floor; Poku, Craig; Garcia-Ibanez, Maribel I.; Debyser, Margot; Buckingham, Jack</t>
  </si>
  <si>
    <t>Interventions to prevent pandemic-driven diversity loss</t>
  </si>
  <si>
    <t>The pandemic has badly affected the most diverse career stage in UK Earth sciences: early career researchers. Disrupted careers must be rescued with contingency plans, remote networks, a focus on mental health and mentor support if we are to retain diversity and talent.</t>
  </si>
  <si>
    <t>[Fisher, Ben J.; Debyser, Margot] Univ Edinburgh, Sch GeoSci, Edinburgh, Midlothian, Scotland; [Shiggins, Connor J.] Univ Liverpool, Sch Environm Sci, Dept Geog &amp; Planning, Liverpool, Merseyside, England; [Naylor, Angus W.] Univ Leeds, Priestley Int Ctr Climate, Leeds, W Yorkshire, England; [Naylor, Angus W.] Univ Leeds, Sch Earth &amp; Environm, Leeds, W Yorkshire, England; [Rawlins, Lauren D.] Univ York, Dept Environm &amp; Geog, York, N Yorkshire, England; [Tallentire, Guy D.] Loughborough Univ, Geog &amp; Environm, Loughborough, Leics, England; [van den Heuvel, Floor] British Antarctic Survey, Cambridge, England; [Poku, Craig] Univ York, Dept Chem, York, N Yorkshire, England; [Garcia-Ibanez, Maribel I.] Univ East Anglia, Sch Environm Sci, Ctr Ocean &amp; Atmospher Sci, Norwich, Norfolk, England; [Buckingham, Jack] Univ Hull, Energy &amp; Environm Inst, Kingston Upon Hull, N Humberside, England</t>
  </si>
  <si>
    <t>University of Edinburgh; University of Liverpool; University of Leeds; University of Leeds; University of York - UK; Loughborough University; UK Research &amp; Innovation (UKRI); Natural Environment Research Council (NERC); NERC British Antarctic Survey; University of York - UK; University of East Anglia; University of Hull</t>
  </si>
  <si>
    <t>Fisher, BJ (corresponding author), Univ Edinburgh, Sch GeoSci, Edinburgh, Midlothian, Scotland.</t>
  </si>
  <si>
    <t>Ben.Fisher@ed.ac.uk</t>
  </si>
  <si>
    <t>Shiggins, Connor/HTQ-8515-2023; García-Ibáñez, Maribel I./AAE-1798-2019</t>
  </si>
  <si>
    <t>García-Ibáñez, Maribel I./0000-0001-5218-0064; Fisher, Ben/0000-0001-7113-2818; Tallentire, Guy/0000-0002-0389-6581; Rawlins, Lauren/0000-0001-7538-7228; Shiggins, Connor/0000-0001-8249-921X; Naylor, Angus/0000-0003-0286-6484</t>
  </si>
  <si>
    <t>10.1038/s43247-021-00310-8</t>
  </si>
  <si>
    <t>XA1RH</t>
  </si>
  <si>
    <t>Green Published, gold, Green Accepted</t>
  </si>
  <si>
    <t>WOS:000720432800002</t>
  </si>
  <si>
    <t>Schoombie, S; Connan, M; Dilley, BJ; Davies, D; Makhado, AB; Ryan, PG</t>
  </si>
  <si>
    <t>Schoombie, S.; Connan, M.; Dilley, B. J.; Davies, D.; Makhado, A. B.; Ryan, P. G.</t>
  </si>
  <si>
    <t>Non-breeding distribution, activity patterns and moulting areas of Sooty Albatrosses (Phoebetria fusca) inferred from geolocators, satellite trackers and biochemical markers</t>
  </si>
  <si>
    <t>Stable isotopes; Prince Edward Islands; Activity data; Southern Ocean; Lunar cycles</t>
  </si>
  <si>
    <t>STABLE-ISOTOPE ANALYSES; WANDERING ALBATROSS; POPULATION TRENDS; NONBREEDING ALBATROSSES; SYMPATRIC ALBATROSSES; GIANT PETRELS; HABITAT USE; AT-SEA; TRACKING; LIFE</t>
  </si>
  <si>
    <t>Sooty Albatrosses (Phoebetria fusca; Endangered) are biennially breeding birds with successful breeders typically spending at least 15 months at-sea ('sabbatical') before returning to their breeding grounds on sub-Antarctic islands. Stable isotope analysis of feathers suggests that non-breeding adult Sooty Albatrosses moult in sub-tropical waters, north of the Sub-Tropical Front (STF). The Prince Edward Islands (Marion and Prince Edward) provide nesting grounds for ca 24% of the world's Sooty Albatrosses. We tracked 20 adult Sooty Albatrosses from Marion Island with geolocators (GLS loggers) and satellite transmitters (PTT) during their non-breeding sabbaticals between 2008 and 2014. Stable isotope analysis also was performed on feathers collected from GLS-tracked birds upon device retrieval. Adult birds mostly remained within international waters in the southern Indian Ocean during their sabbatical period, splitting their time between sub-tropical and sub-Antarctic waters. Sooty Albatrosses were more active during the day on average but spent similar time in flight during full moon periods. Periods of reduced flight activity, measured by time on water, suggest that moulting occurs mainly around the STF. Breeding success influenced moult phenology, with unsuccessful birds moulting in late summer, immediately following a failed breeding attempt (Feb-Mar), whilst successful breeders moulted early the following summer (Oct-Dec). Failed breeders spent more time flying between breeding attempts than successful breeders, particularly whilst moulting. Our study identifies key areas utilised by non-breeding Sooty Albatrosses, which is critical to implement appropriate management strategies that may help population recovery of this endangered species.</t>
  </si>
  <si>
    <t>[Schoombie, S.; Dilley, B. J.; Davies, D.; Makhado, A. B.; Ryan, P. G.] Univ Cape Town, DST NRF Ctr Excellence, FitzPatrick Inst African Ornithol, ZA-7701 Rondebosch, South Africa; [Connan, M.] Nelson Mandela Univ, Inst Coastal &amp; Marine Res, Dept Zool, Marine Apex Predator Res Unit, ZA-6031 Port Elizabeth, South Africa; [Makhado, A. B.] Dept Forestry Fisheries &amp; Environm, Branch Oceans &amp; Coasts, POB 52126, ZA-8000 Cape Town, South Africa</t>
  </si>
  <si>
    <t>National Research Foundation - South Africa; University of Cape Town; Nelson Mandela University</t>
  </si>
  <si>
    <t>Schoombie, S (corresponding author), Univ Cape Town, DST NRF Ctr Excellence, FitzPatrick Inst African Ornithol, ZA-7701 Rondebosch, South Africa.</t>
  </si>
  <si>
    <t>schoombie@gmail.com</t>
  </si>
  <si>
    <t>Connan, Maelle/A-8468-2008</t>
  </si>
  <si>
    <t>Connan, Maelle/0000-0002-1308-9118</t>
  </si>
  <si>
    <t>FitzPatrick Institute Centre of Excellence; South African National Antarctic Programme, through the National Research Foundation</t>
  </si>
  <si>
    <t>Funding was provided by the FitzPatrick Institute Centre of Excellence and the South African National Antarctic Programme, through the National Research Foundation.</t>
  </si>
  <si>
    <t>10.1007/s00300-021-02969-3</t>
  </si>
  <si>
    <t>WOS:000720265800001</t>
  </si>
  <si>
    <t>Ball, BA; Convey, P; Feeser, KL; Nielsen, UN; Van Horn, DJ</t>
  </si>
  <si>
    <t>Ball, Becky A.; Convey, Peter; Feeser, Kelli L.; Nielsen, Uffe N.; Van Horn, David J.</t>
  </si>
  <si>
    <t>Environmental harshness mediates the relationship between aboveground and belowground communities in Antarctica</t>
  </si>
  <si>
    <t>SOIL BIOLOGY &amp; BIOCHEMISTRY</t>
  </si>
  <si>
    <t>Antarctic Peninsula; Soil biodiversity; Aboveground-belowground linkages; Antarctic vegetation; Soil microbial communities; Soil invertebrates</t>
  </si>
  <si>
    <t>PLANT-SOIL FEEDBACK; CLIMATE-CHANGE; VASCULAR PLANTS; SIGNY ISLAND; DIVERSITY; RESPONSES; RANGE; MICROORGANISMS; BIODIVERSITY; TEMPERATURE</t>
  </si>
  <si>
    <t>Linkages between aboveground and belowground communities are a key but globally under-researched component of responses to environmental change. Given the logistical complications to studying these relationships, much of our knowledge derives from laboratory experiments and localized field studies which have so far yielded inconsistent results. Because environmental factors may alter relationships between above- and belowground communities, there is a need for broad-scale field studies testing these interactions. The Antarctic Peninsula provides an ideal test setting, given the relatively simple communities both above- and belowground. The Peninsula is also experiencing rapid environmental changes, including alterations in species diversity and distribution both above- and belowground. Thus, an improved understanding of the broad-scale consequences of altered environments and vegetation communities for the soil microbiome is of high priority. To determine the nature and strength of the relationship between in situ plant and soil communities across a broad spatial scale and range of environmental conditions, we sampled soil communities at 9 locations (spanning 60-72 degrees S along the Scotia Arc and Antarctic Peninsula) beneath the major aboveground habitats (moss, grass, lichen, algae and bare soil). We measured a comprehensive suite of soil physicochemical properties, microbial (bacterial and fungal) diversity and composition, and invertebrate abundance and community composition to determine the relationships between plant and soil communities. Our results suggest that, with increased environmental severity, plant cover types become more important for influencing the physicochemical soil environment, and therefore the soil microbial communities. Although we found site-specific relationships, broad-scale patterns reveal significant differences among bare soils and vegetated soils, particularly soils beneath grass and moss. This suggests that expansion of vegetation communities under current climate warming projections will be accompanied by shifts in the soil microbiome, with important implications for the ecosystem functioning with which they are associated.</t>
  </si>
  <si>
    <t>[Ball, Becky A.] Arizona State Univ, Sch Math &amp; Nat Sci, West Campus,1407 W Thunderbird Rd, Glendale, AZ 85306 USA; [Convey, Peter] NERC, British Antarctic Survey, Cambridge, England; [Convey, Peter] Univ Johannesburg, Dept Zool, Auckland Pk, South Africa; [Feeser, Kelli L.; Van Horn, David J.] Univ New Mexico, Dept Biol, Albuquerque, NM 87131 USA; [Feeser, Kelli L.] Los Alamos Natl Lab, Biosci Div, Los Alamos, NM USA; [Nielsen, Uffe N.] Western Sydney Univ, Hawkesbury Inst Environm, Sydney, NSW, Australia</t>
  </si>
  <si>
    <t>Arizona State University; UK Research &amp; Innovation (UKRI); Natural Environment Research Council (NERC); NERC British Antarctic Survey; University of Johannesburg; University of New Mexico; United States Department of Energy (DOE); Los Alamos National Laboratory; Western Sydney University</t>
  </si>
  <si>
    <t>Ball, BA (corresponding author), Arizona State Univ, Sch Math &amp; Nat Sci, West Campus,1407 W Thunderbird Rd, Glendale, AZ 85306 USA.</t>
  </si>
  <si>
    <t>becky.ball@asu.edu</t>
  </si>
  <si>
    <t>Feeser, Kelli/ABG-2814-2021; Ball, Becky A/E-6573-2011; Convey, Peter/AAV-5728-2020</t>
  </si>
  <si>
    <t>Feeser, Kelli/0000-0002-4144-0294; Ball, Becky A/0000-0001-8592-1316; Convey, Peter/0000-0001-8497-9903</t>
  </si>
  <si>
    <t>National Science Foundation's Division of Polar Programs [NSF PLR-1341429, NSF PLR-1341427]; NERC; NERC [bas0100036] Funding Source: UKRI</t>
  </si>
  <si>
    <t>National Science Foundation's Division of Polar Programs; NERC(UK Research &amp; Innovation (UKRI)Natural Environment Research Council (NERC)); NERC(UK Research &amp; Innovation (UKRI)Natural Environment Research Council (NERC))</t>
  </si>
  <si>
    <t>This research was supported by National Science Foundation's Division of Polar Programs grants to PIs Ball (NSF PLR-1341429) and Van Horn (NSF PLR-1341427). Logistical support was provided by the US Antarctic Program and British Antarctic Survey. We thank the staff at Rothera Station (2014-15 season: Roger Stillwell and the FGA team, Ali Massey, the pilots and boatmen who carted us around, and residents who enthusiastically provided empty cans for our Tullgren funnels) and crew of R/V Laurence M. Gould (2016 season: MT's Garett Eisele, Tom Sigmond, and Mike Lewis, ET David Branson, and MLT Cindy Dean) for their wonderful support. We thank students Ammar Abidali, Shannon Archuleta, Paul Cattelino, Nadia Colombi, Emily Habinck, Christopher Hughes, Ana Khan, Giles Ross, and Connor Wetzel-Brown for their help in the field and lab. Cathy Kochert, Roy Erickson, and Sara Ryan at the Goldwater Environmental Lab at ASU provided analytical services. Peter Convey is supported by NERC core funding to the BAS 'Biodiversity, Evolution and Adaptation' Team.</t>
  </si>
  <si>
    <t>0038-0717</t>
  </si>
  <si>
    <t>1879-3428</t>
  </si>
  <si>
    <t>SOIL BIOL BIOCHEM</t>
  </si>
  <si>
    <t>Soil Biol. Biochem.</t>
  </si>
  <si>
    <t>10.1016/j.soilbio.2021.108493</t>
  </si>
  <si>
    <t>Soil Science</t>
  </si>
  <si>
    <t>Agriculture</t>
  </si>
  <si>
    <t>XF6FB</t>
  </si>
  <si>
    <t>WOS:000724163700005</t>
  </si>
  <si>
    <t>Boyd, PW; Kennedy, F</t>
  </si>
  <si>
    <t>Boyd, Philip W.; Kennedy, Fraser</t>
  </si>
  <si>
    <t>Microbes in a sea of sinking particles</t>
  </si>
  <si>
    <t>NATURE MICROBIOLOGY</t>
  </si>
  <si>
    <t>SEQUESTRATION; FLUX</t>
  </si>
  <si>
    <t>Mimicking microbial degradation of sinking marine particles in the laboratory reveals a complex relationship between settling and decomposition rates that informs our view on how the ocean's biological carbon pump is controlled.</t>
  </si>
  <si>
    <t>[Boyd, Philip W.; Kennedy, Fraser] Univ Tasmania, Inst Marine &amp; Antarctic Studies, Hobart, Tas, Australia</t>
  </si>
  <si>
    <t>Boyd, PW (corresponding author), Univ Tasmania, Inst Marine &amp; Antarctic Studies, Hobart, Tas, Australia.</t>
  </si>
  <si>
    <t>philip.boyd@utas.edu.au</t>
  </si>
  <si>
    <t>Boyd, Philip/J-7624-2014</t>
  </si>
  <si>
    <t>Boyd, Philip/0000-0001-7850-1911; Kennedy, Fraser/0000-0003-1796-0764</t>
  </si>
  <si>
    <t>2058-5276</t>
  </si>
  <si>
    <t>NAT MICROBIOL</t>
  </si>
  <si>
    <t>NAT. MICROBIOL</t>
  </si>
  <si>
    <t>10.1038/s41564-021-01005-8</t>
  </si>
  <si>
    <t>XC8PW</t>
  </si>
  <si>
    <t>WOS:000719707500001</t>
  </si>
  <si>
    <t>Foddai, M; Carter, CG; Hilder, PE; Gurr, H; Ruff, N</t>
  </si>
  <si>
    <t>Foddai, Marco; Carter, Chris G.; Hilder, Pollyanna E.; Gurr, Harley; Ruff, Nicole</t>
  </si>
  <si>
    <t>Combined effects of elevated rearing temperature and dietary energy level on heart morphology and growth performance of Tasmanian Atlantic salmon (Salmo salar L.)</t>
  </si>
  <si>
    <t>JOURNAL OF FISH DISEASES</t>
  </si>
  <si>
    <t>aquaculture; Atlantic salmon; cardiac morphology; epicardial fat; heart ventricle; warmer temperature</t>
  </si>
  <si>
    <t>RAINBOW-TROUT; FEED-UTILIZATION; ADIPOSE-TISSUE; FAT LEVEL; SWIMMING PERFORMANCE; NUTRIENT UTILIZATION; EPICARDIAL FAT; BROWN TROUT; FISH SIZE; PROTEIN</t>
  </si>
  <si>
    <t>Cardiac abnormalities may pose a threat to salmonid aquaculture due to their potential detrimental effect on fish health and welfare. The teleost heart is an extremely plastic organ with important morphological differences between wild and farmed fish that include ventricular shape, alignment of the bulbus arteriosus and epicardial fat deposition. However, little is known about how different factors and interactions among them may affect cardiac morphology of Atlantic salmon. To determine whether rearing temperature could induce cardiac malformations in large Tasmanian Atlantic salmon, we examined a range of cardiac morphology indicators and growth parameters in a population of 1-2 kg seawater salmon (n = 60 temperature(-1) diet(-1)) exposed to control and elevated temperatures of 15 and 19 degrees C, respectively, while fed one of two commercial feeds with different dietary energy levels. Most fish possessed conspicuous fat around the heart with a tendency towards a rounded ventricle and a more obtuse angle of the bulbus arteriosus. However, fish showed no significant differences in heart shape and bulbus alignment in relation to water temperature and dietary energy. These results suggest that cardiac morphology of large Atlantic salmon is unlikely to be affected by rearing temperature and dietary energy during the grow-out phase.</t>
  </si>
  <si>
    <t>[Foddai, Marco; Carter, Chris G.; Hilder, Pollyanna E.; Gurr, Harley; Ruff, Nicole] Univ Tasmania, Inst Marine &amp; Antarctic Studies IMAS, 15-21 Nubeena Crescent, Taroona, Tas 7053, Australia; [Ruff, Nicole] Skretting Australia, Cambridge, Tas, Australia</t>
  </si>
  <si>
    <t>Foddai, M (corresponding author), Univ Tasmania, Inst Marine &amp; Antarctic Studies IMAS, 15-21 Nubeena Crescent, Taroona, Tas 7053, Australia.</t>
  </si>
  <si>
    <t>marco.foddai@utas.edu.au</t>
  </si>
  <si>
    <t>Carter, Chris Guy/A-3438-2008</t>
  </si>
  <si>
    <t>Carter, Chris Guy/0000-0001-5210-1282; Foddai, Marco/0000-0001-5715-6004</t>
  </si>
  <si>
    <t>Institute for Marine and Antarctic Studies (IMAS); Skretting Australia</t>
  </si>
  <si>
    <t>0140-7775</t>
  </si>
  <si>
    <t>1365-2761</t>
  </si>
  <si>
    <t>J FISH DIS</t>
  </si>
  <si>
    <t>J. Fish Dis.</t>
  </si>
  <si>
    <t>10.1111/jfd.13555</t>
  </si>
  <si>
    <t>Fisheries; Marine &amp; Freshwater Biology; Veterinary Sciences</t>
  </si>
  <si>
    <t>YE9RD</t>
  </si>
  <si>
    <t>WOS:000719439900001</t>
  </si>
  <si>
    <t>Tatsumi, M; Mabin, CJT; Layton, C; Shelamoff, V; Cameron, MJ; Johnson, CR; Wright, JT</t>
  </si>
  <si>
    <t>Tatsumi, Masayuki; Mabin, Christopher J. T.; Layton, Cayne; Shelamoff, Victor; Cameron, Matthew J.; Johnson, Craig R.; Wright, Jeffrey T.</t>
  </si>
  <si>
    <t>Density-dependence and seasonal variation in reproductive output and sporophyte production in the kelp, Ecklonia radiata</t>
  </si>
  <si>
    <t>JOURNAL OF PHYCOLOGY</t>
  </si>
  <si>
    <t>density-dependent; Ecklonia radiata; ecosystem engineer; kelp; recruitment; reproduction; zoospores</t>
  </si>
  <si>
    <t>HABITAT-FORMING KELP; POPULATION BIOLOGY; MAXIMA ALARIACEAE; ALGAL ASSEMBLAGE; NEUTRAL LIPIDS; LIFE-HISTORY; ECOSYSTEM; TEMPERATURE; SURVIVAL; CANOPY</t>
  </si>
  <si>
    <t>The kelp, Ecklonia radiata, is an abundant subtidal ecosystem engineer in southern Australia. Density-dependent changes in the abiotic environment engineered by Ecklonia may feedback to affect reproduction and subsequent recruitment. Here, we examined: 1) how the reproductive capacity of Ecklonia individuals in the field (zoospores released center dot mm(-2) reproductive tissue) varied with adult density and time, and 2) how the recruitment of microscopic gametophytes and sporophytes was influenced by zoospore density at two times. Zoospore production did not vary with adult density, with only one month out of ten sampled over a 2-y period showing a significant effect of density. However, zoospore production varied hugely over time, being generally highest in mid-autumn and lowest in mid-late summer. There were strong effects of initial zoospore density on gametophyte and sporophyte recruitment with both a minimum and an optimum zoospore density for sporophyte recruitment, but these varied in time. Almost no sporophytes developed when initial zoospore density was &lt;6.5 center dot mm(-2) in spring or &lt;0.5 center dot mm(-2) in winter with optimum densities of 90-355 center dot mm(-2) in spring and 21-261 center dot mm(-2) in winter, which resulted in relatively high recruitment of 4-7 sporophytes center dot mm(-2). Sporophyte recruitment declined at initial zoospore densities &gt;335 center dot mm(-2) in spring and &gt;261 center dot mm(-2) in winter and was zero at very high zoospore densities. These findings suggest that although adult Ecklonia density does not affect per-capita zoospore production, because there is a minimum zoospore density for sporophyte production, a decline in population-level output could feedback to impact recruitment.</t>
  </si>
  <si>
    <t>[Tatsumi, Masayuki; Mabin, Christopher J. T.; Layton, Cayne; Shelamoff, Victor; Cameron, Matthew J.; Johnson, Craig R.; Wright, Jeffrey T.] Univ Tasmania, Inst Marine &amp; Antarctic Studies IMAS, Hobart, Tas, Australia</t>
  </si>
  <si>
    <t>Tatsumi, M (corresponding author), Univ Tasmania, Inst Marine &amp; Antarctic Studies IMAS, Hobart, Tas, Australia.</t>
  </si>
  <si>
    <t>Masayuki.tatsumi@utas.edu.au</t>
  </si>
  <si>
    <t>Cameron, Matthew/AAE-2786-2020; Johnson, Craig/E-1788-2013; Wright, Jeffrey/J-7536-2014; Layton, Cayne/J-8443-2013</t>
  </si>
  <si>
    <t>Johnson, Craig/0000-0002-9511-905X; Wright, Jeffrey/0000-0002-1085-4582; Layton, Cayne/0000-0002-3390-6437</t>
  </si>
  <si>
    <t>Australian Research Council [DP130101113]; Australian Government; Institute for Marine and Antarctic Studies, University of Tasmania</t>
  </si>
  <si>
    <t>Australian Research Council(Australian Research Council); Australian Government(Australian Government); Institute for Marine and Antarctic Studies, University of Tasmania</t>
  </si>
  <si>
    <t>This research was supported by the Australian Research Council grant DP130101113. M. Tatsumi, C. Layton, V. Shelamoff, and C. Mabin were supported by Australian Government Postgraduate Awards. Further support was provided by the Institute for Marine and Antarctic Studies, University of Tasmania. The authors have no conflict of interest to declare.</t>
  </si>
  <si>
    <t>0022-3646</t>
  </si>
  <si>
    <t>1529-8817</t>
  </si>
  <si>
    <t>J PHYCOL</t>
  </si>
  <si>
    <t>J. Phycol.</t>
  </si>
  <si>
    <t>10.1111/jpy.13214</t>
  </si>
  <si>
    <t>Plant Sciences; Marine &amp; Freshwater Biology</t>
  </si>
  <si>
    <t>YR2SB</t>
  </si>
  <si>
    <t>Bronze</t>
  </si>
  <si>
    <t>WOS:000719368100001</t>
  </si>
  <si>
    <t>Keen, AN; Mackrill, JJ; Gardner, P; Shiels, HA</t>
  </si>
  <si>
    <t>Keen, Adam N.; Mackrill, John J.; Gardner, Peter; Shiels, Holly A.</t>
  </si>
  <si>
    <t>Compliance of the fish outflow tract is altered by thermal acclimation through connective tissue remodelling</t>
  </si>
  <si>
    <t>JOURNAL OF THE ROYAL SOCIETY INTERFACE</t>
  </si>
  <si>
    <t>bulbus arteriosus; stiffness; collagen; elastin; matrix metalloproteinase; Fourier transform infrared spectroscopy</t>
  </si>
  <si>
    <t>TUNA THUNNUS-ALBACARES; TROUT SALMO-GAIRDNERI; COLLAGEN TYPE-I; BULBUS-ARTERIOSUS; MATRIX METALLOPROTEINASES; VENTRICULAR HYPERTROPHY; TEMPERATURE-ACCLIMATION; ANTARCTIC TELEOSTS; BLOOD-FLOW; PRESSURE</t>
  </si>
  <si>
    <t>To protect the gill capillaries from high systolic pulse pressure, the fish heart contains a compliant non-contractile chamber called the bulbus arteriosus which is part of the outflow tract (OFT) which extends from the ventricle to the ventral aorta. Thermal acclimation alters the form and function of the fish atria and ventricle to ensure appropriate cardiac output at different temperatures, but its impact on the OFT is unknown. Here we used ex vivo pressure-volume curves to demonstrate remodelling of passive stiffness in the rainbow trout (Oncorhynchus mykiss) bulbus arteriosus following more than eight weeks of thermal acclimation to 5, 10 and 18 degrees C. We then combined novel, non-biased Fourier transform infrared spectroscopy with classic histological staining to show that changes in compliance were achieved by changes in tissue collagen-to-elastin ratio. In situ gelatin zymography and SDS-PAGE zymography revealed that collagen remodelling was underpinned, at least in part, by changes in activity and abundance of collagen degrading matrix metalloproteinases. Collectively, we provide the first indication of bulbus arteriosus thermal remodelling in a fish and suggest this remodelling ensures optimal blood flow and blood pressure in the OFT during temperature change.</t>
  </si>
  <si>
    <t>[Keen, Adam N.; Shiels, Holly A.] Univ Manchester, Fac Biol Med &amp; Hlth, Manchester, Lancs, England; [Keen, Adam N.] Univ Oxford, Radcliffe Dept Med, Cardiovasc Med, Oxford, England; [Mackrill, John J.] Univ Coll Cork, Dept Physiol, Cork, Cork, Ireland; [Gardner, Peter] Univ Manchester, Manchester Inst Biotechnol, Sch Chem Engn &amp; Analyt Sci, Manchester, Lancs, England</t>
  </si>
  <si>
    <t>University of Manchester; University of Oxford; University College Cork; University of Manchester</t>
  </si>
  <si>
    <t>Shiels, HA (corresponding author), Univ Manchester, Fac Biol Med &amp; Hlth, Manchester, Lancs, England.</t>
  </si>
  <si>
    <t>holly.shiels@manchester.ac.uk</t>
  </si>
  <si>
    <t>Keen, Adam/0000-0002-2187-5282; Shiels, Holly Alice/0000-0001-5223-5205</t>
  </si>
  <si>
    <t>BBSRC doctoral training partnership; Leverhulme Trust [240613]</t>
  </si>
  <si>
    <t>BBSRC doctoral training partnership(UK Research &amp; Innovation (UKRI)Biotechnology and Biological Sciences Research Council (BBSRC)); Leverhulme Trust(Leverhulme Trust)</t>
  </si>
  <si>
    <t>A.N.K. was funded by a BBSRC doctoral training partnership. The Shiels lab was supported by the Leverhulme Trust (240613).</t>
  </si>
  <si>
    <t>1742-5689</t>
  </si>
  <si>
    <t>1742-5662</t>
  </si>
  <si>
    <t>J R SOC INTERFACE</t>
  </si>
  <si>
    <t>J. R. Soc. Interface</t>
  </si>
  <si>
    <t>NOV 17</t>
  </si>
  <si>
    <t>10.1098/rsif.2021.0492</t>
  </si>
  <si>
    <t>WY5OC</t>
  </si>
  <si>
    <t>hybrid, Green Published</t>
  </si>
  <si>
    <t>WOS:000719327000002</t>
  </si>
  <si>
    <t>Dykyy, I; Bedernichek, T</t>
  </si>
  <si>
    <t>Dykyy, Ihor; Bedernichek, Tymur</t>
  </si>
  <si>
    <t>Gentoo Penguins (Pygoscelis papua) started using mosses as nesting material in the southernmost colony on the Antarctic Peninsula (Cape Tuxen, Graham Land)</t>
  </si>
  <si>
    <t>Maritime Antarctic; Argentine Islands; Nesting material; Gentoo Penguin; Nesting behaviour</t>
  </si>
  <si>
    <t>POPULATIONS</t>
  </si>
  <si>
    <t>The population of Gentoo Penguins (Pygoscelis papua) in the maritime Antarctic is rapidly increasing. Due to regional climate changes, they colonise previously inaccessible territories southwards. For more than a century, the southernmost colony of Gentoo Penguins was located on Petermann Island (Wilhelm Archipelago). Since 2002, several colonies were established nearby, including on Cape Tuxen (Graham Land), which is currently the southernmost breeding colony documented for this species on the Antarctic Peninsula. It increased from 100 nests in 2007 to 592 nests in 2020. Since a colony is located on the cliffs and there is a lack of pebbles, some breeding pairs started building their nests predominantly out of the nearby living mosses or moss banks. P. papua are known for using mosses as nesting material in the sub-Antarctic, but such nesting behaviour is new for southernmost colonies in the Antarctic. In this short note, we report such nests on the Cape Tuxen, provide photographs and discuss the possible impact on the terrestrial ecosystems.</t>
  </si>
  <si>
    <t>[Dykyy, Ihor] Ivan Franko Natl Univ Lviv, Dept Zool, Lvov, Ukraine; [Bedernichek, Tymur] MM Gryshko Natl Bot Garden, Dept Allelopathy, Kiev, Ukraine</t>
  </si>
  <si>
    <t>Ministry of Education &amp; Science of Ukraine; Ivan Franko National University Lviv; National Academy of Sciences Ukraine; MM Gryshko National Botanical Garden, NAS of Ukraine</t>
  </si>
  <si>
    <t>Dykyy, I (corresponding author), Ivan Franko Natl Univ Lviv, Dept Zool, Lvov, Ukraine.</t>
  </si>
  <si>
    <t>i.dykyy@gmail.com</t>
  </si>
  <si>
    <t>Dykyy, Ihor/JQV-4007-2023; Bedernichek, Tymur/A-1255-2010</t>
  </si>
  <si>
    <t>Dykyy, Ihor/0000-0003-3625-8567; Bedernichek, Tymur/0000-0003-2954-0118</t>
  </si>
  <si>
    <t>State Institution National Antarctic Scientific Center of the Ministry of Education and Science of Ukraine</t>
  </si>
  <si>
    <t>This study was supported by the State Institution National Antarctic Scientific Center of the Ministry of Education and Science of Ukraine.</t>
  </si>
  <si>
    <t>10.1007/s00300-021-02968-4</t>
  </si>
  <si>
    <t>WOS:000719800600001</t>
  </si>
  <si>
    <t>Marsh, SME; Hoffmann, M; Burgess, ND; Brooks, TM; Challender, DWS; Cremona, PJ; Hilton-Taylor, C; de Micheaux, FL; Lichtenstein, G; Roe, D; Böhm, M</t>
  </si>
  <si>
    <t>Marsh, Sophie M. E.; Hoffmann, Michael; Burgess, Neil D.; Brooks, Thomas M.; Challender, Daniel W. S.; Cremona, Patricia J.; Hilton-Taylor, Craig; de Micheaux, Flore Lafaye; Lichtenstein, Gabriela; Roe, Dilys; Bohm, Monika</t>
  </si>
  <si>
    <t>Prevalence of sustainable and unsustainable use of wild species inferred from the IUCN Red List of Threatened Species</t>
  </si>
  <si>
    <t>CONSERVATION BIOLOGY</t>
  </si>
  <si>
    <t>CITES; conservation action; Convention on Biological Diversity; exploitation; IPBES; sustainable use; unsustainable uses; wildlife; accion de conservacion; CITES; Convenio sobre la Diversidad Biologica; explotacion; fauna silvestre; IPBES; usos no sustentables; uso sustentable</t>
  </si>
  <si>
    <t>CONSERVATION; TRADE; BIODIVERSITY; KNOWLEDGE; BUSHMEAT</t>
  </si>
  <si>
    <t>Unsustainable exploitation of wild species represents a serious threat to biodiversity and to the livelihoods of local communities and Indigenous peoples. However, managed, sustainable use has the potential to forestall extinctions, aid recovery, and meet human needs. We analyzed species-level data for 30,923 species from 13 taxonomic groups on the International Union for Conservation of Nature Red List of Threatened Species to investigate patterns of intentional biological resource use. Forty percent of species (10,098 of 25,009 species from 10 data-sufficient taxonomic groups) were used. The main purposes of use were pets, display animals, horticulture, and human consumption. Intentional use is currently contributing to elevated extinction risk for 28-29% of threatened or near threatened (NT) species (2752-2848 of 9753 species). Intentional use also affected 16% of all species used (1597-1631 of 10,098). However, 72% of used species (7291 of 10,098) were least concern, of which nearly half (3469) also had stable or improving population trends. The remainder were not documented as threatened by biological resource use, including at least 172 threatened or NT species with stable or improving populations. About one-third of species that had use documented as a threat had no targeted species management actions to directly address this threat. To improve use-related red-list data, we suggest small amendments to the relevant classification schemes and required supporting documentation. Our findings on the prevalence of sustainable and unsustainable use, and variation across taxa, can inform international policy making, including the Intergovernmental Science-Policy Platform on Biodiversity and Ecosystem Services, the Convention on Biological Diversity, and the Convention on International Trade in Endangered Species.</t>
  </si>
  <si>
    <t>[Marsh, Sophie M. E.] UCL, Ctr Biodivers &amp; Environm Res, Dept Genet Evolut &amp; Environm, Gower St, London WC1E 6BT, England; [Hoffmann, Michael] Zool Soc London, Conservat &amp; Policy, Regents Pk, London, England; [Burgess, Neil D.] UNEP WCMC, Cambridge, England; [Burgess, Neil D.] Univ Copenhagen, GLOBE Inst, CMEC, Copenhagen, Denmark; [Brooks, Thomas M.; de Micheaux, Flore Lafaye] Int Union Conservat Nat, Gland, Switzerland; [Brooks, Thomas M.] Univ Philippines, World Agroforestry Ctr ICRAF, Los Banos, Philippines; [Brooks, Thomas M.] Univ Tasmania, Inst Marine &amp; Antarctic Studies, Hobart, Tas, Australia; [Challender, Daniel W. S.] Univ Oxford, Dept Zool, Oxford, England; [Cremona, Patricia J.; Hilton-Taylor, Craig] Int Union Conservat Nat, Cambridge, England; [de Micheaux, Flore Lafaye] Univ Lausanne, Inst Geog &amp; Sustainabil, Lausanne, Switzerland; [de Micheaux, Flore Lafaye] French Inst Pondicherry, Pondicherry, India; [Lichtenstein, Gabriela] Consejo Nacl Invest Cient &amp; Tecn, Inst Nacl Antropol &amp; Pensamiento Latinoamericano, Buenos Aires, DF, Argentina; [Roe, Dilys] Int Inst Environm &amp; Dev IIED, London, England; [Roe, Dilys] IUCN Sustainable Use &amp; Livelihoods Specialist Grp, London, England; [Bohm, Monika] Zool Soc London, Inst Zool, London, England</t>
  </si>
  <si>
    <t>University of London; University College London; Zoological Society of London; United Nations Environment Programme; University of Copenhagen; CGIAR; World Agroforestry (ICRAF); University of the Philippines System; University of the Philippines Open University; University of the Philippines Los Banos; University of Tasmania; University of Oxford; University of Lausanne; Consejo Nacional de Investigaciones Cientificas y Tecnicas (CONICET); Zoological Society of London</t>
  </si>
  <si>
    <t>Marsh, SME (corresponding author), UCL, Ctr Biodivers &amp; Environm Res, Dept Genet Evolut &amp; Environm, Gower St, London WC1E 6BT, England.</t>
  </si>
  <si>
    <t>semm.marsh@gmatl.cotn</t>
  </si>
  <si>
    <t>Böhm, Monika/E-1153-2018; Hoffmann, Michael/E-6419-2010</t>
  </si>
  <si>
    <t>Hilton-Taylor, Craig/0000-0003-1163-1425; Challender, Dan/0000-0002-0606-1715; Lichtenstein, Gabriela/0000-0002-1717-0941; Hoffmann, Michael/0000-0003-4785-2254; Cremona, Patricia/0000-0003-0662-3260; Brooks, Thomas/0000-0001-8159-3116; Lafaye de Micheaux, Flore/0000-0001-5025-6467; Marsh, Sophie/0000-0002-6197-8841; Roe, Dilys/0000-0002-6547-6427</t>
  </si>
  <si>
    <t>French Ministry for Ecological Transition (MTE); IUCN's engagement; IPBES; Rufford Foundation; U.K. Research and Innovation's Global Challenges Research Fund (UKRI GCRF) [ES/S008160/1]</t>
  </si>
  <si>
    <t>French Ministry for Ecological Transition (MTE); IUCN's engagement; IPBES; Rufford Foundation; U.K. Research and Innovation's Global Challenges Research Fund (UKRI GCRF)(UK Research &amp; Innovation (UKRI))</t>
  </si>
  <si>
    <t>We thank K. Philipps for helpful inputs into the manuscript. This manuscript was prepared with funding support from the French Ministry for Ecological Transition (MTE). The IUCN thanks the MTE for globally supporting IUCN's engagement with IPBES in the frame of the IUCN-France Partnership. M.B. was supported by a generous grant from the Rufford Foundation. D.W.S.C. acknowledges funding from the U.K. Research and Innovation's Global Challenges Research Fund (UKRI GCRF) through the Trade, Development and the Environment Hub project (project number ES/S008160/1). The views expressed in this publication do not necessarily reflect those of IUCN. The designation of geographical entities in this paper and the presentation of the material do not imply the expression of an opinion on the part of IUCN concerning the legal status of any country, territory, or area, or of its authorities, or concerning the delimitation of its frontiers or boundaries.</t>
  </si>
  <si>
    <t>0888-8892</t>
  </si>
  <si>
    <t>1523-1739</t>
  </si>
  <si>
    <t>CONSERV BIOL</t>
  </si>
  <si>
    <t>Conserv. Biol.</t>
  </si>
  <si>
    <t>10.1111/cobi.13844</t>
  </si>
  <si>
    <t>0M9QW</t>
  </si>
  <si>
    <t>WOS:000719334400001</t>
  </si>
  <si>
    <t>Green, JF</t>
  </si>
  <si>
    <t>Green, Jessica F.</t>
  </si>
  <si>
    <t>Hierarchy in Regime Complexes: Understanding Authority in Antarctic Governance</t>
  </si>
  <si>
    <t>INTERNATIONAL STUDIES QUARTERLY</t>
  </si>
  <si>
    <t>NETWORK ANALYSIS; POLITICS; POWER; ORGANIZATIONS; FRAGMENTATION</t>
  </si>
  <si>
    <t>Many scholars argue that regime complexes are nonhierarchical. However, if that is true, then how does authority function? This article argues that the conceptualization of regime complexes as largely devoid of hierarchy is mistaken. Instead, it offers a new definition of regime complexes: emergent patterns of authority among state and non-state actors, which vary in their degree of hierarchy. Hierarchy in regime complexes looks different from political scientists' traditional conceptualization. It is systemic, emergent, and positional. I present two dimensions of variation in hierarchy: deference and autonomy. These dimensions provide both a conceptual and an empirical strategy for understanding how authority relations are constituted. Conceptually, they allow us to see hierarchy in regime complexes. Empirically, they provide transparent, replicable and variable measures, which have eluded much of the work to date. I use topic modeling coupled with network analysis to detect hierarchy in the regime complex for Antarctica. I demonstrate that the inclusion of non-state actors and their governance activities changes our understanding of the Antarctic regime complex. This approach reveals a hierarchical regime complex, where some non-state actors have considerable authority and are governing issues not regulated by formal rules.</t>
  </si>
  <si>
    <t>[Green, Jessica F.] Univ Toronto, Polit Sci, Toronto, ON, Canada</t>
  </si>
  <si>
    <t>University of Toronto</t>
  </si>
  <si>
    <t>Green, JF (corresponding author), Univ Toronto, Polit Sci, Toronto, ON, Canada.</t>
  </si>
  <si>
    <t>Green, Jessica/0000-0002-6700-1126</t>
  </si>
  <si>
    <t>0020-8833</t>
  </si>
  <si>
    <t>1468-2478</t>
  </si>
  <si>
    <t>INT STUD QUART</t>
  </si>
  <si>
    <t>Int. Stud. Q.</t>
  </si>
  <si>
    <t>FEB 9</t>
  </si>
  <si>
    <t>10.1093/isq/sqab084</t>
  </si>
  <si>
    <t>International Relations; Political Science</t>
  </si>
  <si>
    <t>Social Science Citation Index (SSCI)</t>
  </si>
  <si>
    <t>International Relations; Government &amp; Law</t>
  </si>
  <si>
    <t>0Z9GU</t>
  </si>
  <si>
    <t>WOS:000790164600001</t>
  </si>
  <si>
    <t>Li, W; Yuan, XH; Heit, B; Schmidt-Aursch, MC; Almendros, J; Geissler, WH; Chen, Y</t>
  </si>
  <si>
    <t>Li, Wei; Yuan, Xiaohui; Heit, Benjamin; Schmidt-Aursch, Mechita C.; Almendros, Javier; Geissler, Wolfram H.; Chen, Yun</t>
  </si>
  <si>
    <t>Back-Arc Extension of the Central Bransfield Basin Induced by Ridge-Trench Collision: Implications From Ambient Noise Tomography and Stress Field Inversion</t>
  </si>
  <si>
    <t>ambient noise tomography; S-wave velocity structure; back-arc extension; ridge-trench collision; Bransfield Basin; Phoenix Plate</t>
  </si>
  <si>
    <t>SURFACE-WAVE DISPERSION; DECEPTION ISLAND VOLCANO; SOUTH SHETLAND ISLANDS; ANTARCTIC PENINSULA; VELOCITY STRUCTURE; RIFTED MARGINS; SCOTIA RIDGE; STRAIT; EVOLUTION; BENEATH</t>
  </si>
  <si>
    <t>The Bransfield Basin is a young (similar to 4 Ma) back-arc basin related to the remnant subduction of the Phoenix Plate that once existed along the entire Pacific margin of the Antarctic Peninsula. Based on a recently deployed amphibious seismic network, we use ambient noise tomography to obtain the S-wave velocity structure in the Central Bransfield Basin (CBB). Combining with the stress field inverted from focal mechanisms, our images reveal that the CBB suffers a significant extension in the northwest-southeast direction. The extension is strongest in the northeastern CBB with associated mantle exhumation and weakens to the southwest with decoupled deformations between the upper crust and lithospheric mantle. Such an along-strike variation of extension can be explained by slab window formation and forearc rotation, which are associated with the Phoenix Plate detachment during the ridge-trench collisions at the southwest of the Hero Fracture Zone.</t>
  </si>
  <si>
    <t>[Li, Wei; Yuan, Xiaohui; Heit, Benjamin] Deutsch GeoForschungsZentrum GFZ, Potsdam, Germany; [Li, Wei; Chen, Yun] Chinese Acad Sci, Inst Geol &amp; Geophys, State Key Lab Lithospher Evolut, Beijing, Peoples R China; [Schmidt-Aursch, Mechita C.; Geissler, Wolfram H.] Helmholtz Zentrum Polar &amp; Meeresforsch, Alfred Wegener Inst, Bremerhaven, Germany; [Almendros, Javier] Univ Granada, Andalusian Inst Geophys, Granada, Spain; [Chen, Yun] CAS Ctr Excellence Deep Earth Sci, Guangzhou, Peoples R China</t>
  </si>
  <si>
    <t>Helmholtz Association; Helmholtz-Center Potsdam GFZ German Research Center for Geosciences; Chinese Academy of Sciences; Institute of Geology &amp; Geophysics, CAS; Helmholtz Association; Alfred Wegener Institute, Helmholtz Centre for Polar &amp; Marine Research; University of Granada</t>
  </si>
  <si>
    <t>Li, W; Yuan, XH (corresponding author), Deutsch GeoForschungsZentrum GFZ, Potsdam, Germany.;Li, W (corresponding author), Chinese Acad Sci, Inst Geol &amp; Geophys, State Key Lab Lithospher Evolut, Beijing, Peoples R China.</t>
  </si>
  <si>
    <t>weili@gfz-potsdam.de; yuan@gfz-potsdam.de</t>
  </si>
  <si>
    <t>Almendros, Javier/M-2468-2014; Yuan, Xiaohui/G-5149-2010</t>
  </si>
  <si>
    <t>Almendros, Javier/0000-0001-5936-6160; Yuan, Xiaohui/0000-0002-2891-1354; Chen, Yun/0000-0003-1687-7627; Schmidt-Aursch, Mechita/0000-0002-2393-4514; Li, Wei/0000-0002-9428-1784; Geissler, Wolfram/0000-0001-6807-555X</t>
  </si>
  <si>
    <t>BRAVOSEIS project [CTM2016-77315-R]; AWI; GFZ; National Natural Science Foundation of China [41804056]; Sino-German (CSC-DAAD) Postdoc Scholarship; Projekt DEAL</t>
  </si>
  <si>
    <t>BRAVOSEIS project; AWI; GFZ; National Natural Science Foundation of China(National Natural Science Foundation of China (NSFC)); Sino-German (CSC-DAAD) Postdoc Scholarship; Projekt DEAL</t>
  </si>
  <si>
    <t>The authors appreciate the efforts of all the BRAVOSEIS team members, including Enrique Carmona, Rafa Abella, Paco Carrion, Feli Agui, Alfonso Ontiveros, Jose Luis Granja, Ivan Fernandez, and Rabea Sondershaus, in collecting the data used in this study. The authors thank the German Instrument Pool for Amphibian Seismology (DEPAS, Schmidt-Aursch &amp; Haberland, 2017) for providing seismic instruments for networks 5M and ZX. The authors thank all participants in the BRAVOSEIS 2018, 2019, and 2020 cruises and all staff involved in the realization of the surveys. We use the Generic Mapping Tools (Wessel et al., 2013) to generate the figures. This research is jointly supported by the BRAVOSEIS project (CTM2016-77315-R), AWI, and GFZ. W. Li is also supported by the National Natural Science Foundation of China (41804056) and the Sino-German (CSC-DAAD) Postdoc Scholarship. Constructive comments from the associate editor and two anonymous reviewers helped improve the manuscript. Open access funding enabled and organized by Projekt DEAL.</t>
  </si>
  <si>
    <t>NOV 16</t>
  </si>
  <si>
    <t>e2021GL095032</t>
  </si>
  <si>
    <t>10.1029/2021GL095032</t>
  </si>
  <si>
    <t>WU8CX</t>
  </si>
  <si>
    <t>WOS:000716768700034</t>
  </si>
  <si>
    <t>Polvani, LM; Banerjee, A; Chemke, R; Doddridge, EW; Ferreira, D; Gnanadesikan, A; Holland, MA; Kostov, Y; Marshall, J; Seviour, WJM; Solomon, S; Waugh, DW</t>
  </si>
  <si>
    <t>Polvani, L. M.; Banerjee, A.; Chemke, R.; Doddridge, E. W.; Ferreira, D.; Gnanadesikan, A.; Holland, M. A.; Kostov, Y.; Marshall, J.; Seviour, W. J. M.; Solomon, S.; Waugh, D. W.</t>
  </si>
  <si>
    <t>Interannual SAM Modulation of Antarctic Sea Ice Extent Does Not Account for Its Long-Term Trends, Pointing to a Limited Role for Ozone Depletion</t>
  </si>
  <si>
    <t>Antarctic sea ice; Ozone depletion; Southern Annular Mode</t>
  </si>
  <si>
    <t>SOUTHERN-OCEAN; VARIABILITY; ATMOSPHERE; TEMPERATURE; CIRCULATION</t>
  </si>
  <si>
    <t>The expansion of Antarctic sea ice since 1979 in the presence of increasing greenhouse gases remains one of the most puzzling features of current climate change. Some studies have proposed that the formation of the ozone hole, via the Southern Annular Mode, might explain that expansion, and a recent paper highlighted a robust causal link between summertime Southern Annular Mode (SAM) anomalies and sea ice anomalies in the subsequent autumn. Here we show that many models are able to capture this relationship between the SAM and sea ice, but also emphasize that the SAM only explains a small fraction of the year-to-year variability. Finally, examining multidecadal trends, in models and in observations, we confirm the findings of several previous studies and conclude that the SAM-and thus the ozone hole-are not the primary drivers of the sea ice expansion around Antarctica in recent decades.</t>
  </si>
  <si>
    <t>[Polvani, L. M.; Chemke, R.; Seviour, W. J. M.] Columbia Univ, Dept Appl Phys &amp; Appl Math, New York, NY 10027 USA; [Polvani, L. M.; Seviour, W. J. M.] Columbia Univ, Lamont Doherty Earth Observ, Palisades, NY 10027 USA; [Banerjee, A.] Univ Colorado, Cooperat Inst Res Environm Sci, Boulder, CO USA; [Banerjee, A.] Natl Ocean &amp; Atmospher Adm, Chem Sci Lab, Boulder, CO USA; [Chemke, R.] Weizmann Inst Sci, Dept Earth &amp; Planetary Sci, Rehovot, Israel; [Doddridge, E. W.] Univ Tasmania, Australian Antarctic Program Partnership, Inst Marine &amp; Antarct Studies, Hobart, Tas, Australia; [Ferreira, D.] Univ Reading, Dept Meteorol, Reading, Berks, England; [Gnanadesikan, A.; Waugh, D. W.] Johns Hopkins Univ, Dept Earth &amp; Planetary Sci, Baltimore, MD USA; [Holland, M. A.] Natl Ctr Atmospher Res, Climate &amp; Global Dynam Div, Boulder, CO USA; [Kostov, Y.] Univ Exeter, Dept Geog, Exeter, Devon, England; [Marshall, J.; Solomon, S.] MIT, Dept Earth Atmospher &amp; Planetary Sci, 77 Massachusetts Ave, Cambridge, MA 02139 USA; [Seviour, W. J. M.] Univ Exeter, Global Syst Inst, Exeter, Devon, England; [Seviour, W. J. M.] Univ Exeter, Dept Math, Exeter, Devon, England; [Waugh, D. W.] Univ New South Wales Sydney, Sch Math, Sydney, NSW, Australia</t>
  </si>
  <si>
    <t>Columbia University; Columbia University; University of Colorado System; University of Colorado Boulder; National Oceanic Atmospheric Admin (NOAA) - USA; Weizmann Institute of Science; University of Tasmania; University of Reading; Johns Hopkins University; National Center Atmospheric Research (NCAR) - USA; University of Exeter; Massachusetts Institute of Technology (MIT); University of Exeter; University of Exeter; University of New South Wales Sydney</t>
  </si>
  <si>
    <t>Polvani, LM (corresponding author), Columbia Univ, Dept Appl Phys &amp; Appl Math, New York, NY 10027 USA.;Polvani, LM (corresponding author), Columbia Univ, Lamont Doherty Earth Observ, Palisades, NY 10027 USA.</t>
  </si>
  <si>
    <t>lmp@columbia.edu</t>
  </si>
  <si>
    <t>Doddridge, Edward/GRJ-6149-2022; Waugh, Darryn W/K-3688-2016; Ferreira, David/JJD-6133-2023; Gnanadesikan, Anand/A-2397-2008; Ferreira, David/JNR-2354-2023</t>
  </si>
  <si>
    <t>Doddridge, Edward/0000-0002-6097-5729; Seviour, William/0000-0003-1622-0545; Gnanadesikan, Anand/0000-0001-5784-1116; , Yavor/0000-0001-6038-8818</t>
  </si>
  <si>
    <t>National Science Foundation under NSF [1338814]; NSF [1848863, 1745029, 1914569]; Directorate For Geosciences; Div Atmospheric &amp; Geospace Sciences [1914569] Funding Source: National Science Foundation; Directorate For Geosciences; Div Atmospheric &amp; Geospace Sciences [1848863] Funding Source: National Science Foundation; Directorate For Geosciences; Office of Polar Programs (OPP) [1745029] Funding Source: National Science Foundation; Division Of Ocean Sciences; Directorate For Geosciences [1338814] Funding Source: National Science Foundation</t>
  </si>
  <si>
    <t>National Science Foundation under NSF(National Science Foundation (NSF)); NSF(National Science Foundation (NSF)); Directorate For Geosciences; Div Atmospheric &amp; Geospace Sciences(National Science Foundation (NSF)NSF - Directorate for Geosciences (GEO)); Directorate For Geosciences; Div Atmospheric &amp; Geospace Sciences(National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t>
  </si>
  <si>
    <t>The authors express their gratitude to two anonymous referees, for their gentle and constructive suggestions. This work was supported, in large part, by the National Science Foundation under NSF award 1338814. SS also acknowledges support from NSF award 1848863, and LMP from awards 1745029 and 1914569.</t>
  </si>
  <si>
    <t>e2021GL094871</t>
  </si>
  <si>
    <t>10.1029/2021GL094871</t>
  </si>
  <si>
    <t>Green Accepted, Bronze, Green Published</t>
  </si>
  <si>
    <t>WOS:000716768700001</t>
  </si>
  <si>
    <t>Slyunyaev, NN; Frank-Kamenetsky, AV; Ilin, NV; Sarafanov, FG; Shatalina, MV; Mareev, EA; Price, CG</t>
  </si>
  <si>
    <t>Slyunyaev, Nikolay N.; Frank-Kamenetsky, Alexander V.; Ilin, Nikolay V.; Sarafanov, Fedor G.; Shatalina, Maria V.; Mareev, Evgeny A.; Price, Colin G.</t>
  </si>
  <si>
    <t>Electric Field Measurements in the Antarctic Reveal Patterns Related to the El Nino-Southern Oscillation</t>
  </si>
  <si>
    <t>global electric circuit; potential gradient; ionospheric potential; ENSO; measurements; modeling</t>
  </si>
  <si>
    <t>LIGHTNING ACTIVITY; CIRCUIT; ENSO; TEMPERATURE; VARIABILITY; EVENT</t>
  </si>
  <si>
    <t>Electric field measurements at Vostok station in Antarctica reveal that the El Nino-Southern Oscillation (ENSO) has a statistically significant effect on the global electric circuit, as earlier predicted by simulations. Analysis of 10 October-February periods during 2006-2016 indicates that the shape of the diurnal variation of the surface electric field is significantly different for El Nino and La Nina years, with an especially pronounced deviation during the super El Nino of 2015/16. During strong El Ninos the potential gradient relative to the diurnal mean is generally higher than usual around 8:00-14:00 UTC and lower than usual around 16:00-0:00 UTC; La Ninas are characterized by the opposite behavior. Simulations with the Weather Research and Forecasting model imply that the observed patterns are the result of changes in the global distribution of electrified clouds over the Pacific Ocean, Maritime Continent, and South America during ENSO events.</t>
  </si>
  <si>
    <t>[Slyunyaev, Nikolay N.; Ilin, Nikolay V.; Sarafanov, Fedor G.; Shatalina, Maria V.; Mareev, Evgeny A.; Price, Colin G.] Russian Acad Sci, Inst Appl Phys, Nizhnii Novgorod, Russia; [Frank-Kamenetsky, Alexander V.] Arctic &amp; Antarctic Res Inst, St Petersburg, Russia; [Sarafanov, Fedor G.; Mareev, Evgeny A.] Lobachevsky State Univ Nizhny Novgorod, Dept Radiophys, Nizhnii Novgorod, Russia; [Price, Colin G.] Tel Aviv Univ, Dept Geophys, Tel Aviv, Israel</t>
  </si>
  <si>
    <t>Russian Academy of Sciences; Institute of Applied Physics of the Russian Academy of Sciences; Arctic &amp; Antarctic Research Institute; Lobachevsky State University of Nizhni Novgorod; Tel Aviv University</t>
  </si>
  <si>
    <t>Slyunyaev, NN (corresponding author), Russian Acad Sci, Inst Appl Phys, Nizhnii Novgorod, Russia.</t>
  </si>
  <si>
    <t>slyunyaev.n@ipfran.ru</t>
  </si>
  <si>
    <t>Slyunyaev, Nikolay N/F-1080-2017; Ilin, Nikolay/HHZ-9770-2022; Shatalina, Maria/P-3735-2014; Price, Colin Gregory/HGD-2873-2022</t>
  </si>
  <si>
    <t>Slyunyaev, Nikolay N/0000-0002-7384-2116; Shatalina, Maria/0000-0002-9629-9320; Price, Colin Gregory/0000-0002-1387-7632</t>
  </si>
  <si>
    <t>Government of the Russian Federation [075-15-2019-1892]</t>
  </si>
  <si>
    <t>Government of the Russian Federation</t>
  </si>
  <si>
    <t>This work was supported by a grant from the Government of the Russian Federation (contract no. 075-15-2019-1892). The authors are grateful to the Australian Antarctic Division, namely to Gary Burns, the chief investigator of the project Atmospheric electrical circuits, weather and climate research, and to Lloyd Simons for their contribution to the development of instruments and software for collecting the electric field data at Vostok station. Continuous registration and collection of the electric field data at Vostok station is carried out by the specialists of the Russian Antarctic Expedition within the framework of the project Integrated oceanological, climatic, glaciological, and geophysical studies of Antarctica and the Southern Ocean.</t>
  </si>
  <si>
    <t>e2021GL095389</t>
  </si>
  <si>
    <t>10.1029/2021GL095389</t>
  </si>
  <si>
    <t>WOS:000716768700002</t>
  </si>
  <si>
    <t>Watkins, RH; Bassis, JN; Thouless, MD</t>
  </si>
  <si>
    <t>Watkins, Ray H.; Bassis, Jeremy N.; Thouless, M. D.</t>
  </si>
  <si>
    <t>Roughness of Ice Shelves Is Correlated With Basal Melt Rates</t>
  </si>
  <si>
    <t>ice shelf; roughness</t>
  </si>
  <si>
    <t>PINE ISLAND GLACIER; PINNING POINTS; STABILITY; CREVASSES; RETREAT; DRIVEN; EVOLUTION</t>
  </si>
  <si>
    <t>Ice shelf collapse could trigger widespread retreat of marine-based portions of the Antarctic ice sheet. However, little is known about the processes that control the stability of ice shelves. Recent observations have revealed that ice shelves have topographic features that span a spectrum of wavelengths, including basal channels and crevasses. Here we use ground-penetrating radar data to quantify patterns of roughness within and between ice shelves. We find that roughness follows a power law with the scaling exponent approximately constant between ice shelves. However, the level of roughness varies by nearly an order of magnitude between ice shelves. Critically, we find that roughness strongly correlates with basal melt, suggesting that increased melt not only leads to larger melt channels, but also to increased fracturing, rifting and decreased ice shelf stability. This hints that the mechanical stability of ice shelves may be more tightly controlled by ocean forcing than previously thought.</t>
  </si>
  <si>
    <t>[Watkins, Ray H.; Thouless, M. D.] Univ Michigan, Dept Mat Sci &amp; Engn, Ann Arbor, MI 48109 USA; [Bassis, Jeremy N.] Univ Michigan, Dept Climate &amp; Space Sci &amp; Engn, Ann Arbor, MI 48109 USA</t>
  </si>
  <si>
    <t>University of Michigan System; University of Michigan; University of Michigan System; University of Michigan</t>
  </si>
  <si>
    <t>Watkins, RH (corresponding author), Univ Michigan, Dept Mat Sci &amp; Engn, Ann Arbor, MI 48109 USA.</t>
  </si>
  <si>
    <t>rayhw@umich.edu</t>
  </si>
  <si>
    <t>Bassis, Jeremy/ABB-8628-2021</t>
  </si>
  <si>
    <t>Bassis, Jeremy/0000-0003-2946-7176; Watkins, Ray/0000-0003-1019-872X</t>
  </si>
  <si>
    <t>NASA [80NSSC20K0568]; DOMINOS project, a component of the International Thwaites Glacier Collaboration (ITGC); National Science Foundation (NSF) [1738896]; Natural Environment Research Council (NERC) [NE/S006605/1]; NERC [NE/S006605/1] Funding Source: UKRI</t>
  </si>
  <si>
    <t>NASA(National Aeronautics &amp; Space Administration (NASA)); DOMINOS project, a component of the International Thwaites Glacier Collaboration (ITGC); National Science Foundation (NSF)(National Science Foundation (NSF)); Natural Environment Research Council (NERC)(UK Research &amp; Innovation (UKRI)Natural Environment Research Council (NERC)); NERC(UK Research &amp; Innovation (UKRI)Natural Environment Research Council (NERC))</t>
  </si>
  <si>
    <t>This work is funded by NASA grant 80NSSC20K0568 and this work is also partially supported by the DOMINOS project, a component of the International Thwaites Glacier Collaboration (ITGC). Support from National Science Foundation (NSF: Grant 1738896) and Natural Environment Research Council (NERC: Grant NE/S006605/1). Logistics provided by NSF-U.S. Antarctic Program and NERC-British Antarctic Survey. ITGC Contribution No. ITGC-049. We would also like to thank Reviewer #1, R. D. Larter, and unnamed Reviewer #2 for thier very useful feedback. Thier comments and sugesstions helped to improve the overal quality of the manuscript.</t>
  </si>
  <si>
    <t>e2021GL094743</t>
  </si>
  <si>
    <t>10.1029/2021GL094743</t>
  </si>
  <si>
    <t>WOS:000716768700010</t>
  </si>
  <si>
    <t>Wearing, MG; Stevens, LA; Dutrieux, P; Kingslake, J</t>
  </si>
  <si>
    <t>Wearing, M. G.; Stevens, L. A.; Dutrieux, P.; Kingslake, J.</t>
  </si>
  <si>
    <t>Ice-Shelf Basal Melt Channels Stabilized by Secondary Flow</t>
  </si>
  <si>
    <t>Antarctica; ice shelves; ice-flow modeling</t>
  </si>
  <si>
    <t>PINE ISLAND GLACIER; ELEVATION MODEL; MELTWATER; BENEATH; ANTARCTICA; RATES; CREVASSES; EVOLUTION; IMPACTS; DRIVEN</t>
  </si>
  <si>
    <t>Ice-shelf basal channels form due to concentrated submarine melting. They are present in many Antarctic ice shelves and can reduce ice-shelf structural integrity, potentially destabilizing ice shelves by full-depth incision. Here, we describe the viscous ice response to a basal channel-secondary flow-which acts perpendicular to the channel axis and is induced by gradients in ice thickness. We use a full-Stokes ice-flow model to systematically assess the transient evolution of a basal channel in the presence of melting. Secondary flow increases with channel size and reduces the rate of channel incision, such that linear extrapolation or the Shallow-Shelf Approximation cannot project future channel evolution. For thick ice shelves (&gt;600 m) secondary flow potentially stabilizes the channel, but is insufficient to significantly delay breakthrough for thinner ice (&lt;400 m). Using synthetic data, we assess the impact of secondary flow when inferring basal-channel melt rates from satellite observations.</t>
  </si>
  <si>
    <t>[Wearing, M. G.] Univ Edinburgh, Sch Geosci, Edinburgh, Midlothian, Scotland; [Stevens, L. A.] Univ Oxford, Dept Earth Sci, Oxford, England; [Stevens, L. A.; Dutrieux, P.; Kingslake, J.] Columbia Univ, Lamont Doherty Earth Observ, New York, NY USA; [Dutrieux, P.] British Antarctic Survey, Cambridge, England</t>
  </si>
  <si>
    <t>University of Edinburgh; University of Oxford; Columbia University; UK Research &amp; Innovation (UKRI); Natural Environment Research Council (NERC); NERC British Antarctic Survey</t>
  </si>
  <si>
    <t>Wearing, MG (corresponding author), Univ Edinburgh, Sch Geosci, Edinburgh, Midlothian, Scotland.</t>
  </si>
  <si>
    <t>mwearing@ed.ac.uk</t>
  </si>
  <si>
    <t>; Dutrieux, Pierre/B-7568-2012</t>
  </si>
  <si>
    <t>Wearing, Martin/0000-0002-8927-8564; Dutrieux, Pierre/0000-0002-8066-934X; Stevens, Laura A./0000-0003-0480-8018</t>
  </si>
  <si>
    <t>NSF [1743310]; Lamont-Doherty Earth Observatory Postdoctoral Fellowship; Office of Polar Programs (OPP); Directorate For Geosciences [1743310] Funding Source: National Science Foundation; NERC [bas0100033] Funding Source: UKRI</t>
  </si>
  <si>
    <t>NSF(National Science Foundation (NSF)); Lamont-Doherty Earth Observatory Postdoctoral Fellowship; Office of Polar Programs (OPP); Directorate For Geosciences(National Science Foundation (NSF)NSF - Directorate for Geosciences (GEO)); NERC(UK Research &amp; Innovation (UKRI)Natural Environment Research Council (NERC))</t>
  </si>
  <si>
    <t>Support to M. G. Wearing and J. Kingslake was provided by NSF grant number 1743310. Support to L. A. Stevens was provided by a Lamont-Doherty Earth Observatory Postdoctoral Fellowship. The authors thank Dan Goldberg, Noel Gourmelen, Paul Holland and Richard Hindmarsh for useful discussions related to this work. Furthermore, the authors would also like to thank the two reviewers; Reinhard Drews and Lizz Ultee, along with the editor for their feedback and comments, which greatly improved the manuscript.</t>
  </si>
  <si>
    <t>e2021GL094872</t>
  </si>
  <si>
    <t>10.1029/2021GL094872</t>
  </si>
  <si>
    <t>Green Accepted, hybrid, Green Published</t>
  </si>
  <si>
    <t>WOS:000716768700044</t>
  </si>
  <si>
    <t>Dasarathy, S; Kar, J; Tackett, J; Rodier, SD; Lu, X; Vaughan, M; Toth, TD; Trepte, C; Bowman, JS</t>
  </si>
  <si>
    <t>Dasarathy, S.; Kar, J.; Tackett, J.; Rodier, S. D.; Lu, X.; Vaughan, M.; Toth, T. D.; Trepte, C.; Bowman, J. S.</t>
  </si>
  <si>
    <t>Multi-Year Seasonal Trends in Sea Ice, Chlorophyll Concentration, and Marine Aerosol Optical Depth in the Bellingshausen Sea</t>
  </si>
  <si>
    <t>CALIPSO LIDAR CALIBRATION; DIMETHYLSULFIDE DMS; ARCTIC-OCEAN; PHYTOPLANKTON; CALIOP; RETRIEVALS; CLIMATOLOGY; ECOSYSTEM; DYNAMICS; RETREAT</t>
  </si>
  <si>
    <t>This study presents seasonal trends in marine tropospheric aerosol arising from the interplay between physical and biological processes in the Western Antarctic Peninsula (WAP). Remote sensing-based studies focused on aerosol distribution and links to chlorophyll-a concentration and sea ice predominantly use passive sensor retrievals of aerosol optical properties. However, these data are subject to cloud presence, signal uncertainties, and lack of retrievals in high latitude wintertime. To address these concerns, we have developed a method of quantifying tropospheric marine aerosol with the NASA Cloud-Aerosol Lidar and Infrared Pathfinder Satellite Observation (CALIPSO), which we term marine aerosol optical depth (MAOD). MAOD may be retrieved in nighttime conditions of high-latitude winter and is devoid of cloud contamination, thereby advancing upon prior aerosol optical depth (AOD) measurements linked with biogenic aerosol. To examine trends in tropospheric marine aerosol, we undertook a multi-year remote sensing analysis in the Bellingshausen Sea from 2006 to 2018. A seasonal increase in MAOD was observed alongside a seasonal increase in chl-a and sea ice melt, suggesting a biogenic component to aerosol presence. To the best of our knowledge, this study is also the first to further distinguish a late winter to early spring temporal MAOD signal, likely tied to an aerosol source from either venting of biogenic aerosol from breaks in sea ice or to sea spray/salt aerosol resulting from pulses in wind speed. Our work extends upon previous findings of AOD in polar environments and now more fully characterizes interactions during polar winter.</t>
  </si>
  <si>
    <t>[Dasarathy, S.; Bowman, J. S.] Scripps Inst Oceanog, San Diego, CA 92093 USA; [Kar, J.; Tackett, J.; Rodier, S. D.; Lu, X.; Vaughan, M.; Toth, T. D.; Trepte, C.] NASA, Langley Res Ctr, Hampton, VA 23665 USA; [Kar, J.; Rodier, S. D.] Sci Syst &amp; Applicat Inc, Hampton, MD USA</t>
  </si>
  <si>
    <t>University of California System; University of California San Diego; Scripps Institution of Oceanography; National Aeronautics &amp; Space Administration (NASA); NASA Langley Research Center</t>
  </si>
  <si>
    <t>Dasarathy, S; Bowman, JS (corresponding author), Scripps Inst Oceanog, San Diego, CA 92093 USA.</t>
  </si>
  <si>
    <t>srdasara@ucsd.edu; jsbowman@ucsd.edu</t>
  </si>
  <si>
    <t>ZHOU, YUE/IZE-6277-2023; Zhang, Zhentao/JQV-7389-2023; zhang, yuyang/IVV-5089-2023; ZHAO, S/IWV-4219-2023; zhang, xu/JEO-4879-2023; Huang, Kai/JVO-5066-2024; Vaughan, Mark/IVH-3495-2023; Lu, Xiaomei/IUQ-2139-2023</t>
  </si>
  <si>
    <t>Dasarathy, Srishti/0000-0001-8149-3801; Lu, Xiaomei/0000-0001-6788-569X; Toth, Travis/0000-0002-9927-4946; Bowman, Jeff/0000-0002-8811-6280</t>
  </si>
  <si>
    <t>NSF-OPP [1846837, 1821911]; Simons Foundation Early Career Marine Microbial Investigator Award; NASA Internship Program at the Langley Research Center; Directorate For Geosciences; Office of Polar Programs (OPP) [1846837] Funding Source: National Science Foundation; Directorate For Geosciences; Office of Polar Programs (OPP) [1821911] Funding Source: National Science Foundation</t>
  </si>
  <si>
    <t>NSF-OPP(National Science Foundation (NSF)NSF - Directorate for Geosciences (GEO)); Simons Foundation Early Career Marine Microbial Investigator Award; NASA Internship Program at the Langley Research Center; Directorate For Geosciences; Office of Polar Programs (OPP)(National Science Foundation (NSF)NSF - Directorate for Geosciences (GEO)); Directorate For Geosciences; Office of Polar Programs (OPP)(National Science Foundation (NSF)NSF - Directorate for Geosciences (GEO))</t>
  </si>
  <si>
    <t>Graduate student peers Kelley McBride and Dr. Kara Voss provided insight in accessing and processing of the CALIOP data set. Dr. Nicole Couto likewise aided in mapping techniques. J. S. Bowman was supported by NSF-OPP 1846837, NSF-OPP 1821911, and a Simons Foundation Early Career Marine Microbial Investigator Award. This work was supported by the NASA Internship Program at the Langley Research Center.</t>
  </si>
  <si>
    <t>e2021JD034737</t>
  </si>
  <si>
    <t>10.1029/2021JD034737</t>
  </si>
  <si>
    <t>WU8EZ</t>
  </si>
  <si>
    <t>WOS:000716774200030</t>
  </si>
  <si>
    <t>Nisbet, EG; Dlugokencky, EJ; Fisher, RE; France, JL; Lowry, D; Manning, MR; Michel, SE; Warwick, NJ</t>
  </si>
  <si>
    <t>Nisbet, Euan G.; Dlugokencky, Edward J.; Fisher, Rebecca E.; France, James L.; Lowry, David; Manning, Martin R.; Michel, Sylvia E.; Warwick, Nicola J.</t>
  </si>
  <si>
    <t>Atmospheric methane and nitrous oxide: challenges alongthe path to Net Zero</t>
  </si>
  <si>
    <t>PHILOSOPHICAL TRANSACTIONS OF THE ROYAL SOCIETY A-MATHEMATICAL PHYSICAL AND ENGINEERING SCIENCES</t>
  </si>
  <si>
    <t>atmospheric methane growth; nitrous oxide growth</t>
  </si>
  <si>
    <t>FOSSIL-FUEL; OFFSHORE OIL; EMISSIONS; GAS; CLIMATE; OXIDATION; BUDGET; MODEL; CH4; QUANTIFICATION</t>
  </si>
  <si>
    <t>The causes of methane's renewed rise since 2007, accelerated growth from 2014 and record rise in 2020, concurrent with an isotopic shift to values more depleted in C-13, remain poorly understood. This rise is the dominant departure from greenhouse gas scenarios that limit global heating to less than 2 degrees C. Thus a comprehensive understanding of methane sources and sinks, their trends and inter-annual variations are becoming more urgent. Efforts to quantify both sources and sinks and understand latitudinal and seasonal variations will improve our understanding of the methane cycle and its anthropogenic component. Nationally declared emissions inventories under the UN Framework Convention on Climate Change (UNFCCC) and promised contributions to emissions reductions under the UNFCCC Paris Agreement need to be verified independently by top-down observation. Furthermore, indirect effects on natural emissions, such as changes in aquatic ecosystems, also need to be quantified. Nitrous oxide is even more poorly understood. Despite this, options for mitigating methane and nitrous oxide emissions are improving rapidly, both in cutting emissions from gas, oil and coal extraction and use, and also from agricultural and waste sources. Reductions in methane and nitrous oxide emission are arguably among the most attractive immediate options for climate action.This article is part of a discussion meeting issue 'Rising methane: is warming feeding warming? (part 1)'.</t>
  </si>
  <si>
    <t>[Nisbet, Euan G.; Fisher, Rebecca E.; France, James L.; Lowry, David] Univ London, Royal Holloway, Dept Earth Sci, Egham TW20 0EX, England; [Dlugokencky, Edward J.] US Natl Ocean &amp; Atmospher Adm, Global Monitoring Lab, 325 Broadway, Boulder, CO 80305 USA; [Manning, Martin R.] Victoria Univ Wellington, New Zealand Climate Change Res Inst, Sch Geog Environm &amp; Earth Studies, Wellington, New Zealand; [Michel, Sylvia E.] Univ Colorado, Inst Arctic &amp; Antarctic Res, Boulder, CO 80309 USA; [Nisbet, Euan G.; Warwick, Nicola J.] Univ Cambridge, Dept Chem, NCAS, Lensfield Rd, Cambridge CB2 1EW, England; [France, James L.] NERC, British Antarctic Survey, Cambridge CB3 0ET, England</t>
  </si>
  <si>
    <t>University of London; Royal Holloway University London; National Oceanic Atmospheric Admin (NOAA) - USA; Victoria University Wellington; University of Colorado System; University of Colorado Boulder; University of Cambridge; UK Research &amp; Innovation (UKRI); Natural Environment Research Council (NERC); NERC British Antarctic Survey</t>
  </si>
  <si>
    <t>Nisbet, EG (corresponding author), Univ London, Royal Holloway, Dept Earth Sci, Egham TW20 0EX, England.;Nisbet, EG (corresponding author), Univ Cambridge, Dept Chem, NCAS, Lensfield Rd, Cambridge CB2 1EW, England.</t>
  </si>
  <si>
    <t>e.nisbet@rhul.ac.uk</t>
  </si>
  <si>
    <t>Dlugokencky, Edward/AAN-8746-2020; Michel, Sylvia/AAQ-2028-2020; Lowry, David/GXG-1235-2022; Lowry, David/JCE-0619-2023; France, James/L-9719-2015</t>
  </si>
  <si>
    <t>Dlugokencky, Edward/0000-0003-0612-6985; Michel, Sylvia/0000-0002-5651-1163; Fisher, Rebecca/0000-0002-9262-5467; France, James/0000-0002-8785-1240; LOWRY, DAVID/0000-0002-8535-0346</t>
  </si>
  <si>
    <t>UK Natural Environment Research Council [NE/S00159X/1, NE/N016238/1, NE/P019641/1, NE/S004211/1, NE/R01809X1/1]; NERC [bas0100032, NE/N016548/1, NE/K006045/1, NE/V000780/1, NE/R017360/1, NE/N016238/1, NE/S004211/1, NE/P019641/1, NE/N016211/1, NE/I028874/1, NE/I014683/1, NE/S003657/1, NE/S00159X/1] Funding Source: UKRI</t>
  </si>
  <si>
    <t>UK Natural Environment Research Council(UK Research &amp; Innovation (UKRI)Natural Environment Research Council (NERC)); NERC(UK Research &amp; Innovation (UKRI)Natural Environment Research Council (NERC))</t>
  </si>
  <si>
    <t>E.G.N. thanks the UK Natural Environment Research Council for grant no. NE/S00159X/1 ZWAMPS Quantifying Methane Emissions in remote tropical settings: a new 3D approach. NE/N016238/1 MOYA The Global Methane Budget 2016-2020, NE/P019641/1 New methodologies for removal of methane, NE/S004211/1 DARE-UK Detection and Attribution of Regional greenhouse gas Emissions in the UK, NE/R01809X1/1 EQUIP4Risk Evaluation of shale gas risk.</t>
  </si>
  <si>
    <t>1364-503X</t>
  </si>
  <si>
    <t>1471-2962</t>
  </si>
  <si>
    <t>PHILOS T R SOC A</t>
  </si>
  <si>
    <t>Philos. Trans. R. Soc. A-Math. Phys. Eng. Sci.</t>
  </si>
  <si>
    <t>NOV 15</t>
  </si>
  <si>
    <t>10.1098/rsta.2020.0457</t>
  </si>
  <si>
    <t>0Z7TT</t>
  </si>
  <si>
    <t>Green Accepted, hybrid, Green Published, Green Submitted</t>
  </si>
  <si>
    <t>WOS:000791276800007</t>
  </si>
  <si>
    <t>Nisbet, EG; Jones, AE; Skiba, UM; Pyle, JA</t>
  </si>
  <si>
    <t>Nisbet, Euan G.; Jones, Anna E.; Skiba, Ute M.; Pyle, John A.</t>
  </si>
  <si>
    <t>Rising methane: is warming feeding warming?</t>
  </si>
  <si>
    <t>[Nisbet, Euan G.] Royal Holloway Univ London, Dept Earth Sci, Egham TW20 0EX, Surrey, England; [Jones, Anna E.] British Antarctic Survey, Madingley Rd, Cambridge CB3 0ET, England; [Skiba, Ute M.] UK Ctr Ecol &amp; Hydrol, Bush Estate Penicuik, Penicuik EH26 0QB, Midlothian, Scotland; [Nisbet, Euan G.; Pyle, John A.] Univ Cambridge, Dept Chem, Lensfield Rd, Cambridge CB2 1EW, England</t>
  </si>
  <si>
    <t>University of London; Royal Holloway University London; UK Research &amp; Innovation (UKRI); Natural Environment Research Council (NERC); NERC British Antarctic Survey; UK Centre for Ecology &amp; Hydrology (UKCEH); University of Cambridge</t>
  </si>
  <si>
    <t>Nisbet, EG (corresponding author), Royal Holloway Univ London, Dept Earth Sci, Egham TW20 0EX, Surrey, England.;Nisbet, EG (corresponding author), Univ Cambridge, Dept Chem, Lensfield Rd, Cambridge CB2 1EW, England.</t>
  </si>
  <si>
    <t>10.1098/rsta.2020.0459</t>
  </si>
  <si>
    <t>WOS:000791276800003</t>
  </si>
  <si>
    <t>Holbrook, NJ; Hernaman, V; Koshiba, S; Lako, J; Kajtar, JB; Amosa, P; Singh, A</t>
  </si>
  <si>
    <t>Holbrook, Neil J.; Hernaman, Vanessa; Koshiba, Shirley; Lako, Jimaima; Kajtar, Jules B.; Amosa, Patila; Singh, Awnesh</t>
  </si>
  <si>
    <t>Impacts of marine heatwaves on tropical western and central Pacific Island nations and their communities</t>
  </si>
  <si>
    <t>GLOBAL AND PLANETARY CHANGE</t>
  </si>
  <si>
    <t>Marine heatwave; Extreme event; Impact; Ocean warming; Pacific; CMIP6 projections</t>
  </si>
  <si>
    <t>CLIMATE-CHANGE; NORTH PACIFIC; CORAL-REEFS; HEAT-WAVE; EL-NINO; CIGUATERA; FISHERIES; FISH; VARIABILITY; RECOVERY</t>
  </si>
  <si>
    <t>Marine heatwaves can have devastating impacts on marine species and habitats, often with flow-on effects to human communities and livelihoods. This is of particular importance to Pacific Island countries that rely heavily on coastal and ocean resources, and for which projected increases in future marine heatwave (MHW) frequency, intensity, and duration could be detrimental across the Pacific Island region. In this study, we investigate MHWs in the tropical western and central Pacific Ocean region, focusing on observed MHWs, their associated impacts, and future projections using Coupled Model Intercomparison Project phase 6 (CMIP6) simulations under a low (SSP1-2.6) and a high (SSP5-8.5) greenhouse gas emissions scenario. Documented impacts from Moderate mean intensity MHW events in Fiji, Samoa, and Palau, that were categorised as Strong at their peak, included fish and invertebrate mortality and coral bleaching. Based on CMIP6 multi-model mean estimates, and relative to current baselines, Moderate intensity MHWs are projected to increase from recent historical (1995-2014) values of 10-50 days per year (dpy) across the region to the equivalent of 1 dpy under the current climate to 50 dpy projected under the high emissions scenario by 2050. In contrast, Extreme MHWs are projected to increase to &lt;5 dpy by 2050 under the low emissions scenario, highlighting the importance for Pacific Island nations that global emissions more closely follow the low emissions scenario trajectory.</t>
  </si>
  <si>
    <t>[Holbrook, Neil J.; Kajtar, Jules B.] Univ Tasmania, Inst Marine &amp; Antarctic Studies, Hobart, Tas, Australia; [Holbrook, Neil J.; Kajtar, Jules B.] Univ Tasmania, Australian Res Council Ctr Excellence Climate Ext, Hobart, Tas, Australia; [Hernaman, Vanessa] CSIRO Oceans &amp; Atmosphere, Climate Sci Ctr, Aspendale, Vic, Australia; [Koshiba, Shirley] Palau Int Coral Reef Ctr, Koror, Palau; [Lako, Jimaima] Fiji Natl Univ, Coll Engn Sci &amp; Technol, Suva, Fiji; [Amosa, Patila] Natl Univ Samoa, Fac Sci, Apia, Samoa; [Singh, Awnesh] Univ South Pacific, Pacific Ctr Environm &amp; Sustainable Dev, Suva, Fiji</t>
  </si>
  <si>
    <t>University of Tasmania; University of Tasmania; Commonwealth Scientific &amp; Industrial Research Organisation (CSIRO); Fiji National University (FNU); University of the South Pacific</t>
  </si>
  <si>
    <t>Holbrook, NJ (corresponding author), Univ Tasmania, Inst Marine &amp; Antarctic Studies, Hobart, Tas, Australia.;Holbrook, NJ (corresponding author), Univ Tasmania, Australian Res Council Ctr Excellence Climate Ext, Hobart, Tas, Australia.</t>
  </si>
  <si>
    <t>neil.holbrook@utas.edu.au</t>
  </si>
  <si>
    <t>Kajtar, Jules B./A-5897-2016; Hernaman, Vanessa/ABA-8227-2021; Holbrook, Neil/M-7544-2013</t>
  </si>
  <si>
    <t>Kajtar, Jules B./0000-0003-0114-6610; Hernaman, Vanessa/0000-0002-0042-7579; Singh, Awnesh/0000-0002-5341-0703; Lako, Jimaima/0000-0002-2330-0191; Holbrook, Neil/0000-0002-3523-6254</t>
  </si>
  <si>
    <t>Australian Government; Australian Research Council (ARC) Centre of Excellence for Climate Extremes [CE170100023]; National Environmental Science Programme Earth Systems and Climate Change Hub [5.8]</t>
  </si>
  <si>
    <t>Australian Government(Australian Government); Australian Research Council (ARC) Centre of Excellence for Climate Extremes(Australian Research Council); National Environmental Science Programme Earth Systems and Climate Change Hub</t>
  </si>
  <si>
    <t>We would like to gratefully acknowledge and thank the Secretariat of the Pacific Regional Environment Programme (SPREP) for hosting the two important workshops from 23-26 September 2019 and 28-31 October 2019 in Apia, Samoa, that facilitated the initial design and development of this paper. In particular, we would like to sincerely thank Azarel Mariner (SPREP) and Geoff Gooley (CSIRO Oceans and Atmosphere) for co-convening these workshops. We would like to gratefully acknowledge the participants in attendance who contributed to group discussions including Morgan Wairiu and (Robert) Duncan McIntosh. We gratefully acknowledge funding provided by the Australian Government-funded (Australia-Pacific Climate Partnership) NextGen Projections for the Western Tropical Pacific project, led by CSIRO in partnership with SPREP, that enabled workshop participants to travel from various Pacific countries to Samoa, to be accommodated, fed and looked after for these workshops. We acknowledge the World Climate Research Programme's Working Group on Coupled Modelling, which is responsible for CMIP, and we thank the climate modelling groups for producing and making available their model output. CMIP6 model outputs were made available with the assistance of resources from the National Computational Infrastructure (NCI), which is supported by the Australian Government. We thank NOAA and ReefTEMPS for making their data publicly available. NJH and JBK acknowledge ongoing support from the Australian Research Council (ARC) Centre of Excellence for Climate Extremes (CE170100023) and the National Environmental Science Programme Earth Systems and Climate Change Hub (Project 5.8). We acknowledge Eric Oliver for the use of his marineHeatWaves python module. We also acknowledge the assistance of Paola Petrelli in the ARC Centre of Excellence for Climate Extremes for her computational support and assistance with data archiving. Finally, we would like to thank the three anonymous reviewers whose comments helped to improve the manuscript.</t>
  </si>
  <si>
    <t>0921-8181</t>
  </si>
  <si>
    <t>1872-6364</t>
  </si>
  <si>
    <t>GLOBAL PLANET CHANGE</t>
  </si>
  <si>
    <t>Glob. Planet. Change</t>
  </si>
  <si>
    <t>10.1016/j.gloplacha.2021.103680</t>
  </si>
  <si>
    <t>XO3FW</t>
  </si>
  <si>
    <t>hybrid, Green Published, Green Accepted</t>
  </si>
  <si>
    <t>WOS:000730075400002</t>
  </si>
  <si>
    <t>March, D; Drago, M; Gazo, M; Parga, M; Rita, D; Cardona, L</t>
  </si>
  <si>
    <t>March, David; Drago, Massimiliano; Gazo, Manel; Parga, Mariluz; Rita, Diego; Cardona, Luis</t>
  </si>
  <si>
    <t>Winter distribution of juvenile and sub-adult male Antarctic fur seals (Arctocephalus gazella) along the western Antarctic Peninsula</t>
  </si>
  <si>
    <t>GEOGRAPHICAL VARIATION; TEMPORAL VARIABILITY; EUPHAUSIA-SUPERBA; FOOD-CONSUMPTION; MARINE PREDATORS; PSEUDO-ABSENCES; DIVING ACTIVITY; TRACKING DATA; HABITAT USE; DIET</t>
  </si>
  <si>
    <t>Detailed knowledge of habitat use by marine megafauna is critical to understand their ecological roles and for the adequate management of marine resources. Antarctic fur seals (Arctocephalus gazella) inhabiting the Atlantic sector of the Southern Ocean prey largely on Antarctic krill (Euphausia superba) and play a central role in managing the krill fishery. Here, we assessed the demographic structure of three post-mating, early moult male haul-outs in the South Shetland Islands in early March and calculated the relative contribution of juveniles (1-4 years old) and sub-adult males (5-6 years) to the population remaining in maritime Antarctica after the breeding season. We also satellite tagged 11 juvenile males and four sub-adult males to analyze their movements and develop a species distribution model including both age classes. Our results highlighted the dominance of young individuals in the male population, revealed that they do not behave as central place foragers and identified key environmental drivers that affected their distribution at-sea throughout winter. Predicted potential foraging habitat overlapped highly with the known distribution of Antarctic krill, and identified the waters off the western Antarctic Peninsula and the Scotia Sea as the core of the distribution area of juvenile and sub-adult male Antarctic fur seals in winter. This pattern is similar to that of adult males but totally different from that of adult females, as the latter overwinter in areas at latitude 45-55 degrees S. This segregation has implications for the ecology and management of the krill fishery.</t>
  </si>
  <si>
    <t>[March, David; Drago, Massimiliano; Gazo, Manel; Rita, Diego; Cardona, Luis] Univ Barcelona, Fac Biol, IRBio, Avinguda Diagonal 643, Barcelona 08028, Spain; [March, David; Drago, Massimiliano; Gazo, Manel; Rita, Diego; Cardona, Luis] Univ Barcelona, Fac Biol, Dept Evolutionary Biol Ecol &amp; Environm Sci, Avinguda Diagonal 643, Barcelona 08028, Spain; [March, David] Univ Exeter, Coll Life &amp; Environm Sci, Ctr Ecol &amp; Conservat, Penryn Campus, Penryn TR10 9FE, England; [Parga, Mariluz] SUBMON Marine Environm Serv, Ortigosa 14, Barcelona 08003, Spain</t>
  </si>
  <si>
    <t>University of Barcelona; University of Barcelona; University of Exeter</t>
  </si>
  <si>
    <t>March, D (corresponding author), Univ Barcelona, Fac Biol, IRBio, Avinguda Diagonal 643, Barcelona 08028, Spain.;March, D (corresponding author), Univ Barcelona, Fac Biol, Dept Evolutionary Biol Ecol &amp; Environm Sci, Avinguda Diagonal 643, Barcelona 08028, Spain.;March, D (corresponding author), Univ Exeter, Coll Life &amp; Environm Sci, Ctr Ecol &amp; Conservat, Penryn Campus, Penryn TR10 9FE, England.</t>
  </si>
  <si>
    <t>dmarch@ub.edu</t>
  </si>
  <si>
    <t>Espada, Diego Rita/D-3047-2017; March, David/G-6489-2014; Drago, Massimiliano/K-1863-2017; Gazo, Manel/F-6088-2012; Drago, Massimiliano/JAN-9491-2023; Cardona, Luis/L-1680-2014</t>
  </si>
  <si>
    <t>Espada, Diego Rita/0000-0001-8358-6980; March, David/0000-0002-6118-761X; Drago, Massimiliano/0000-0003-2764-9849; Gazo, Manel/0000-0003-1159-322X; Drago, Massimiliano/0000-0003-2764-9849; Parga, Mariluz/0000-0002-3259-5606; Cardona, Luis/0000-0002-7892-1323</t>
  </si>
  <si>
    <t>Ministerio de Ciencia, Innovacion y Universidades (Spain) [CTM2017-83319-P]; AEI/FEDER/UE; European Union [794938]; University of Exeter; Secretaria d'Universitats i Recerca, Generalitat de Catalunya (Spain) [2016 BP 00151]; Marie Curie Actions (MSCA) [794938] Funding Source: Marie Curie Actions (MSCA)</t>
  </si>
  <si>
    <t>Ministerio de Ciencia, Innovacion y Universidades (Spain)(Spanish Government); AEI/FEDER/UE; European Union(European Union (EU)); University of Exeter; Secretaria d'Universitats i Recerca, Generalitat de Catalunya (Spain)(Generalitat de Catalunya); Marie Curie Actions (MSCA)(Marie Curie Actions)</t>
  </si>
  <si>
    <t>This project was financed by grant CTM2017-83319-P from Ministerio de Ciencia, Innovacion y Universidades (Spain) and supported by AEI/FEDER/UE. D. March acknowledges support from the European Union's Horizon 2020 research and innovation programme under the Marie Skodowska-Curie grant agreement (No 794938), and the University of Exeter's Advanced Research Computing facilities at Penryn in carrying out this work. M. Drago acknowledges support from the Secretaria d'Universitats i Recerca, Generalitat de Catalunya (Spain) under the Beatriu de Pinos programme postdoctoral fellowship (2016 BP 00151). The authors acknowledge the members of the Spanish Army at the Gabriel de Castilla research station for assistance and logistic support during fieldwork in Deception Island. We thank two anonymous reviewers whose comments and suggestions contributed to improve and clarify this manuscript.</t>
  </si>
  <si>
    <t>10.1038/s41598-021-01700-w</t>
  </si>
  <si>
    <t>XA4MX</t>
  </si>
  <si>
    <t>WOS:000720624200015</t>
  </si>
  <si>
    <t>Clarke, LJ; Suter, L; Deagle, BE; Polanowski, AM; Terauds, A; Johnstone, GJ; Stark, JS</t>
  </si>
  <si>
    <t>Clarke, Laurence J.; Suter, Leonie; Deagle, Bruce E.; Polanowski, Andrea M.; Terauds, Aleks; Johnstone, Glenn J.; Stark, Jonathan S.</t>
  </si>
  <si>
    <t>Environmental DNA metabarcoding for monitoring metazoan biodiversity in Antarctic nearshore ecosystems</t>
  </si>
  <si>
    <t>PEERJ</t>
  </si>
  <si>
    <t>DNA metabarcoding; Environmental DNA; Benthos; Sediment; Cytochrome c oxidase subunit I (COI); Vestfold Hills</t>
  </si>
  <si>
    <t>COMMUNITY; VULNERABILITY; MARINE; ASSEMBLAGES; DIVERSITY; PATTERNS; PROTOCOL; IMPACTS; PACKAGE; STATION</t>
  </si>
  <si>
    <t>Antarctic benthic ecosystems support high biodiversity but their characterization is limited to a few well-studied areas, due to the extreme environment and remoteness making access and sampling difficult. Our aim was to compare water and sediment as sources of environmental DNA (eDNA) to better characterise Antarctic benthic communities and further develop practical approaches for DNA-based biodiversity assessment in remote environments. We used a cytochrome c oxidase subunit I (COI) metabarcoding approach to characterise metazoan communities in 26 nearshore sites across 12 locations in the Vestfold Hills (East Antarctica) based on DNA extracted from either sediment cores or filtered seawater. We detected a total of 99 metazoan species from 12 phyla across 26 sites, with similar numbers of species detected in sediment and water eDNA samples. However, significantly different communities were detected in the two sample types at sites where both were collected (i.e., where paired samples were available). For example, nematodes and echinoderms were more likely to be detected exclusively in sediment and water eDNA samples, respectively. eDNA from water and sediment core samples are complementary sample types, with epifauna more likely to be detected in water column samples and infauna in sediment. More reference DNA sequences are needed for infauna/meiofauna to increase the proportion of sequences and number of taxa that can be identified. Developing a better understanding of the temporal and spatial dynamics of eDNA at low temperatures would also aid interpretation of eDNA signals from polar environments. Our results provide a preliminary scan of benthic metazoan communities in the Vestfold Hills, with additional markers required to provide a comprehensive biodiversity survey. However, our study demonstrates the choice of sample type for eDNA studies of benthic ecosystems (sediment, water or both) needs to be carefully considered in light of the research or monitoring question of interest.</t>
  </si>
  <si>
    <t>[Clarke, Laurence J.; Suter, Leonie; Polanowski, Andrea M.; Terauds, Aleks; Johnstone, Glenn J.; Stark, Jonathan S.] Australian Antarctic Div, Kingston, Tas, Australia; [Clarke, Laurence J.] Univ Tasmania, Inst Marine &amp; Antarctic Studies, Hobart, Tas, Australia; [Deagle, Bruce E.] Commonwealth Sci &amp; Ind Res Org, Hobart, Tas, Australia</t>
  </si>
  <si>
    <t>Australian Antarctic Division; University of Tasmania; Commonwealth Scientific &amp; Industrial Research Organisation (CSIRO)</t>
  </si>
  <si>
    <t>Clarke, LJ (corresponding author), Australian Antarctic Div, Kingston, Tas, Australia.;Clarke, LJ (corresponding author), Univ Tasmania, Inst Marine &amp; Antarctic Studies, Hobart, Tas, Australia.</t>
  </si>
  <si>
    <t>laurence.clarke@aad.gov.au</t>
  </si>
  <si>
    <t>Terauds, Aleks/A-4991-2010</t>
  </si>
  <si>
    <t>Deagle, Bruce/0000-0001-7651-3687; Polanowski, Andrea/0000-0002-9612-220X</t>
  </si>
  <si>
    <t>Australian Antarctic Science Program [5097]; [AAS-4556]</t>
  </si>
  <si>
    <t>Australian Antarctic Science Program;</t>
  </si>
  <si>
    <t>Field work and laboratory analyses were supported through Australian Antarctic Program Project 5097, lab work was partly funded through the Australian Antarctic Science Program (AAS-4556). The funders had no role in study design, data collection and analysis, decision to publish, or preparation of the manuscript.</t>
  </si>
  <si>
    <t>PEERJ INC</t>
  </si>
  <si>
    <t>341-345 OLD ST, THIRD FLR, LONDON, EC1V 9LL, ENGLAND</t>
  </si>
  <si>
    <t>2167-8359</t>
  </si>
  <si>
    <t>PeerJ</t>
  </si>
  <si>
    <t>e12458</t>
  </si>
  <si>
    <t>10.7717/peerj.12458</t>
  </si>
  <si>
    <t>XC9CO</t>
  </si>
  <si>
    <t>Green Submitted, Green Published, gold</t>
  </si>
  <si>
    <t>WOS:000722308700005</t>
  </si>
  <si>
    <t>McIntyre, T; Haussmann, S</t>
  </si>
  <si>
    <t>McIntyre, T.; Haussmann, S.</t>
  </si>
  <si>
    <t>Declining citation accuracy in polar research</t>
  </si>
  <si>
    <t>Arctic; Antarctic; Citation practices; Polar; Referencing</t>
  </si>
  <si>
    <t>REFERENCES; JOURNALS</t>
  </si>
  <si>
    <t>Accurate citation practices are important to ensure a robust knowledge base and overall trustworthy academic enterprise. The prevalence of poor citation practices has been assessed in multiple fields, resulting in estimates of inaccurate citations ranging typically between 15% and 25%. Here, we assessed the accuracy of citations in research articles extracted from 11 journals with a polar sciences focus. Thirty percent of citations from recent articles (published between 2018 and 2019) and 26 % of citations between 1980 and 2019 were found to be inaccurate. We found no evidence for differences in citation accuracy between the journals assessed, or effects on citation accuracy associated with the number of authors, number of references, position of references or if a citation was a self-citation or not. Importantly, we present evidence for a decline in citation accuracy between 1980 and 2019 in polar sciences. Citation practices are unlikely to improve unless journals provide incentives for scholars to be more meticulous, and we recommend active monitoring of citation accuracy and citation appropriateness by reviewers and editorial staff.</t>
  </si>
  <si>
    <t>[McIntyre, T.] Univ South Africa, Dept Life &amp; Consumer Sci, Coll Agr &amp; Environm Sci, Sci Campus, Florida, South Africa; [Haussmann, S.] Univ Pretoria, Dept Geog Geoinformat &amp; Meteorol, Hatfield, South Africa</t>
  </si>
  <si>
    <t>University of South Africa; University of Pretoria</t>
  </si>
  <si>
    <t>McIntyre, T (corresponding author), Univ South Africa, Dept Life &amp; Consumer Sci, Coll Agr &amp; Environm Sci, Sci Campus, Florida, South Africa.</t>
  </si>
  <si>
    <t>mcintt@unisa.ac.za</t>
  </si>
  <si>
    <t>McIntyre, Trevor/E-6846-2010</t>
  </si>
  <si>
    <t>McIntyre, Trevor/0000-0001-8395-7550</t>
  </si>
  <si>
    <t>e43</t>
  </si>
  <si>
    <t>10.1017/S0032247421000607</t>
  </si>
  <si>
    <t>WX0QB</t>
  </si>
  <si>
    <t>WOS:000718308600001</t>
  </si>
  <si>
    <t>Farley, KA; Taylor, S; Treffkorn, J; Lever, JH; Gow, AL</t>
  </si>
  <si>
    <t>Farley, Kenneth A.; Taylor, Susan; Treffkorn, Jonathan; Lever, James H.; Gow, Anthony L.</t>
  </si>
  <si>
    <t>3He flux obtained from South Pole air and snow-ice and its connection to interplanetary dust particles</t>
  </si>
  <si>
    <t>METEORITICS &amp; PLANETARY SCIENCE</t>
  </si>
  <si>
    <t>EXTRATERRESTRIAL HE-3; ACCRETION RATE; NOBLE-GASES; MICROMETEORITES; COLLECTION; HELIUM; PERIODICITY; SEDIMENTS; GRAINS</t>
  </si>
  <si>
    <t>Researchers have characterized extraterrestrial (ET) helium, likely carried by interplanetary dust particles (IDPs), in deep-sea sediments spanning more than the last 100 Myr. Here we complement those low resolution and deep time studies by measuring He in modern Antarctic air and recent ice. We analyzed 180 air filter samples collected in 2017 and 2018 at the South Pole and detected He-3 above blank levels in 178. The filters collected during the austral springs had elevated He-3 in multiple subsamples indicating the presence of many individual IDPs and potentially, a temporal variation in the ET small particle flux. Our calculated mean He-3 flux of 1.4 +/- 1.2 x 10(-12) cc STP cm(-2) ka(-1) is the first such measurement from air samples. We also melted, filtered, and analyzed one hundred and forty-one 1 m-long ice sections from a similar to 2000-yr-old South Pole core. We detected He-3 above blank levels in 139 of the 141 ice core samples and calculated an average flux of 1.2 +/- 0.3 x 10(-12) cc STP cm(-2) ka(-1). Our two flux values are within a factor of two of those calculated from stratospheric IDP concentrations, those previously measured for sections of the GISP2 and Vostok ice cores, and from sediment cores from different locations and ages. The similarity of these flux values over disparate time scales (1-10(8) yr) and geographic locations (90 degrees S to equator) indicates modest temporal variability and remarkable agreement among diverse IDP archives. These data provide a compelling link from IDPs collected in the stratosphere to those recorded in deep time sedimentary archives.</t>
  </si>
  <si>
    <t>[Farley, Kenneth A.; Treffkorn, Jonathan] CALTECH, Pasadena, CA 91125 USA; [Taylor, Susan; Lever, James H.; Gow, Anthony L.] US Army, Engineer Res &amp; Dev Ctr, Cold Reg Res &amp; Engn Lab, Hanover, NH 03755 USA</t>
  </si>
  <si>
    <t>California Institute of Technology; United States Department of Defense; United States Army; U.S. Army Corps of Engineers; U.S. Army Engineer Research &amp; Development Center (ERDC); Cold Regions Research &amp; Engineering Laboratory (CRREL)</t>
  </si>
  <si>
    <t>Taylor, S (corresponding author), US Army, Engineer Res &amp; Dev Ctr, Cold Reg Res &amp; Engn Lab, Hanover, NH 03755 USA.</t>
  </si>
  <si>
    <t>susant47@gmail.com</t>
  </si>
  <si>
    <t>Farley, Kenneth/AAE-7735-2020</t>
  </si>
  <si>
    <t>NASA's Emerging Worlds program [15-EW15-2-009]; NSF's Antarctic Program; NASA; NSF</t>
  </si>
  <si>
    <t>NASA's Emerging Worlds program; NSF's Antarctic Program; NASA(National Aeronautics &amp; Space Administration (NASA)); NSF(National Science Foundation (NSF))</t>
  </si>
  <si>
    <t>Collection of the South Pole air filters was funded by NASA's Emerging Worlds program 15-EW15-2-009, with added support from NSF's Antarctic Program. We thank NASA and NSF for their support. As authors, we assert no affiliation or involvement in an organization or entity with a financial or nonfinancial interest in the subject matter or materials discussed in this manuscript. We thank Dr. Hope Ishii and an unknown reviewer for their helpful comments and suggestions.</t>
  </si>
  <si>
    <t>1086-9379</t>
  </si>
  <si>
    <t>1945-5100</t>
  </si>
  <si>
    <t>METEORIT PLANET SCI</t>
  </si>
  <si>
    <t>Meteorit. Planet. Sci.</t>
  </si>
  <si>
    <t>10.1111/maps.13759</t>
  </si>
  <si>
    <t>WZ5EE</t>
  </si>
  <si>
    <t>WOS:000718371700001</t>
  </si>
  <si>
    <t>Anderson, A; O'Regan, T; Parata-Goodall, P; Stevens, M; Tau, TM</t>
  </si>
  <si>
    <t>Anderson, Atholl; O'Regan, Tipene; Parata-Goodall, Puamiria; Stevens, Michael; Tau, Te Maire</t>
  </si>
  <si>
    <t>A southern Maori perspective on stories of Polynesian polar voyaging</t>
  </si>
  <si>
    <t>Antarctica; Rarotongan and Maori traditions; Archaeology; History</t>
  </si>
  <si>
    <t>As Ngai Tahu (southern Maori), we take issue with widespread reference in scholarly publication to Polynesian voyagers reaching the Antarctic, an idea that originated in the translation of Rarotongan traditions in the nineteenth century. Analysis of those indicates that they contain no plausible reference to Antarctic seafaring. Southern Maori interests have extended into the Subantarctic Islands for 800 years but there is no reference to Antarctica in our historical traditions. Our archaeology and history document a southern boundary to Maori occupation at Port Ross (Auckland Islands), despite habitable islands existing further south. We think it is very unlikely that Maori or other Polynesian voyaging reached the Antarctic.</t>
  </si>
  <si>
    <t>[Anderson, Atholl; O'Regan, Tipene; Parata-Goodall, Puamiria; Stevens, Michael; Tau, Te Maire] Univ Canterbury, Te Waimaero Ngai Tahu Res Ctr, Christchurch 8041, New Zealand</t>
  </si>
  <si>
    <t>University of Canterbury</t>
  </si>
  <si>
    <t>Anderson, A (corresponding author), Univ Canterbury, Te Waimaero Ngai Tahu Res Ctr, Christchurch 8041, New Zealand.</t>
  </si>
  <si>
    <t>atholl.anderson@anu.edu.au</t>
  </si>
  <si>
    <t>Anderson, Atholl/0000-0002-7636-7306</t>
  </si>
  <si>
    <t>e42</t>
  </si>
  <si>
    <t>10.1017/S0032247421000693</t>
  </si>
  <si>
    <t>WX2WE</t>
  </si>
  <si>
    <t>WOS:000718461800001</t>
  </si>
  <si>
    <t>Botté, ES; Cantin, NE; Mocellin, VJL; O'Brien, PA; Rocker, MM; Frade, PR; Webster, NS</t>
  </si>
  <si>
    <t>Botte, Emmanuelle S.; Cantin, Neal E.; Mocellin, Veronique J. L.; O'Brien, Paul A.; Rocker, Melissa M.; Frade, Pedro R.; Webster, Nicole S.</t>
  </si>
  <si>
    <t>Reef location has a greater impact than coral bleaching severity on the microbiome of Pocillopora acuta</t>
  </si>
  <si>
    <t>CORAL REEFS</t>
  </si>
  <si>
    <t>Coral bleaching; Coral microbiome; Pocillopora; Symbiodiniaceae; Endozoicomonas; Great Barrier Reef</t>
  </si>
  <si>
    <t>BARRIER-REEF; CLIMATE-CHANGE; PATTERNS; BACTERIA; COMMUNITIES; HEALTH; MUCUS; MICROORGANISMS; ASSOCIATIONS; VARIABILITY</t>
  </si>
  <si>
    <t>Coral reefs are increasingly threatened by heat stress events leading to coral bleaching. In 2016, a mass bleaching event affected large parts of the Great Barrier Reef (GBR). Whilst bleaching severity and coral mortality are usually monitored throughout major bleaching events, other health indicators, such as changes in microbial partners, are rarely assessed. We examined the impact of the 2016 bleaching event on the composition of the microbial communities in the coral Pocillopora acuta at Havannah Island Pandora reef, separated by 12 km on the inshore central GBR. Corals experienced moderate heat stress (3.6 and 5.3 degree heating weeks), inducing major bleaching (30-60%) at the coral community level. Samples were partitioned according to Symbiodiniaceae densities into three bleaching severity categories (mild, moderate, and severe). Whilst Symbiodiniaceae densities were similar at both reef locations, sequencing of the Symbiodiniaceae ITS2 and prokaryotic 16S rRNA genes revealed that microbial communities were significantly different between reefs, but not according to bleaching severity. Symbiodiniaceae composition was dominated by the genus Cladocopium with low abundances of Durusdinium detected in moderately and severely bleached colonies at both sites, despite site-specific ITS2 profiles. Bacterial communities were dominated by Proteobacteria and were almost entirely lacking the common Pocilloporid associate Endozoicomonas regardless of bleaching severity. Strikingly, only 11.2% of the bacterial Amplicon Sequencing Variants (ASVs) were shared between sites. This reef specificity was driven by 165 ASVs, mainly from the family Rhodobacteraceae. Comparison with previous studies suggests that the moderate heat stress experienced on the central GBR in 2016 caused the near-complete absence of Endozoicomonas. Symbiodiniaceae and bacteria (particularly Rhodobacteraceae) can be vertically transmitted in P. acuta, and larval propagation can be spatially restricted for this brooding species. Our results demonstrate that, unlike bleaching severity, location-specific factors and species-specific life history traits might have been paramount in shaping the P. acuta microbiome.</t>
  </si>
  <si>
    <t>[Botte, Emmanuelle S.; Cantin, Neal E.; Mocellin, Veronique J. L.; O'Brien, Paul A.; Webster, Nicole S.] Australian Inst Marine Sci, Townsville, Qld, Australia; [Botte, Emmanuelle S.] Univ New South Wales, Ctr Marine Sci &amp; Innovat, Sch Biol Earth &amp; Environm Sci, Sydney, NSW, Australia; [O'Brien, Paul A.] James Cook Univ, Coll Sci &amp; Engn, Townsville, Qld, Australia; [O'Brien, Paul A.] AIMS JCU, Townsville, Qld, Australia; [Rocker, Melissa M.] Deakin Univ, Sch Life &amp; Environm Sci, Nutr &amp; Seafood Lab, Queenscliff, Vic, Australia; [Frade, Pedro R.] Nat Hist Museum Vienna, Zool Dept 3, Vienna, Austria; [Webster, Nicole S.] Australian Antarctic Div, Hobart, Tas, Australia; [Webster, Nicole S.] Univ Queensland, Australian Ctr Ecogen, Brisbane, Qld, Australia</t>
  </si>
  <si>
    <t>Australian Institute of Marine Science; University of New South Wales Sydney; James Cook University; James Cook University; Deakin University; Australian Antarctic Division; University of Queensland</t>
  </si>
  <si>
    <t>Botté, ES (corresponding author), Australian Inst Marine Sci, Townsville, Qld, Australia.;Botté, ES (corresponding author), Univ New South Wales, Ctr Marine Sci &amp; Innovat, Sch Biol Earth &amp; Environm Sci, Sydney, NSW, Australia.</t>
  </si>
  <si>
    <t>e.botte@unsw.edu.au</t>
  </si>
  <si>
    <t>Botte, Emmanuelle/0000-0001-5070-5891; Mocellin, Veronique J.L/0000-0001-9913-302X</t>
  </si>
  <si>
    <t>Australian Institute of Marine Science</t>
  </si>
  <si>
    <t>The authors acknowledge the Manbarra People of the Palm Island group as the Traditional Owners of the sea country where the sampling took place. We pay our respects to their elders, past, present and emerging and we acknowledge their continuing spiritual connection to their sea country. We thank Benjamin Hume for his interest in our work and his thorough explanation of the Symbiodiniaceae phylogeny, and Jean-Baptiste Raina for fruitful comments on the manuscript. Funding for this research was provided by the Australian Institute of Marine Science appropriation funds.</t>
  </si>
  <si>
    <t>0722-4028</t>
  </si>
  <si>
    <t>1432-0975</t>
  </si>
  <si>
    <t>Coral Reefs</t>
  </si>
  <si>
    <t>10.1007/s00338-021-02201-y</t>
  </si>
  <si>
    <t>Marine &amp; Freshwater Biology</t>
  </si>
  <si>
    <t>ZF6CB</t>
  </si>
  <si>
    <t>Green Accepted, Green Submitted, hybrid</t>
  </si>
  <si>
    <t>WOS:000718220100001</t>
  </si>
  <si>
    <t>Wasilowska, A; Tatur, A; Rzepecki, M</t>
  </si>
  <si>
    <t>Wasilowska, Agnieszka; Tatur, Andrzej; Rzepecki, Marek</t>
  </si>
  <si>
    <t>Massive diatom bloom initiated by high winter sea ice in Admiralty Bay (King George Island, South Shetlands) in relation to nutrient concentrations in the water column during the 2009/2010 summer</t>
  </si>
  <si>
    <t>Maritime Antarctica; West Antarctic peninsula; Antarctic fjord; Phytoplankton bloom; HPLC pigment taxonomic group; Nutrient dynamics</t>
  </si>
  <si>
    <t>WEST ANTARCTIC PENINSULA; PHYTOPLANKTON BIOMASS; MIXED-LAYER; ROSS SEA; INTERANNUAL VARIABILITY; PHAEOCYSTIS-ANTARCTICA; PRIMARY PRODUCTIVITY; ATLANTIC SECTOR; MARGUERITE BAY; CLIMATE-CHANGE</t>
  </si>
  <si>
    <t>The South Shetland Islands, including King George Island (KGI), are located in the northern hydrographic zone on the West side of the Antarctic Peninsula (Northern WAP), which is washed mainly by the Antarctic Circumpolar Current (ACC). Continuous vertical mixing of the water column by strong currents, violent tidal water exchanges in deep fjords and frequent strong winds do not favour the seasonal appearance of large phytoplankton blooms. In contrast, the southern WAP is bound by the continental shelf, and is under the influence of the weaker Antarctic Peninsula Coastal Current (APCC), maintaining seasonal winter sea ice, which provides a shallow mixed layer, which in turn supports high levels of biological production in summer. During the 2009 / 2010 summer, however, a distinctive bloom event (chl-a &gt; 20 mu gL(-1)) was documented for in Admiralty Bay (AB), the largest and deepest fjord in KGI. It commenced in early summer (29 December 2009) at the edge of melting sea ice which had persisted since the preceding cold winter of 2009. The phytoplankton group dynamics, determined using photosynthetic pigment data, and associated changes in nutrient concentration during the bloom, have been described in this paper. The area where the phytoplankton bloom developed coincided with the surface of the brash sea ice cover. The sequence and size of biological and chemical changes recorded within the fjord during the bloom resembled the recurring ice edge blooms which occur in the southern WAP, although they had a much shorter lifespan (&lt; two weeks), which may have been due to the slow SE winds and related surface water movement direction, which hindered vertical mixing and kept the surface water within the fjord.</t>
  </si>
  <si>
    <t>[Wasilowska, Agnieszka; Tatur, Andrzej] Warsaw Univ, Fac Geol, Dept Protect Environm &amp; Nat Resources, Zwirki &amp; Wigury 93, PL-02089 Warsaw, Poland; [Rzepecki, Marek] Nencki Inst Expt Biol, PL-02093 Warsaw, Poland</t>
  </si>
  <si>
    <t>University of Warsaw; Polish Academy of Sciences; Nencki Institute of Experimental Biology of the Polish Academy of Sciences</t>
  </si>
  <si>
    <t>Wasilowska, A (corresponding author), Warsaw Univ, Fac Geol, Dept Protect Environm &amp; Nat Resources, Zwirki &amp; Wigury 93, PL-02089 Warsaw, Poland.</t>
  </si>
  <si>
    <t>al.wasilowska@uw.edu.pl</t>
  </si>
  <si>
    <t>National Science Centre, Poland [PolarCLIMATE-PP-001, 2012/05/B/ST10/01130]</t>
  </si>
  <si>
    <t>National Science Centre, Poland(National Science Centre, Poland)</t>
  </si>
  <si>
    <t>The work was carried out as part of the IMCOAST Project (PolarCLIMATE-PP-001) of the European Partnership in Polar Climate Science, and finalised thanks to the support of Project No. 2012/05/B/ST10/01130, financed by the National Science Centre, Poland.</t>
  </si>
  <si>
    <t>10.1016/j.jmarsys.2021.103667</t>
  </si>
  <si>
    <t>XO1RP</t>
  </si>
  <si>
    <t>WOS:000729970600002</t>
  </si>
  <si>
    <t>Broitman, BR; Lara, C; Flores, RP; Saldías, GS; Pinones, A; Pinochet, A; Mejia, AG; Navarrete, SA</t>
  </si>
  <si>
    <t>Broitman, Bernardo R.; Lara, Carlos; Flores, Raul P.; Saldias, Gonzalo S.; Pinones, Andrea; Pinochet, Andre; Mejia, Alexander Galan; Navarrete, Sergio A.</t>
  </si>
  <si>
    <t>Environmental variability and larval supply to wild and cultured shellfish populations</t>
  </si>
  <si>
    <t>AQUACULTURE</t>
  </si>
  <si>
    <t>Sea Surface temperature; Argopecten purpuratus; Perumytilus purpuratus; Coastal oceanography; Empirical orthogonal function; Shellfish aquaculture; ENSO; PDO; Jehlius cirratus</t>
  </si>
  <si>
    <t>SCALLOPS ARGOPECTEN-PURPURATUS; INTERTIDAL INVERTEBRATES; TEMPORAL PATTERNS; INTERANNUAL VARIABILITY; CLIMATE-CHANGE; EL-NINO; RECRUITMENT; PACIFIC; CHILE; IMPACTS</t>
  </si>
  <si>
    <t>Coastal upwelling ecosystems support some of the most productive fisheries of the planet together with a large shellfish aquaculture sector that depends on oceanographic processes to deliver planktonic larvae to replenish and feed the farmed stock. Coastal shellfish aquaculture operations in Chile and Peru have experienced large interannual fluctuations in larval supply over the past decade, yet the drivers of such variability remain unidentified. We focused on the effects of environmental variability on larval supply of the farmed Peruvian bay scallop Argopecten purpuratus in a bay in northern Chile (Tongoy Bay, 30 circle S) that accounts for over 90% of countrywide landings. We examined the hypothesis that the environmental processes governing larval supply were shared with wild benthic invertebrates with planktonic larval development and compared time series of larval abundance for the scallop with larval supply rates to benthic populations of two well-studied wild intertidal species: the Chthamalid barnacle Jehlius cirratus and the purple mussel Perumytilus purpuratus. To this end, we examined the cross-correlation of larval supply to environmental variability using MODIS satellite fields of sea surface temperature (SST) chlorophyll-a concentration (chl-a) and fluorescence line height (nFLH), together with three climate indices relevant for the south east Pacific sector: the Southern Oscillation index (SOI), the Pacific Decadal Oscillation (PDO) and the Antarctic Oscillation Index (AAO). Our results showed that over the five-year study period (2009-2013), patterns of larval supply to the scallop population were related to interannual variability in the environmental processes as captured by their Empirical Orthogonal Functions (EOFs), likely to adult condition before spawning. Surprisingly, larval supply for none of the wild species showed a clear association to the EOFs. In contrast, scallops and wild species showed significant association to lower frequency climate variability as captured by the SOI and the PDO, but not the AAO. Results suggest that larval supply patterns to Tongoy Bay may be modulated by regional patterns of climatic variability, particularly of tropical origin. Thus, changes in coastal oceanography associated with ongoing changes in global climate could have strong and lasting effects on the supply of seedstock for wild and cultivated species across this eastern boundary coastal system and argue for the establishment of long-term ocean observing and early warning systems along the region.</t>
  </si>
  <si>
    <t>[Broitman, Bernardo R.] Univ Adolfo Ibanez, Fac Artes Liberales, Dept Ciencias, Vina Del Mar, Chile; [Lara, Carlos] Univ Catolica Santisima Concepcion, Fac Ciencias, Dept Ecol, Concepcion, Chile; [Lara, Carlos] Univ Bernardo OHiggins, Ctr Invest Recursos Nat &amp; Sustentabilidad CIRENYS, Santiago, Chile; [Flores, Raul P.] Univ Tecn Federico Santa Maria, Dept Obras Civiles, Valparaiso, Chile; [Saldias, Gonzalo S.] Univ Bio Bio, Fac Ciencias, Dept Fis, Concepcion, Chile; [Pinones, Andrea; Pinochet, Andre] Univ Austral Chile, Inst Ciencias Marinas &amp; Limnol, Fac Ciencias, Valdivia, Chile; [Pinones, Andrea] Univ Concepcion, Ctr Invest Oceanog COPAS Sur Austral, Concepcion, Chile; [Mejia, Alexander Galan] Univ Catolica Maule, Ctr Invest Estudios Avanzados Maule CIEAM, Vicerrectoria Invest &amp; Postgrad, Talca, Chile; [Mejia, Alexander Galan] Univ Catolica Maule, Fac Ciencias Ingn, Dept Obras Civiles, Talca, Chile; [Navarrete, Sergio A.] Estn Costera Invest Marinas ECIM, Cruces, Chile; [Navarrete, Sergio A.] Pontificia Univ Catolica Chile, Ctr Appl Ecol &amp; Sustainabil CAPES, Santiago, Chile</t>
  </si>
  <si>
    <t>Universidad Adolfo Ibanez; Universidad Catolica de la Santisima Concepcion; Universidad Bernardo O'Higgins; Universidad Tecnica Federico Santa Maria; Universidad del Bio-Bio; Universidad Austral de Chile; Universidad de Concepcion; Universidad Catolica del Maule; Universidad Catolica del Maule; Pontificia Universidad Catolica de Chile</t>
  </si>
  <si>
    <t>Broitman, BR (corresponding author), Univ Adolfo Ibanez, Fac Artes Liberales, Dept Ciencias, Vina Del Mar, Chile.</t>
  </si>
  <si>
    <t>bernardo.broitman@uai.cl</t>
  </si>
  <si>
    <t>Flores, Raul P./Q-3015-2018; Navarrete, Sergio A/D-4645-2013; Saldías, Gonzalo S/C-3577-2016; Broitman, Bernardo/D-6007-2013</t>
  </si>
  <si>
    <t>Flores, Raul P./0000-0003-2687-653X; Galan, Alexander/0000-0001-8775-0426; Navarrete, Sergio Andres/0000-0003-4021-3863; Lara, Carlos/0000-0003-1223-7761; Broitman, Bernardo/0000-0001-6582-3188; Pinones, Andrea/0000-0002-1737-9016</t>
  </si>
  <si>
    <t>FONDECYT [11190209, 11190378, 1190805, 1181300]; Millennium Science Initiative Nucleus UPWELL [NCN19-153]; Millennium Science Initiative Institute SECOS [ICN2019-015]; CYTED program [520RT0010]</t>
  </si>
  <si>
    <t>FONDECYT(Comision Nacional de Investigacion Cientifica y Tecnologica (CONICYT)CONICYT FONDECYT); Millennium Science Initiative Nucleus UPWELL; Millennium Science Initiative Institute SECOS; CYTED program</t>
  </si>
  <si>
    <t>This work was funded by grant FONDECYT 11190209 (C.L) , 11190378 (R.P.F) , 1190805 (G.S.S) and 1181300 (B.R.B) . Additionalsupport was provided by the Millennium Science Initiative Nucleus UPWELL (NCN19-153) , and the Millennium Science Initiative Institute SECOS (ICN2019-015) and the CYTED program under the grant number 520RT0010 Red GeoLIBERO-Consolidacion de una red de geomatica libre aplicada alas necesidades de Iberoamerica to C.L. In situ SST data is publicly available from the Centro de Estudios Avanzados en Zonas Aridas (CEAZA) http:// www.ceazamet.cl. The time series of A. purpuratus larval supply together with the methods employed by the industry monitoring program, were provided by Christian Tapia and Pamela Tapia from INVERTEC-Ostimar and initially processed by Avia Gonzalez. We greatly acknowledge their generosity, support and collaboration.</t>
  </si>
  <si>
    <t>0044-8486</t>
  </si>
  <si>
    <t>1873-5622</t>
  </si>
  <si>
    <t>Aquaculture</t>
  </si>
  <si>
    <t>FEB 15</t>
  </si>
  <si>
    <t>10.1016/j.aquaculture.2021.737639</t>
  </si>
  <si>
    <t>Fisheries; Marine &amp; Freshwater Biology</t>
  </si>
  <si>
    <t>XH5ED</t>
  </si>
  <si>
    <t>WOS:000725456600004</t>
  </si>
  <si>
    <t>Chen, WC; Zeng, YX; Zheng, L; Liu, WZ; Lyu, QQ</t>
  </si>
  <si>
    <t>Chen, Wencui; Zeng, Yinxin; Zheng, Li; Liu, Weizhi; Lyu, Qianqian</t>
  </si>
  <si>
    <t>Discovery and characterization of a novel protease from the Antarctic soil</t>
  </si>
  <si>
    <t>PROCESS BIOCHEMISTRY</t>
  </si>
  <si>
    <t>Protease; Metagenomic library; Functional screening; Antarctic soil</t>
  </si>
  <si>
    <t>ALKALINE PROTEASE; METAGENOMIC LIBRARY; SERINE-PROTEASE; EXPRESSION; ENZYME; DNA; PROTEINASE; STABILITY; RECOVERY; SEARCH</t>
  </si>
  <si>
    <t>The extensive use of proteases in many areas, especially in the textile, food, and detergent industries, has led increases in the discovery and characterization of novel proteolytic enzymes. Microorganism from the Antarctic may contain novel proteases because of the extreme environment; however, to our knowledge, few relevant studies have been reported to date. Here, an Antarctic soil metagenomic fosmid library was successfully con-structed, and a 36 kb positive fosmid clone was screened using lactose-free skim milk agar. Sequence alignment and phylogenetic analysis indicated that the positive fosmid clone encoded a new protein belonging to the metalloprotease subfamily M43B (36.6 % identity), which was named as Pr18H-2. Enzymatic analysis revealed that Pr18H-2 possess several features: (1). it demonstrated high thermal stability with the optimal temperature was 60 degrees C; (2). it was active in the broad pH range of 5.0-10.0, with the optimal pH of 8.0 which allowed it to be an alkaline protease; (3). it was able to degrade a wide range of protein substrates and exhibit the substrate preferences for small substrates, such as casein hydrolysate and fibrin; (4). it showed that the enzymatic activity was increased by approximately four times in the presence of 5 mM Co2+.</t>
  </si>
  <si>
    <t>[Chen, Wencui; Liu, Weizhi; Lyu, Qianqian] Ocean Univ China, Coll Marine Life Sci, MOE Key Lab Marine Genet &amp; Breeding, Qingdao 266105, Peoples R China; [Chen, Wencui; Liu, Weizhi; Lyu, Qianqian] Qingdao Pilot Natl Lab Marine Sci &amp; Technol, Lab Marine Biol &amp; Biotechnol, Qingdao 266235, Peoples R China; [Zeng, Yinxin] Polar Res Inst China, Shanghai 200136, Peoples R China; [Zheng, Li] Qingdao Pilot Natl Lab Marine Sci &amp; Technol, Lab Marine Ecol &amp; Environm Sci, Qingdao 266071, Peoples R China; [Zheng, Li] Minist Nat Resources, Key Lab Marine Ecoenvironm Sci &amp; Technol, Inst Oceanog 1, Qingdao 266061, Peoples R China</t>
  </si>
  <si>
    <t>Ocean University of China; Laoshan Laboratory; Polar Research Institute of China; Laoshan Laboratory; First Institute of Oceanography, Ministry of Natural Resources; Ministry of Natural Resources of the People's Republic of China</t>
  </si>
  <si>
    <t>Lyu, QQ (corresponding author), Ocean Univ China, Coll Marine Life Sci, MOE Key Lab Marine Genet &amp; Breeding, Qingdao 266105, Peoples R China.</t>
  </si>
  <si>
    <t>lyuqianqian@ouc.edu.cn</t>
  </si>
  <si>
    <t>National Key Research and Devel-opment Program of China [2018YFC1406903]</t>
  </si>
  <si>
    <t>National Key Research and Devel-opment Program of China</t>
  </si>
  <si>
    <t>This research was funded by the National Key Research and Devel-opment Program of China (Grant No. 2018YFC1406903) .</t>
  </si>
  <si>
    <t>1359-5113</t>
  </si>
  <si>
    <t>1873-3298</t>
  </si>
  <si>
    <t>PROCESS BIOCHEM</t>
  </si>
  <si>
    <t>Process Biochem.</t>
  </si>
  <si>
    <t>10.1016/j.procbio.2021.10.032</t>
  </si>
  <si>
    <t>Biochemistry &amp; Molecular Biology; Biotechnology &amp; Applied Microbiology; Engineering, Chemical</t>
  </si>
  <si>
    <t>Biochemistry &amp; Molecular Biology; Biotechnology &amp; Applied Microbiology; Engineering</t>
  </si>
  <si>
    <t>XO1ZZ</t>
  </si>
  <si>
    <t>WOS:000729992500010</t>
  </si>
  <si>
    <t>Bonnet-Lebrun, AS; Collet, J; Phillips, RA</t>
  </si>
  <si>
    <t>Bonnet-Lebrun, Anne-Sophie; Collet, Julien; Phillips, Richard A.</t>
  </si>
  <si>
    <t>A test of the win-stay-lose-shift foraging strategy and its adaptive value in albatrosses</t>
  </si>
  <si>
    <t>ANIMAL BEHAVIOUR</t>
  </si>
  <si>
    <t>foraging flexibility; individual consistency; meal mass; provisioning rate; resource predictability; site fidelity; win-stay-lose-shift strategy</t>
  </si>
  <si>
    <t>SITE FIDELITY; SPATIAL MEMORY; SPECIALIZATION; SEABIRDS; CONSISTENCY; BEHAVIOR; SUCCESS; KRILL; RATS</t>
  </si>
  <si>
    <t>Foraging site selection and site fidelity can have implications for many ecological processes. The degree of site fidelity differs greatly not just between species but also within populations. Some of this variation may be explained by a win-stay-lose-shift (WSLS) strategy, where an individual returns to its most recent foraging area only if the previous visit was profitable. However, the use and adaptive value of this strategy have mostly been tested in captivity, largely because of the difficulty in obtaining accurate measures of profitability (foraging efficiency) in the wild. Here, we used a rare combination of data on movements of breeding black-browed albatrosses, Thalassarche melanophris, tracked using satellite transmitters, and on chick meal mass obtained from automatic nest balances, to test whether individuals adopted a WSLS strategy, and how this strategy performed in terms of provisioning rate. We found results consistent with the use of a WSLS strategy, and that the strategy had some adaptive value, albeit rather limited. Our observational study of free-living seabirds corroborates previous experimental results suggesting that animals account for recent foraging success in their decision making and can adapt their strategy to local resource dynamics. (c) 2021 The Association for the Study of Animal Behaviour. Published by Elsevier Ltd. All rights reserved.</t>
  </si>
  <si>
    <t>[Bonnet-Lebrun, Anne-Sophie; Phillips, Richard A.] British Antarctic Survey, Nat Environm Res Council, Cambridge, England; [Collet, Julien] Univ Oxford, Dept Zool, Oxford Nav Grp, Oxford, England</t>
  </si>
  <si>
    <t>UK Research &amp; Innovation (UKRI); Natural Environment Research Council (NERC); NERC British Antarctic Survey; University of Oxford</t>
  </si>
  <si>
    <t>Bonnet-Lebrun, AS (corresponding author), British Antarctic Survey, Nat Environm Res Council, Cambridge, England.</t>
  </si>
  <si>
    <t>anne-sophie.bonnet-lebrun@normale.fr</t>
  </si>
  <si>
    <t>Bonnet-Lebrun, Anne-Sophie/GYU-2977-2022; Collet, Julien/AAO-3785-2020</t>
  </si>
  <si>
    <t>Bonnet-Lebrun, Anne-Sophie/0000-0002-7587-615X; Collet, Julien/0000-0002-3285-5535</t>
  </si>
  <si>
    <t>We are grateful to Ben Phalan, Jane Tanton and Nicholas Warren for help with fieldwork at Bird Island, Mike Francis for technical advice on the automatic nest balances, John Croxall for overseeing the albatross tracking programmes for many years, and Lucy Aplin and two anonymous referees for constructive feedback. This study represents a contribution to the Ecosystems component of the British Antarctic Survey Polar Science for Planet Earth Programme funded by the Natural Environment Research Council.</t>
  </si>
  <si>
    <t>0003-3472</t>
  </si>
  <si>
    <t>1095-8282</t>
  </si>
  <si>
    <t>ANIM BEHAV</t>
  </si>
  <si>
    <t>Anim. Behav.</t>
  </si>
  <si>
    <t>10.1016/j.anbehav.2021.10.010</t>
  </si>
  <si>
    <t>Behavioral Sciences; Zoology</t>
  </si>
  <si>
    <t>WZ2MY</t>
  </si>
  <si>
    <t>WOS:000719807300007</t>
  </si>
  <si>
    <t>Boulila, S; Dupont-Nivet, G; Galbrun, B; Bauer, H; Châteauneuf, JJ</t>
  </si>
  <si>
    <t>Boulila, Slah; Dupont-Nivet, Guillaume; Galbrun, Bruno; Bauer, Hugues; Chateauneuf, Jean-Jacques</t>
  </si>
  <si>
    <t>Age and driving mechanisms of the Eocene-Oligocene transition from astronomical tuning of a lacustrine record (Rennes Basin, France)</t>
  </si>
  <si>
    <t>CLIMATE OF THE PAST</t>
  </si>
  <si>
    <t>ANTARCTIC GLACIATION; GLOBAL CLIMATE; MIDDLE EOCENE; PROXY; ROCK; TEMPERATURE; CIRCULATION; CALIBRATION; TIMESCALE; GREIGITE</t>
  </si>
  <si>
    <t>The Eocene-Oligocene Transition (EOT) marks the onset of the Antarctic glaciation and the switch from greenhouse to icehouse climates. However, the driving mechanisms and the precise timing of the EOT remain controversial mostly due to the lack of well-dated stratigraphic records, especially in continental environments. Here we present a cyclo-magnetostratigraphic and sedimentological study of a similar to 7.6 Myr long lacustrine record spanning the late Eocene to the earliest Oligocene, from a drill core in the Rennes Basin (France). Cyclostratigraphic analysis of natural gamma radiation (NGR) log data yields duration estimates of Chrons C12r through C16n.1n, providing additional constraints on the Eocene timescale. Correlations between the orbital eccentricity curve and the 405 kyr tuned NGR time series indicate that 33.71 and 34.10 Ma are the most likely proposed ages of the EO boundary. Additionally, the 405 kyr tuning calibrates the most pronounced NGR cyclicity to a period of similar to 1 Myr, matching the g1-g5 eccentricity term, supporting its significant expression in continental depositional environments, and hypothesizing that the paleolake level may have behaved as a low-pass filter for orbital forcing. Two prominent changes in the sedimentary facies were detected across the EOT, which are temporally equivalent to the two main climatic steps, EOT-1 and Oi-1. We suggest that these two facies changes reflect the two major Antarctic cooling/glacial phases via the hydrological cycle, as significant shifts to drier and cooler climate conditions. Finally, the interval spanning the EOT precursor glacial event through EOT-1 is remarkably dominated by obliquity. This suggests preconditioning of the major Antarctic glaciation, either from obliquity directly affecting the formation/(in)stability of the incipient Antarctic Ice Sheet (AIS), or through obliquity modulation of the North Atlantic Deep Water production.</t>
  </si>
  <si>
    <t>[Boulila, Slah; Galbrun, Bruno] Sorbonne Univ, Inst Sci Terre Paris, ISTeP, CNRS, Paris, France; [Boulila, Slah] Sorbonne Univ, PSL Univ, Observ Paris, ASD IMCCE,CNRS UMR 8028, Paris, France; [Dupont-Nivet, Guillaume] Univ Rennes 1, Geosci Rennes UMR CNRS, Rennes, France; [Dupont-Nivet, Guillaume] Potsdam Univ, Dept Geosci, Potsdam, Germany; [Bauer, Hugues; Chateauneuf, Jean-Jacques] Bur Rech Geol &amp; Minieres, Orleans, France</t>
  </si>
  <si>
    <t>Centre National de la Recherche Scientifique (CNRS); Sorbonne Universite; Universite PSL; Observatoire de Paris; Sorbonne Universite; Centre National de la Recherche Scientifique (CNRS); CNRS - National Institute for Earth Sciences &amp; Astronomy (INSU); Universite de Rennes; Centre National de la Recherche Scientifique (CNRS); University of Potsdam; Bureau de Recherches Geologiques et Minieres (BRGM)</t>
  </si>
  <si>
    <t>Boulila, S (corresponding author), Sorbonne Univ, Inst Sci Terre Paris, ISTeP, CNRS, Paris, France.;Boulila, S (corresponding author), Sorbonne Univ, PSL Univ, Observ Paris, ASD IMCCE,CNRS UMR 8028, Paris, France.</t>
  </si>
  <si>
    <t>slah.boulila@sorbonne-universite.fr</t>
  </si>
  <si>
    <t>DUPONT-NIVET, Guillaume/HII-9066-2022; Boulila, Slah/HJY-7236-2023</t>
  </si>
  <si>
    <t>DUPONT-NIVET, Guillaume/0000-0001-9905-9739; BAUER, HUGUES/0000-0002-0895-6512; BOULILA, Slah/0000-0001-7358-4623</t>
  </si>
  <si>
    <t>ANR AstroMeso project; ERC AstroGeo project; Marie-Curie (CIG HIRESDAT) [649081]; Marie-Curie (ERC MAGIC) [649081]</t>
  </si>
  <si>
    <t>ANR AstroMeso project(Agence Nationale de la Recherche (ANR)); ERC AstroGeo project(European Research Council (ERC)); Marie-Curie (CIG HIRESDAT)(European Union (EU)); Marie-Curie (ERC MAGIC)(European Union (EU)Marie Curie Actions)</t>
  </si>
  <si>
    <t>Slah Boulila and Bruno Galbrun have been supported by ANR AstroMeso and ERC AstroGeo projects. Guillaume Dupont-Nivet has been supported by the Marie-Curie (CIG HIRESDAT and ERC MAGIC grants; grant no. 649081).</t>
  </si>
  <si>
    <t>1814-9324</t>
  </si>
  <si>
    <t>1814-9332</t>
  </si>
  <si>
    <t>CLIM PAST</t>
  </si>
  <si>
    <t>Clim. Past.</t>
  </si>
  <si>
    <t>NOV 12</t>
  </si>
  <si>
    <t>10.5194/cp-17-2343-2021</t>
  </si>
  <si>
    <t>WZ7IF</t>
  </si>
  <si>
    <t>WOS:000720137000001</t>
  </si>
  <si>
    <t>Hosseini, H; Esmaeili, M; Zare, M; Rombenso, A</t>
  </si>
  <si>
    <t>Hosseini, Hossein; Esmaeili, Moha; Zare, Mahyar; Rombenso, Artur</t>
  </si>
  <si>
    <t>Egg enrichment with n-3 fatty acids in farmed hens in sub-optimum temperature: A cold-temperament additive mix alleviates adverse effects of stress on performance and health</t>
  </si>
  <si>
    <t>JOURNAL OF ANIMAL PHYSIOLOGY AND ANIMAL NUTRITION</t>
  </si>
  <si>
    <t>antioxidant system; blood cholesterol; climate change; egg performance; extruded flaxseed; n-6; n-3 ratio</t>
  </si>
  <si>
    <t>ONCORHYNCHUS-MYKISS WALBAUM; ALLIUM-SATIVUM POWDER; LAYING HENS; HEAT-STRESS; ANTIOXIDANT STATUS; SERUM METABOLITES; ENZYME-ACTIVITIES; VITAMIN-A; PARAMETERS; BROILER</t>
  </si>
  <si>
    <t>At some stage, laying hen farming is likely to be subjected to sub-optimum temperatures (SOTem) due to climate change. While egg enrichment with n-3 fatty acids is a common practice in the poultry industry, in SOTem it has been less investigated. This study tested the effects of egg enrichment through extruded flaxseed (FLX) (180 g/kg) alone or along with hulled-soaked barley (H-SB) (170 g/kg), namely FLBA, with and without a cold-temperament additive mix (CTA) (25 g/kg: 5 g/kg flixweed (Descurainia sophia), 10 g/kg dried herb-extraction residues from pussy willow (Salix aegyptiaca) and 10 g/kg dried lemon (Citrus limon) residue) in two temperatures (20 degrees C and SOTem: 27 degrees C) on egg performance, yolk fatty acids, lipid components, blood biochemistry, serological enzymes, antioxidant and immune system of Hy-Line W-36 53-week-old for 9 weeks. Two hundred seventy layers were randomly distributed to nine treatments, resulting in six replicates with five hens. Hens fed flaxseed diets, regardless of temperature or CTA, had higher levels of n-3 fatty acids in yolks than others. Temperature negatively influenced feed intake and egg production. FLX + H27 and FLBA + H27 groups outperformed the other groups regarding cholesterol in yolk (10.1, 10.3 mg/g yolk), high-density lipoprotein (HDL) (5.19, 4.93 mg/g yolk), total protein (FLX + H27: 6.82 mg/dl), HDL in the blood (FLBA + H27:83.8 mg/dl), superoxide dismutase (FLBA + H27:90.4 U/ml), glutathione reductase (FLBA + H27: 1042.1 U/ml), glutathione peroxidase (FLX + H27: 1149.7 U/ml) and catalase (FLBA + H27: 12.5 U/ml). Total antibody, immunoglobulin G and immunoglobulin M after 42 days were significantly higher in chicks fed CTA-added diets (p &lt; 0.05). Replacing corn and soya bean meal with H-SB did not negatively change the above-mentioned factors. Our findings collectively suggest that egg enrichment with n-3 fatty acids through dietary FLBA + H27 (180 g/kg flaxseed, 170 g/kg H-SB, and 25 g/kg CTA) in SOtem is suggested without any adverse impacts.</t>
  </si>
  <si>
    <t>[Hosseini, Hossein] Razi Univ, Fac Vet Med, Dept Microbiol Pathobiol &amp; Basic Sci, Kermanshah, Iran; [Esmaeili, Moha] Univ Tasmania, Inst Marine &amp; Antarctic Studies, 15-21 Nubeena Cres, Hobart, Tas 7053, Australia; [Zare, Mahyar] Univ South Bohemia, Inst Aquaculture &amp; Protect Waters, Ceske Budejovice, Czech Republic; [Rombenso, Artur] CSIRO, Agr &amp; Food Livestock &amp; Aquaculture Program, Bribie Isl Res Ctr, Bribie Isl, Old, Australia</t>
  </si>
  <si>
    <t>Razi University; University of Tasmania; University of South Bohemia Ceske Budejovice; Commonwealth Scientific &amp; Industrial Research Organisation (CSIRO)</t>
  </si>
  <si>
    <t>Esmaeili, M (corresponding author), Univ Tasmania, Inst Marine &amp; Antarctic Studies, 15-21 Nubeena Cres, Hobart, Tas 7053, Australia.</t>
  </si>
  <si>
    <t>moha.esmaeili@utas.edu.au</t>
  </si>
  <si>
    <t>Esmaeili, Noah/Q-4536-2019; Rombenso, Artur N/B-6978-2019; Zare, Mahyar/IWU-8340-2023</t>
  </si>
  <si>
    <t>Esmaeili, Noah/0000-0001-8704-939X; Zare, Mahyar/0000-0002-4063-0563</t>
  </si>
  <si>
    <t>Razi University; Morghineh Markazi Farm</t>
  </si>
  <si>
    <t>0931-2439</t>
  </si>
  <si>
    <t>1439-0396</t>
  </si>
  <si>
    <t>J ANIM PHYSIOL AN N</t>
  </si>
  <si>
    <t>J. Anim. Physiol. Anim. Nutr.</t>
  </si>
  <si>
    <t>10.1111/jpn.13659</t>
  </si>
  <si>
    <t>5W1DQ</t>
  </si>
  <si>
    <t>WOS:000717868800001</t>
  </si>
  <si>
    <t>Britton, D; Mundy, CN; Noisette, F; McGraw, CM; Hurd, CL; Norkko, J</t>
  </si>
  <si>
    <t>Britton, Damon; Mundy, Craig N.; Noisette, Fanny; McGraw, Christina M.; Hurd, Catriona L.; Norkko, Joanna</t>
  </si>
  <si>
    <t>Crustose coralline algae display sensitivity to near future global ocean change scenarios</t>
  </si>
  <si>
    <t>ICES JOURNAL OF MARINE SCIENCE</t>
  </si>
  <si>
    <t>bleaching; crustose coralline algae; ocean acidification; ocean warming; physiology; seaweed</t>
  </si>
  <si>
    <t>ACIDIFICATION; SETTLEMENT; ABALONE; MACROALGAE; CALCIFICATION; PRODUCTIVITY; TEMPERATURE; DISSOLUTION; ALKALINITY; INDUCTION</t>
  </si>
  <si>
    <t>Most research investigating how ocean warming and acidification will impact marine species has focused on visually dominant species, such as kelps and corals, while ignoring visually cryptic species such as crustose coralline algae (CCA). CCA are important keystone species that provide settlement cues for invertebrate larvae and can be highly sensitive to global ocean change. However, few studies have assessed how CCA respond to low emission scenarios or conditions. In a laboratory experiment, we examined the responses of temperate CCA assemblages to combined warming and acidification projected under low, medium, and high emissions. Net calcification and net photosynthesis significantly declined in all emissions scenarios, while significant reductions in relative growth rates and increases in percentage bleaching were observed in the highest emission scenario. The negative responses of CCA to both low and medium emissions suggest that they may be adversely impacted by combined warming and acidification by 2030 if current emissions are sustained. This will have far reaching consequences for commercially important invertebrates that rely on them to induce settlement of larvae. These findings highlight the need to take rapid action to preserve these critical keystone species and the valuable services they provide.</t>
  </si>
  <si>
    <t>[Britton, Damon; Mundy, Craig N.; Noisette, Fanny; Hurd, Catriona L.; Norkko, Joanna] Univ Tasmania, Inst Marine &amp; Antarctic Studies, 20 Castray Esplanade, Hobart, Tas 7004, Australia; [McGraw, Christina M.] Univ Otago, NIWA, Dept Chem, Res Ctr Oceanog, Dunedin 9016, New Zealand; [Noisette, Fanny] Univ Quebec Rimouski, Inst Sci Mer, Rimouski, PQ G5L 3A1, Canada</t>
  </si>
  <si>
    <t>University of Tasmania; University of Otago; University of Quebec; Universite du Quebec a Rimouski</t>
  </si>
  <si>
    <t>Britton, D (corresponding author), Univ Tasmania, Inst Marine &amp; Antarctic Studies, 20 Castray Esplanade, Hobart, Tas 7004, Australia.</t>
  </si>
  <si>
    <t>damon.britton@utas.edu.au</t>
  </si>
  <si>
    <t>Hurd, Catriona L/J-2411-2013; Mundy, Craig/G-3390-2014</t>
  </si>
  <si>
    <t>Mundy, Craig/0000-0002-1945-3750; Britton, Damon/0000-0002-9029-7527</t>
  </si>
  <si>
    <t>University of Tasmania, Australian Postgraduate Award; European Union's Horizon 2020 research and innovation programme under the Marie Sklodowska-Curie grant [701366]; Marie Curie Actions (MSCA) [701366] Funding Source: Marie Curie Actions (MSCA)</t>
  </si>
  <si>
    <t>University of Tasmania, Australian Postgraduate Award; European Union's Horizon 2020 research and innovation programme under the Marie Sklodowska-Curie grant(Marie Curie Actions); Marie Curie Actions (MSCA)(Marie Curie Actions)</t>
  </si>
  <si>
    <t>DB was supported by a University of Tasmania, Australian Postgraduate Award. FN was supported by the European Union's Horizon 2020 research and innovation programme under the Marie Sklodowska-Curie grant agreement (number 701366).</t>
  </si>
  <si>
    <t>1054-3139</t>
  </si>
  <si>
    <t>1095-9289</t>
  </si>
  <si>
    <t>ICES J MAR SCI</t>
  </si>
  <si>
    <t>ICES J. Mar. Sci.</t>
  </si>
  <si>
    <t>10.1093/icesjms/fsab220</t>
  </si>
  <si>
    <t>Fisheries; Marine &amp; Freshwater Biology; Oceanography</t>
  </si>
  <si>
    <t>YI4YS</t>
  </si>
  <si>
    <t>WOS:000743855700021</t>
  </si>
  <si>
    <t>Chen, ZY; He, JF; Cao, SN; Lu, ZB; Lan, MS; Zheng, HY; Luo, GF; Zhang, F</t>
  </si>
  <si>
    <t>Chen, Zhiyi; He, Jianfeng; Cao, Shunan; Lu, Zhibo; Lan, Musheng; Zheng, Hongyuan; Luo, Guangfu; Zhang, Fang</t>
  </si>
  <si>
    <t>Diversity and distribution of heterotrophic flagellates in seawater of the Powell Basin, Antarctic Peninsula</t>
  </si>
  <si>
    <t>POLAR RESEARCH</t>
  </si>
  <si>
    <t>Heterotrophic picoflagellates; heterotrophic nanoflagellates; biodiversity; community structure</t>
  </si>
  <si>
    <t>SEA-ICE; FUNCTIONAL DIVERSITY; MICROBIAL EUKARYOTES; COASTAL WATERS; ARCTIC-OCEAN; BIOGEOGRAPHY; PATTERNS; PICOCYANOBACTERIA; COMMUNITIES; TEMPERATURE</t>
  </si>
  <si>
    <t>Heterotrophic flagellates are essential components of the marine microbial food web. However, how the changes in flagellate populations reflect envi-ronmental changes in marine ecosystems is still unclear, especially in polar regions. In this study, we used pyrosequencing to examine the community structure of heterotrophic flagellates (HFs) in the Powell Basin's surface waters of the northern Antarctic Peninsula. OTUs (operational taxonomic units) of different taxa and the correlations between community structure and environmental factors were analysed. Eight taxa of HFs were selected for the principal analysis: Telonemia, Picozoa, Rhizaria, Amoebozoa, Apusomonas, Centrohelida, Choanomonada and marine stramenopiles (MASTs). The HFs were defined as heterotrophic picoflagellates (HPFs; 3 mu m) and heterotro-phic nanoflagellates (HNFs; 3 mu m, &lt;20 mu m), which had similar dominant phyla (MASTs and Telonemia). However, their taxonomic composition dif-fered. Environmental factors exerted similar effects on the community struc-ture of both HPFs and HNPs. Compared with the correlation between HPF and environmental factors, the correlation between HNF and environmental fac-tors was stronger. Salinity, bacterial biomass and the biological interactions amongst dominant taxa were the main variables to influence the diversity and community structure of HFs.</t>
  </si>
  <si>
    <t>[Chen, Zhiyi; He, Jianfeng; Lu, Zhibo; Zheng, Hongyuan] Tongji Univ, Coll Environm Sci &amp; Engn, Shanghai, Peoples R China; [Chen, Zhiyi; He, Jianfeng; Cao, Shunan; Lan, Musheng; Luo, Guangfu; Zhang, Fang] Polar Res Inst China, Nat Resources Minist, Key Lab Polar Sci, Shanghai, Peoples R China</t>
  </si>
  <si>
    <t>Tongji University; Polar Research Institute of China</t>
  </si>
  <si>
    <t>He, JF (corresponding author), Polar Res Inst China, State Ocean Adm, Key Lab Polar Sci, 451 Jinqiao Rd, Shanghai 200136, Peoples R China.</t>
  </si>
  <si>
    <t>hejianfeng@pric.org.cn</t>
  </si>
  <si>
    <t>chen, zhiyi/IXN-8023-2023; ZHENG, HONGYUAN/ABF-9513-2020; ZHIBO, LU/HHS-4083-2022</t>
  </si>
  <si>
    <t>chen, zhiyi/0000-0002-7664-959X; ZHENG, HONGYUAN/0000-0002-0225-3883;</t>
  </si>
  <si>
    <t>Chinese Polar Environment Comprehensive Investigation &amp; Assessment Programs [CHINARE-2011-2015]; international cooperation programme of the Chinese National Arctic and Antarctic Research Expedition [IC201514]; National Natural Science Foundation of China [41206189, 41476168, 41976230, 41906201]</t>
  </si>
  <si>
    <t>Chinese Polar Environment Comprehensive Investigation &amp; Assessment Programs; international cooperation programme of the Chinese National Arctic and Antarctic Research Expedition; National Natural Science Foundation of China(National Natural Science Foundation of China (NSFC))</t>
  </si>
  <si>
    <t>This study was funded by the Chinese Polar Environment Comprehensive Investigation &amp; Assessment Programs (CHINARE-2011-2015), an international cooperation programme of the Chinese National Arctic and Antarctic Research Expedition (IC201514), and the National Natural Science Foundation of China (grant nos. 41206189, 41476168, 41976230 and 41906201).</t>
  </si>
  <si>
    <t>OPEN ACADEMIA AB</t>
  </si>
  <si>
    <t>SPANGA</t>
  </si>
  <si>
    <t>STORMBYVAGEN 6, SPANGA, SE-163 55, SWEDEN</t>
  </si>
  <si>
    <t>0800-0395</t>
  </si>
  <si>
    <t>1751-8369</t>
  </si>
  <si>
    <t>POLAR RES-SWEDEN</t>
  </si>
  <si>
    <t>Polar Res.</t>
  </si>
  <si>
    <t>NOV 11</t>
  </si>
  <si>
    <t>10.33265/polar.v40.5389</t>
  </si>
  <si>
    <t>Ecology; Geosciences, Multidisciplinary; Oceanography</t>
  </si>
  <si>
    <t>Environmental Sciences &amp; Ecology; Geology; Oceanography</t>
  </si>
  <si>
    <t>XZ1RZ</t>
  </si>
  <si>
    <t>WOS:000737438800001</t>
  </si>
  <si>
    <t>Linse, K; Peeken, I; Tandberg, AHS</t>
  </si>
  <si>
    <t>Linse, Katrin; Peeken, Ilka; Tandberg, Anne Helene Solberg</t>
  </si>
  <si>
    <t>Editorial: Effects of Ice Loss on Marine Biodiversity</t>
  </si>
  <si>
    <t>zooplankton; phytoplankton; zoobenthos; meiofauna; in-situ habitat images</t>
  </si>
  <si>
    <t>[Linse, Katrin] British Antarctic Survey, Biodivers Evolut &amp; Adaptat Team, Cambridge, England; [Peeken, Ilka] Alfred Wegener Inst, Helmholtz Ctr Polar &amp; Marine Res, Polar Biol Oceanog, Bremerhaven, Germany; [Tandberg, Anne Helene Solberg] Univ Bergen, Univ Museum, Nat Hist Dept, Bergen, Norway</t>
  </si>
  <si>
    <t>UK Research &amp; Innovation (UKRI); Natural Environment Research Council (NERC); NERC British Antarctic Survey; Helmholtz Association; Alfred Wegener Institute, Helmholtz Centre for Polar &amp; Marine Research; University of Bergen</t>
  </si>
  <si>
    <t>Linse, K (corresponding author), British Antarctic Survey, Biodivers Evolut &amp; Adaptat Team, Cambridge, England.</t>
  </si>
  <si>
    <t>kl@bas.ac.uk</t>
  </si>
  <si>
    <t>Tandberg, Anne/AFP-4976-2022</t>
  </si>
  <si>
    <t>Tandberg, Anne/0000-0003-3470-587X; Peeken, Ilka/0000-0003-1531-1664</t>
  </si>
  <si>
    <t>10.3389/fmars.2021.793020</t>
  </si>
  <si>
    <t>XT9RP</t>
  </si>
  <si>
    <t>WOS:000733916200001</t>
  </si>
  <si>
    <t>Figuerola, B; Valiente, N; Barbosa, A; Brasier, MJ; Colominas-Ciuro, R; Convey, P; Liggett, D; Fernandez-Martinez, MA; Gonzalez, S; Griffiths, HJ; Jawak, SD; Merican, F; Noll, D; Prudencio, J; Quaglio, F; Pertierra, LR</t>
  </si>
  <si>
    <t>Figuerola, Blanca; Valiente, Nicolas; Barbosa, Andres; Brasier, Madeleine J.; Colominas-Ciuro, Roger; Convey, Peter; Liggett, Daniela; Fernandez-Martinez, Miguel Angel; Gonzalez, Sergi; Griffiths, Huw J.; Jawak, Shridhar D.; Merican, Faradina; Noll, Daly; Prudencio, Janire; Quaglio, Fernanda; Pertierra, Luis R.</t>
  </si>
  <si>
    <t>Shifting Perspectives in Polar Research: Global Lessons on the Barriers and Drivers for Securing Academic Careers in Natural Sciences</t>
  </si>
  <si>
    <t>austerity; COVID-19; diversity and inclusion; interdisciplinarity; mentoring; post-doctoral researchers</t>
  </si>
  <si>
    <t>TRANSITIONS; POSTDOCS; GENDER; HEALTH</t>
  </si>
  <si>
    <t>The polar regions provide valuable insights into the functioning of the Earth's regulating systems. Conducting field research in such harsh and remote environments requires strong international cooperation, extended planning horizons, sizable budgets and long-term investment. Consequently, polar research is particularly vulnerable to societal and economic pressures during periods of austerity. The global financial crisis of 2008, and the ensuing decade of economic slowdown, have already adversely affected polar research, and the current COVID-19 pandemic has added further pressure. In this article we present the outcomes of a community survey that aimed to assess the main barriers and success factors identified by academic researchers at all career stages in response to these global crises. The survey results indicate that the primary barriers faced by polar early and mid-career researchers (EMCRs) act at institutional level, while mitigating factors are developed at individual and group levels. Later career scientists report pressure toward taking early retirement as a means of institutions saving money, reducing both academic leadership and the often unrecognized but vital mentor roles that many play. Gender and social inequalities are also perceived as important barriers. Reorganization of institutional operations and more effective strategies for long-term capacity building and retaining of talent, along with reduction in non-research duties shouldered by EMCRs, would make important contributions toward ensuring continued vitality and innovation in the polar research community.</t>
  </si>
  <si>
    <t>[Figuerola, Blanca] Inst Marine Sci ICM CSIC, Dept Marine Biol &amp; Oceanog, Barcelona, Spain; [Valiente, Nicolas] Univ Oslo, Dept Biosci, Ctr Biogeochem Anthropocene, Oslo, Norway; [Barbosa, Andres] CSIC, Museo Nacl Ciencias Nat, Dept Evolutionary Ecol, Madrid, Spain; [Brasier, Madeleine J.] Univ Tasmania, Inst Marine &amp; Antarctic Studies, Hobart, Tas, Australia; [Colominas-Ciuro, Roger] Univ Strasbourg, Dept Ecol Physiol &amp; Ethol, CNRS, Inst Pluridisciplinaire Hubert Curien,UMR 7178, Strasbourg, France; [Convey, Peter; Griffiths, Huw J.] British Antarctic Survey, Cambridge, England; [Convey, Peter] Univ Johannesburg, Dept Zool, Auckland Pk, South Africa; [Liggett, Daniela] Univ Canterbury, Gateway Antarctica, Christchurch, New Zealand; [Fernandez-Martinez, Miguel Angel] McGill Univ, Nat Resource Sciences, Montreal, PQ, Canada; [Gonzalez, Sergi] State Meteorol Agcy AEMET, Antarctic Grp, Barcelona, Spain; [Jawak, Shridhar D.] Svalbard Sci Ctr, SIOS Knowledge Ctr, Svalbard Integrated Arctic Earth Observing Syst S, Longyearbyen, Norway; [Merican, Faradina] Univ Sains Malaysia, Sch Biol Sci, Minden, Malaysia; [Noll, Daly] Univ Chile, Fac Ciencias, Dept Ciencias Ecol, Inst Ecol &amp; Biodiversidad, Santiago, Chile; [Noll, Daly] Pontificia Univ Catolica Chile, Dept Ecosistemas &amp; Medio Ambiente, Fac Agron &amp; Ingn Forestal, Santiago, Chile; [Prudencio, Janire] Univ Granada, Dept Fis Teor &amp; Cosmos, Fac Ciencias, Campus Fuentenueva, Granada, Spain; [Quaglio, Fernanda] Univ Fed Sao Paulo, Dept Ecol &amp; Biol Evolut, Diadema, Brazil; [Pertierra, Luis R.] Rey Juan Carlos Univ, Dept Biol Geol Phys &amp; Inorgan Chem, Mostoles, Spain; [Pertierra, Luis R.] Univ Pretoria, Dept Plant &amp; Soil Sci, Pretoria, South Africa</t>
  </si>
  <si>
    <t>Consejo Superior de Investigaciones Cientificas (CSIC); CSIC - Centro Mediterraneo de Investigaciones Marinas y Ambientales (CMIMA); CSIC - Instituto de Ciencias del Mar (ICM); University of Oslo; Consejo Superior de Investigaciones Cientificas (CSIC); CSIC - Museo Nacional de Ciencias Naturales (MNCN); University of Tasmania; Centre National de la Recherche Scientifique (CNRS); CNRS - National Institute of Nuclear and Particle Physics (IN2P3); Universites de Strasbourg Etablissements Associes; Universite de Strasbourg; UK Research &amp; Innovation (UKRI); Natural Environment Research Council (NERC); NERC British Antarctic Survey; University of Johannesburg; University of Canterbury; McGill University; Agencia Estatal de Meteorologia (AEMET); Universiti Sains Malaysia; Universidad de Chile; Pontificia Universidad Catolica de Chile; University of Granada; Universidade Federal de Sao Paulo (UNIFESP); Universidad Rey Juan Carlos; University of Pretoria</t>
  </si>
  <si>
    <t>Figuerola, B (corresponding author), Inst Marine Sci ICM CSIC, Dept Marine Biol &amp; Oceanog, Barcelona, Spain.;Pertierra, LR (corresponding author), Rey Juan Carlos Univ, Dept Biol Geol Phys &amp; Inorgan Chem, Mostoles, Spain.;Pertierra, LR (corresponding author), Univ Pretoria, Dept Plant &amp; Soil Sci, Pretoria, South Africa.</t>
  </si>
  <si>
    <t>bfiguerola@gmail.com; luis.pertierra@gmail.com</t>
  </si>
  <si>
    <t>Griffiths, Huw J/D-4234-2009; Valiente, Nicolas/AAP-9551-2020; Gonzalez-Herrero, Sergi/Y-7279-2018; , Janire/J-2785-2015; Colominas Ciuró, Roger/HOF-9267-2023; Figuerola, Blanca/C-6252-2015; Convey, Peter/AAV-5728-2020; Baldissera, Annalisa/AHD-6334-2022; Pertierra, Luis R./K-3727-2017; Jawak, Shridhar/G-9678-2012; Sidik Merican, Faradina Merican/F-6785-2019; Colominas-Ciuro, Roger/ADL-7809-2022</t>
  </si>
  <si>
    <t>Griffiths, Huw J/0000-0003-1764-223X; Valiente, Nicolas/0000-0002-2775-4203; Gonzalez-Herrero, Sergi/0000-0002-2505-2435; Figuerola, Blanca/0000-0003-4731-9337; Convey, Peter/0000-0001-8497-9903; Pertierra, Luis R./0000-0002-2232-428X; Jawak, Shridhar/0000-0002-0648-3109; Noll, Daly/0000-0003-3733-8817; Sidik Merican, Faradina Merican/0000-0003-1441-0134; Colominas-Ciuro, Roger/0000-0001-6312-0702</t>
  </si>
  <si>
    <t>10.3389/fevo.2021.777009</t>
  </si>
  <si>
    <t>XH7PX</t>
  </si>
  <si>
    <t>WOS:000725623000001</t>
  </si>
  <si>
    <t>Bonnet-Lebrun, AS; Larsen, T; Frederiksen, M; Fox, D; le Bouard, F; Boutet, A; Pórarinsson, PL; Kolbeinsson, Y; Deville, T; Ratcliffe, N</t>
  </si>
  <si>
    <t>Bonnet-Lebrun, Anne-Sophie; Larsen, Thomas; Frederiksen, Morten; Fox, Derren; le Bouard, Fabrice; Boutet, Aude; Porarinsson, Porkell Lindberg; Kolbeinsson, Yann; Deville, Tanguy; Ratcliffe, Norman</t>
  </si>
  <si>
    <t>Effects of competitive pressure and habitat heterogeneity on niche partitioning between Arctic and boreal congeners</t>
  </si>
  <si>
    <t>CLIMATE-CHANGE IMPACTS; MARINE BIRDS; URIA-LOMVIA; SEGREGATION; COEXISTENCE; RESPONSES; OVERLAP; WINTER; SPACE; RISK</t>
  </si>
  <si>
    <t>The rapidly changing climate in the Arctic is expected to have a major impact on the foraging ecology of seabirds, owing to changes in the distribution and abundance of their prey but also that of competitors (e.g. southerly species expanding their range into the Arctic). Species can respond to interspecific competition by segregating along different niche axes. Here, we studied spatial, temporal and habitat segregation between two closely related seabird species: common guillemot Uria aalge (a temperate species) and Brunnich's guillemot Uria lomvia (a true Arctic species), at two sympatric sites in Iceland that differ in their total population sizes and the availability of marine habitats. We deployed GPS and temperature-depth recorders to describe foraging locations and behaviour of incubating and chick-rearing adults. We found similar evidence of spatial segregation at the two sites (i.e. independent of population sizes), although segregation in environmental space was only evident at the site with a strong habitat gradient. Unexpectedly, temporal (and, to a limited extent, vertical) segregation appeared only at the least populated site. Overall, our results show complex relationships between the levels of inferred competition and that of segregation.</t>
  </si>
  <si>
    <t>[Bonnet-Lebrun, Anne-Sophie; Fox, Derren; le Bouard, Fabrice; Boutet, Aude; Deville, Tanguy; Ratcliffe, Norman] British Antarctic Survey, Nat Environm Res Council, High Cross,Madingley Rd, Cambridge CB3 0ET, England; [Larsen, Thomas] Max Planck Inst Sci Human Hist, Dept Archaeol, Kahla Str 10, D-07745 Jena, Germany; [Frederiksen, Morten] Aarhus Univ, Dept Biosci, Frederiksborgvej 399, DK-4000 Roskilde, Denmark; [Porarinsson, Porkell Lindberg; Kolbeinsson, Yann] Northeast Iceland Nat Res Ctr, Hafnarstett 3, IS-640 Husavik, Iceland</t>
  </si>
  <si>
    <t>UK Research &amp; Innovation (UKRI); Natural Environment Research Council (NERC); NERC British Antarctic Survey; Aarhus University</t>
  </si>
  <si>
    <t>Bonnet-Lebrun, AS (corresponding author), British Antarctic Survey, Nat Environm Res Council, High Cross,Madingley Rd, Cambridge CB3 0ET, England.</t>
  </si>
  <si>
    <t>Frederiksen, Morten/A-7542-2008; Bonnet-Lebrun, Anne-Sophie/GYU-2977-2022</t>
  </si>
  <si>
    <t>Frederiksen, Morten/0000-0001-5550-0537; Bonnet-Lebrun, Anne-Sophie/0000-0002-7587-615X; Thorarinsson, Thorkell Lindberg/0000-0002-1638-2555</t>
  </si>
  <si>
    <t>NERC [NE/R012660/1, bas0100035] Funding Source: UKRI</t>
  </si>
  <si>
    <t>10.1038/s41598-021-01506-w</t>
  </si>
  <si>
    <t>WW2IP</t>
  </si>
  <si>
    <t>WOS:000717747400017</t>
  </si>
  <si>
    <t>Ronge, TA; Frische, M; Fietzke, J; Stephens, AL; Bostock, H; Tiedemann, R</t>
  </si>
  <si>
    <t>Ronge, Thomas A.; Frische, Matthias; Fietzke, Jan; Stephens, Alyssa L.; Bostock, Helen; Tiedemann, Ralf</t>
  </si>
  <si>
    <t>Southern Ocean contribution to both steps in deglacial atmospheric CO2 rise</t>
  </si>
  <si>
    <t>LAST GLACIAL MAXIMUM; SEA-SURFACE TEMPERATURE; WESTERLY WIND CHANGES; CARBONATE CHEMISTRY; INTERMEDIATE WATER; CACO3 COMPENSATION; PACIFIC SECTOR; CLIMATE-CHANGE; GLOBAL OCEAN; B/CA RATIOS</t>
  </si>
  <si>
    <t>The transfer of vast amounts of carbon from a deep oceanic reservoir to the atmosphere is considered to be a dominant driver of the deglacial rise in atmospheric CO2. Paleoceanographic reconstructions reveal evidence for the existence of CO2-rich waters in the mid to deep Southern Ocean. These water masses ventilate to the atmosphere south of the Polar Front, releasing CO2 prior to the formation and subduction of intermediate-waters. Changes in the amount of CO2 in the sea water directly affect the oceanic carbon chemistry system. Here we present B/Ca ratios, a proxy for delta carbonate ion concentrations Delta[CO32-], and stable isotopes (delta C-13) from benthic foraminifera from a sediment core bathed in Antarctic Intermediate Water (AAIW), offshore New Zealand in the Southwest Pacific. We find two transient intervals of rising [CO32-] and delta C-13 that that are consistent with the release of CO2 via the Southern Ocean. These intervals coincide with the two pulses in rising atmospheric CO2 at similar to 17.5-14.3 ka and 12.9-11.1 ka. Our results lend support for the release of sequestered CO2 from the deep ocean to surface and atmospheric reservoirs during the last deglaciation, although further work is required to pin down the detailed carbon transfer pathways.</t>
  </si>
  <si>
    <t>[Ronge, Thomas A.; Tiedemann, Ralf] Alfred Wegener Inst Helmholtz Zentrum Polar &amp; Mee, Alten Hafen 26, D-27568 Bremerhaven, Germany; [Frische, Matthias; Fietzke, Jan] GEOMAR Helmholtz Zentrum Ozeanforsch, Kiel, Germany; [Stephens, Alyssa L.] IODP Int Ocean Discovery Program, College Stn, TX USA; [Bostock, Helen] Univ Queensland, Brisbane, Qld, Australia</t>
  </si>
  <si>
    <t>Helmholtz Association; Alfred Wegener Institute, Helmholtz Centre for Polar &amp; Marine Research; Helmholtz Association; GEOMAR Helmholtz Center for Ocean Research Kiel; University of Queensland</t>
  </si>
  <si>
    <t>Ronge, TA (corresponding author), Alfred Wegener Inst Helmholtz Zentrum Polar &amp; Mee, Alten Hafen 26, D-27568 Bremerhaven, Germany.</t>
  </si>
  <si>
    <t>Thomas.Ronge@awi.de</t>
  </si>
  <si>
    <t>; Bostock, Helen/A-6834-2013</t>
  </si>
  <si>
    <t>Ronge, Thomas/0000-0003-2625-719X; Bostock, Helen/0000-0002-8903-8958</t>
  </si>
  <si>
    <t>Projekt DEAL</t>
  </si>
  <si>
    <t>Open Access funding enabled and organized by Projekt DEAL.</t>
  </si>
  <si>
    <t>10.1038/s41598-021-01657-w</t>
  </si>
  <si>
    <t>WOS:000717747400096</t>
  </si>
  <si>
    <t>Koffman, BG; Goldstein, SL; Winckler, G; Kaplan, MR; Kreutz, KJ; Bolge, L; Bory, A; Biscaye, P</t>
  </si>
  <si>
    <t>Koffman, Bess G.; Goldstein, Steven L.; Winckler, Gisela; Kaplan, Michael R.; Kreutz, Karl J.; Bolge, Louise; Bory, Aloys; Biscaye, Pierre</t>
  </si>
  <si>
    <t>Late Holocene dust provenance at Siple Dome, Antarctica</t>
  </si>
  <si>
    <t>Antarctica; Dust provenance; Sr-Nd isotopes; Ice cores; Southern ocean; Gaussberg volcano</t>
  </si>
  <si>
    <t>MARIE BYRD LAND; ICE-CORE DUST; EAST-ANTARCTICA; SM-ND; MINERAL DUST; ENDERBY LAND; AEOLIAN DUST; RB-SR; ISOTOPIC SYSTEMATICS; MULTIPLE SOURCES</t>
  </si>
  <si>
    <t>Compositions of mineral dust in ice cores serve as tracers of paleo-atmospheric circulation patterns, providing linkages between sources and sinks. Here we document the geochemical makeup of dust reaching continental West Antarctica, on late Holocene samples from the Siple Dome A ice core (spanning -1030-1800 C.E). The Nd-Sr isotope signature is unusual for Antarctic ice core dust samples. Siple Dome data are characterized by low Nd isotope ratios (as low as epsilon Nd = -16.3) along with low Sr isotope ratios (highest Sr-87/Sr-86 = 0.7102) compared with other Antarctic dust signatures. A well-defined inverse correlation between Sr-Nd isotope ratios indicates two primary mixing sources. The low 8Nd-values indicate involvement of ancient (Archean-to-early Proterozoic) continental crust, as either the direct source or as a precursor of the source, and the low Sr-values require low Rb/Sr ratios that often reflect high-grade metamorphism. The known Antarctic terrane with these characteristics is parts of Enderby Land, nearly at the opposite end of Antarctica. The isotopic signature of the second end-member is compatible with West Antarctic volcanoes or Patagonia in South America. The Sr-Nd isotopes and trace element abundances are also chemically compatible with mixing between volcanic material from Gaussberg, a small lamproite volcano in Kaiser Wilhelm II Land in coastal East Antarctica whose source is ancient lithospheric mantle, with dust from Patagonia or material from West Antarctic volcanoes. We assess these potential mixing scenarios and conclude that Siple Dome's unusual geochemical signature can best be explained by a mixture of Patagonian dust and a Gaussberg-like source, with additional minor contributions from old eroded Archean-to-early Proterozoic bedrock sources such as those in Enderby Land. Moreover, Siple Dome dust compositions are distinct from dust deposited on Taylor and Clark Glaciers in the McMurdo Dry Valleys of the western Ross Sea, precluding the Dry Valleys as a late Holocene dust source to this region of the eastern Ross Sea. (C) 2021 Elsevier Ltd. All rights reserved.</t>
  </si>
  <si>
    <t>[Koffman, Bess G.] Colby Coll, Dept Geol, Waterville, ME 04901 USA; [Koffman, Bess G.; Goldstein, Steven L.; Winckler, Gisela; Kaplan, Michael R.; Bolge, Louise; Biscaye, Pierre] Columbia Univ, Lamont Doherty Earth Observ, Palisades, NY 10964 USA; [Goldstein, Steven L.; Winckler, Gisela] Columbia Univ, Dept Earth &amp; Environm Sci, Palisades, NY 10964 USA; [Kreutz, Karl J.] Univ Maine, Sch Earth &amp; Climate Sci, Orono, ME 04469 USA; [Kreutz, Karl J.] Univ Maine, Climate Change Inst, Orono, ME 04469 USA; [Bory, Aloys] Univ Lille, Lab Oceanol &amp; Geosci, CNRS, Univ Littoral Cote Opale,UMR 8187,LOG, F-59000 Lille, France</t>
  </si>
  <si>
    <t>Colby College; Columbia University; Columbia University; University of Maine System; University of Maine Orono; University of Maine System; University of Maine Orono; Universite de Lille; Centre National de la Recherche Scientifique (CNRS); CNRS - National Institute for Earth Sciences &amp; Astronomy (INSU)</t>
  </si>
  <si>
    <t>Koffman, BG (corresponding author), Colby Coll, Dept Geol, Waterville, ME 04901 USA.</t>
  </si>
  <si>
    <t>bess.koffman@colby.edu</t>
  </si>
  <si>
    <t>Koffman, Bess/0000-0002-9451-4138; Goldstein, Steven L/0000-0001-7252-8064; BORY, Aloys/0000-0002-0251-6372</t>
  </si>
  <si>
    <t>NSF [ANT 1043471, ANT 1204050]</t>
  </si>
  <si>
    <t>NSF(National Science Foundation (NSF))</t>
  </si>
  <si>
    <t>This work was supported by NSF ANT 1043471 and ANT 1204050. We thank Sidney Hemming, Trevor Williams, and Kathy Licht for helpful conversations. We are grateful to Barbara Delmonte and Holly Winton, whose thoughtful reviews improved the paper.</t>
  </si>
  <si>
    <t>DEC 15</t>
  </si>
  <si>
    <t>10.1016/j.quascirev.2021.107271</t>
  </si>
  <si>
    <t>XE1YB</t>
  </si>
  <si>
    <t>WOS:000723190100012</t>
  </si>
  <si>
    <t>Manríquez, LME; Lavina, EL; Netto, RG; Horodyski, RS; Leppe, M</t>
  </si>
  <si>
    <t>Manriquez, Leslie M. E.; Lavina, Ernesto L.; Netto, Renata Guimaraes; Horodyski, Rodrigo Scalise; Leppe, Marcelo</t>
  </si>
  <si>
    <t>Evolution of a high latitude high-energy beach system (Maastrichtian-Eocene, Magallanes/Austral Basin, Chilean Patagonia)</t>
  </si>
  <si>
    <t>SEDIMENTARY GEOLOGY</t>
  </si>
  <si>
    <t>Littoral drift; Shallow-marine ichnofacies; Time-averaged assemblage; Marine taphofacies; High- and low-pressure centers</t>
  </si>
  <si>
    <t>FORELAND BASIN; STRATIGRAPHIC ARCHITECTURE; DEPOSITIONAL-ENVIRONMENTS; ZIRCON GEOCHRONOLOGY; CARDIUM FORMATION; NORTH SLOPE; ROCK RECORD; SURF ZONES; MARINE; TRANSPORT</t>
  </si>
  <si>
    <t>Studies on the environmental dynamics of high energy beach systems have to deal with factors as diverse as wave energy, coastal currents and tidal amplitude. Their interaction produces complex and often poorly understood sedimentary architectures. As a rule, the results achieved do not allow us to understand the depositional architectures associated with each of these processes. In this article, we analyze a high-energy beach system describing geometries, textures, paleocurrents, ichnological associations and taphonomic aspects seeking to define the associated environmental parameters. Detailed analyses of sedimentary facies, and analyses of paleocurrents, ichnological and taphonomic associations were performed in a high resolution sequence stratigraphy. The integrated analyses demonstrate the evolution of a high-energy beach system with a general north-south direction in a meso- to macrotidal regime, built by waves from the northwest, generating longshore currents to the south. A subordinate pattern, with waves coming from the southeast, generating longshore currents to the north, was also interpreted. Due to the high wave energy, evidence of tide action is sporadic, but the wide dominance of upper shoreface deposits with low angle dips, indicating an extension in the continent-offshore section, are compatible with a meso- to macrotidal setting. Taphonomic analysis shows that skeletons of marine invertebrates and vertebrates were significantly reworked and redistributed by strong wave action and longshore currents marking high energy events related to scour surfaces. Changes in the pattern of ichnofauna and bioturbation intensity are associated with variations in environmental energy and probably in salinity. The ichnological data helps to indicate progressive environmental stress towards the Cretaceous/Paleogene (K/Pg) boundary. Paleocurrent data, measured in trough cross-bedding of the upper shoreface deposits, suggest a complex atmospheric circulation pattern and water circulation of an inland sea. The resultant climatic pattern is compatible with modern atmospheric circulation at a similar latitude. The excellent exposure and abundant fossil records at K-Pg interval make this region an important source for studies of environmental dynamics and their interaction with biota at middle-high latitudes. (C) 2021 Elsevier B.V. All rights reserved.</t>
  </si>
  <si>
    <t>[Manriquez, Leslie M. E.; Lavina, Ernesto L.; Netto, Renata Guimaraes; Horodyski, Rodrigo Scalise] Unisinos Univ, Grad Geol Program, Av Unisinos 950, BR-93022000 Sao Leopoldo, RS, Brazil; [Leppe, Marcelo] Inst Antartico Chileno INACH, Antarctic &amp; Patagonian Paleobiol Lab, Plaza Munoz Gamero 1055, Punta Arenas, Chile</t>
  </si>
  <si>
    <t>Manríquez, LME (corresponding author), Unisinos Univ, Grad Geol Program, Av Unisinos 950, BR-93022000 Sao Leopoldo, RS, Brazil.</t>
  </si>
  <si>
    <t>leslie@edu.unisinos.br; lavina@unisinos.br; nettorg@unisinos.br; rhorodyski@unisinos.br; mleppe@inach.cl</t>
  </si>
  <si>
    <t>Leppe, Marcelo/L-5447-2014; Horodyski, Rodrigo Scalise/A-3605-2014</t>
  </si>
  <si>
    <t>Leppe, Marcelo/0000-0002-1545-8167; Horodyski, Rodrigo Scalise/0000-0001-7195-2170</t>
  </si>
  <si>
    <t>FONDECYT [1151389]; Anillo Project [ACT-172099]; Brazilian Council for Research and Technological Development (CNPq) [310454/2019-0, 310377/2019-6]; Brazilian CAPES Agency for the PROSUP-CAPES doctoral grant</t>
  </si>
  <si>
    <t>FONDECYT(Comision Nacional de Investigacion Cientifica y Tecnologica (CONICYT)CONICYT FONDECYT); Anillo Project(Comision Nacional de Investigacion Cientifica y Tecnologica (CONICYT)CONICYT PIA/ANILLOS); Brazilian Council for Research and Technological Development (CNPq)(Conselho Nacional de Desenvolvimento Cientifico e Tecnologico (CNPQ)); Brazilian CAPES Agency for the PROSUP-CAPES doctoral grant</t>
  </si>
  <si>
    <t>The authors thank E. Gonzalez, R. Fernandez, H. Ortiz, H. Mansilla, C. Trevisan, J.P. Pino, S. Davies, J. Alarcon-Munoz, S. Soto-Acuna, V. Milla, and E. Guareschi for their assistance in the field; J. Villegas Martin, J. Ponce, H. Schmidt, and H. Kern for the text review and criticism; W. Stinnesbeck for comments and revision of invertebrate fossils; R. Quinan for collaboration with some photographs. The present study is part of the project Paleogeographic patterns v/s climate change in South America and the Antarctic Peninsula during the last Cretaceous: a possible explanation for the origin of the Austral biota? (FONDECYT project No 1151389), and also received support for field trips from the Anillo Project (ACT-172099) and Estancia Cerro Guido. We also give thanks to the Itt Oceaneon of Unisinos University is thanked for the laboratory facilities and the Instituto Antartico Chileno (INACH) for support during the fieldwork. ELCL and RGN thank the Brazilian Council for Research and Technological Development (CNPq) for research grants 310454/2019-0 and 310377/2019-6. LM thanks the Brazilian CAPES Agency for the PROSUP-CAPES doctoral grant. We thank the editor Professor Jasper Knight, and the reviewers Augusto Varela and an anonymous reviewer, who provided much appreciated comments which helped to improve this manuscript considerably.</t>
  </si>
  <si>
    <t>0037-0738</t>
  </si>
  <si>
    <t>1879-0968</t>
  </si>
  <si>
    <t>SEDIMENT GEOL</t>
  </si>
  <si>
    <t>Sediment. Geol.</t>
  </si>
  <si>
    <t>10.1016/j.sedgeo.2021.106026</t>
  </si>
  <si>
    <t>XC5UG</t>
  </si>
  <si>
    <t>WOS:000722077100001</t>
  </si>
  <si>
    <t>Hayashida, H; Jin, MB; Steiner, NS; Swart, NC; Watanabe, E; Fiedler, R; Hogg, AM; Kiss, AE; Matear, RJ; Strutton, PG</t>
  </si>
  <si>
    <t>Hayashida, Hakase; Jin, Meibing; Steiner, Nadja S.; Swart, Neil C.; Watanabe, Eiji; Fiedler, Russell; Hogg, Andrew McC; Kiss, Andrew E.; Matear, Richard J.; Strutton, Peter G.</t>
  </si>
  <si>
    <t>Ice Algae Model Intercomparison Project phase 2 (IAMIP2)</t>
  </si>
  <si>
    <t>GREENHOUSE-GAS CONCENTRATIONS; SEA-ICE; THICKNESS DISTRIBUTION; OCEAN; RESOLUTION; CLIMATOLOGY; SENSITIVITY; PROTOCOLS; IMPACT</t>
  </si>
  <si>
    <t>Ice algae play a fundamental role in shaping sea-ice-associated ecosystems and biogeochemistry. This role can be investigated by field observations; however the influence of ice algae at the regional and global scales remains unclear due to limited spatial and temporal coverage of observations and because ice algae are typically not included in current Earth system models. To address this knowledge gap, we introduce a new model intercomparison project (MIP), referred to here as the Ice Algae Model Intercomparison Project phase 2 (IAMIP2). IAMIP2 is built upon the experience from its previous phase and expands its scope to global coverage (both Arctic and Antarctic) and centennial timescales (spanning the mid-20th century to the end of the 21st century). Participating models are three-dimensional regional and global coupled sea-ice-ocean models that incorporate sea-ice ecosystem components. These models are driven by the same initial conditions and atmospheric forcing datasets by incorporating and expanding the protocols of the Ocean Model Intercomparison Project, an endorsed MIP of the Coupled Model Intercomparison Project phase 6 (CMIP6). Doing so provides more robust estimates of model bias and uncertainty and consequently advances the science of polar marine ecosystems and biogeochemistry. A diagnostic protocol is designed to enhance the reusability of the model data products of IAMIP2. Lastly, the limitations and strengths of IAMIP2 are discussed in the context of prospective research outcomes.</t>
  </si>
  <si>
    <t>[Hayashida, Hakase; Strutton, Peter G.] Univ Tasmania, Inst Marine &amp; Antarctic Studies, Hobart, Tas, Australia; [Hayashida, Hakase; Hogg, Andrew McC; Kiss, Andrew E.; Matear, Richard J.; Strutton, Peter G.] Australian Res Council Ctr Excellence Climate Ext, Hobart, Tas, Australia; [Jin, Meibing] Nanjing Univ Informat Sci &amp; Technol, Sch Marine Sci, Nanjing, Peoples R China; [Jin, Meibing] Southern Lab Ocean Sci &amp; Engn, Zhuhai, Peoples R China; [Jin, Meibing] Univ Alaska, Int Arctic Res Ctr, Fairbanks, AK 99701 USA; [Steiner, Nadja S.] Fisheries &amp; Oceans Canada, Inst Ocean Sci, Sidney, BC, Canada; [Steiner, Nadja S.; Swart, Neil C.] Environm &amp; Climate Change Canada, Canadian Ctr Climate Modelling &amp; Anal, Victoria, BC, Canada; [Watanabe, Eiji] Japan Agcy Marine Earth Sci &amp; Technol, Yokosuka, Kanagawa, Japan; [Fiedler, Russell; Matear, Richard J.] CSIRO Oceans &amp; Atmosphere, Hobart, Tas, Australia; [Hogg, Andrew McC; Kiss, Andrew E.] Australian Natl Univ, Res Sch Earth Sci, Canberra, ACT, Australia</t>
  </si>
  <si>
    <t>University of Tasmania; Nanjing University of Information Science &amp; Technology; University of Alaska System; University of Alaska Fairbanks; Fisheries &amp; Oceans Canada; Environment &amp; Climate Change Canada; Canadian Centre for Climate Modelling &amp; Analysis (CCCma); Japan Agency for Marine-Earth Science &amp; Technology (JAMSTEC); Commonwealth Scientific &amp; Industrial Research Organisation (CSIRO); Australian National University</t>
  </si>
  <si>
    <t>Hayashida, H (corresponding author), Univ Tasmania, Inst Marine &amp; Antarctic Studies, Hobart, Tas, Australia.;Hayashida, H (corresponding author), Australian Res Council Ctr Excellence Climate Ext, Hobart, Tas, Australia.</t>
  </si>
  <si>
    <t>hakase.hayashida@utas.edu.au</t>
  </si>
  <si>
    <t>Hayashida, Hakase/AAY-4151-2020; Kiss, Andrew E/E-7733-2016; Hogg, Andy McC./A-7553-2011; WATANABE, EIJI/C-2797-2009; matear, richard J/C-5133-2011; Swart, Neil/E-8794-2012; Strutton, Peter/C-4466-2011</t>
  </si>
  <si>
    <t>Hayashida, Hakase/0000-0002-6349-4947; Kiss, Andrew E/0000-0001-8960-9557; Hogg, Andy McC./0000-0001-5898-7635; Steiner, Nadja/0000-0001-7456-3437; Swart, Neil/0000-0002-8200-6187; Strutton, Peter/0000-0002-2395-9471</t>
  </si>
  <si>
    <t>Australian Research Council [CE170100023]; Japan Society for the Promotion of Science (JSPS) [KAKENHI 18H03368]; Arctic Challenge for Sustainability II (ArCS II) project [JP-MXD1420318865]</t>
  </si>
  <si>
    <t>Australian Research Council(Australian Research Council); Japan Society for the Promotion of Science (JSPS)(Ministry of Education, Culture, Sports, Science and Technology, Japan (MEXT)Japan Society for the Promotion of Science); Arctic Challenge for Sustainability II (ArCS II) project</t>
  </si>
  <si>
    <t>This research has been supported by the Australian Research Council (grant no. CE170100023), the Grant-inAid for Scientific Research of the Japan Society for the Promotion of Science (JSPS) (grant no. KAKENHI 18H03368), and the Arctic Challenge for Sustainability II (ArCS II) project (grant no. JP-MXD1420318865).</t>
  </si>
  <si>
    <t>10.5194/gmd-14-6847-2021</t>
  </si>
  <si>
    <t>WZ7TW</t>
  </si>
  <si>
    <t>WOS:000720167500001</t>
  </si>
  <si>
    <t>Feng, HX; Tang, SL; Liang, XF; Liu, LW; Li, J; Zhang, QW; Yi, Y; Peng, D; Hu, JC</t>
  </si>
  <si>
    <t>Feng, Hexiong; Tang, Shulin; Liang, Xu-Fang; Liu, Liwei; Li, Jiao; Zhang, Qiwei; Yi, Yi; Peng, Di; Hu, Jiacheng</t>
  </si>
  <si>
    <t>Protein source affects apparent digestibility of feed ingredients and protein metabolism in Chinese perch (Siniperca chuatsi)</t>
  </si>
  <si>
    <t>AQUACULTURE NUTRITION</t>
  </si>
  <si>
    <t>Apparent digestibility coefficients; Chinese perch (Siniperca chuatsi); Growth performance; Protein metabolism; Protein source</t>
  </si>
  <si>
    <t>SALMON SALMO-SALAR; MANDARIN FISH; ENZYMATIC-HYDROLYSIS; JUVENILE; GROWTH; COEFFICIENTS; DIETS; FEEDSTUFFS; HYBRID; REQUIREMENT</t>
  </si>
  <si>
    <t>In previous studies of apparent digestibility coefficients (ADCs), the association between apparent digestion and protein metabolism from different protein sources has long been ignored. To develop nutritionally adequate diets, this study evaluated the effects of different protein sources (fermented soybean meal [FSM], rapeseed meal [RSM], Antarctic krill powder [AKP] and fish protein hydrolysate [FPH]) on the growth performance, ADCs and expression of genes related to protein metabolism in Chinese perch. The experimental feed was composed of 300g kg(-1) test ingredients and 700g kg(-1) reference feed (RF). After the feeding trial, FPH was found to achieve the best growth performance of Chinese perch and had significantly higher ADCs of dry matter and gross energy than all other ingredients. Besides, FPH was the only ingredient with crude protein ADC exceeding 90% and the highest crude lipid ADC, while RSM had the lowest crude protein and crude lipid ADC. FPH showed the highest ADC of amino acids except for serine and tyrosine, and RSM showed the lowest amino acid ADC except for methionine. FPH resulted in the lowest expression of mtor, s6k, murf1, mafbx, pept2 and lat2 and the highest expression of gdh and ast in the muscle. The transcription level of cat significantly increased in the gut of the FSM group compared with that in the RF group. These findings imply that FPH may be a promising ingredient to be incorporated into the formulated diet of Chinese perch.</t>
  </si>
  <si>
    <t>[Feng, Hexiong; Tang, Shulin; Liang, Xu-Fang; Liu, Liwei; Li, Jiao; Zhang, Qiwei; Yi, Yi; Peng, Di; Hu, Jiacheng] Huazhong Agr Univ, Coll Fisheries, Chinese Perch Res Ctr, Wuhan, Peoples R China; [Feng, Hexiong; Tang, Shulin; Liang, Xu-Fang; Liu, Liwei; Li, Jiao; Zhang, Qiwei; Yi, Yi; Peng, Di; Hu, Jiacheng] Minist Educ, Engn Res Ctr Green Dev Convent Aquat Biol Ind Yan, Wuhan, Peoples R China</t>
  </si>
  <si>
    <t>Huazhong Agricultural University</t>
  </si>
  <si>
    <t>Liang, XF; Liu, LW (corresponding author), Huazhong Agr Univ, Coll Fisheries, 1 Shizishan St, Wuhan 430070, Hubei, Peoples R China.</t>
  </si>
  <si>
    <t>xufang_liang@hotmail.com; liuliwei@mail.hzau.edu.cn</t>
  </si>
  <si>
    <t>HU, JIACHENG/GSE-6430-2022</t>
  </si>
  <si>
    <t>China Agriculture Research System [CARS--46]; National Key R&amp;D Program of China [2019YFD0900500]; National Natural Science Foundation of China [31972809, 31802318]</t>
  </si>
  <si>
    <t>China Agriculture Research System; National Key R&amp;D Program of China; National Natural Science Foundation of China(National Natural Science Foundation of China (NSFC))</t>
  </si>
  <si>
    <t>This work was financially supported by China Agriculture Research System (CARS--46), the National Key R&amp;D Program of China (2019YFD0900500) and the National Natural Science Foundation of China (31972809, 31802318)</t>
  </si>
  <si>
    <t>WILEY-HINDAWI</t>
  </si>
  <si>
    <t>ADAM HOUSE, 3RD FL, 1 FITZROY SQ, LONDON, WIT 5HE, ENGLAND</t>
  </si>
  <si>
    <t>1353-5773</t>
  </si>
  <si>
    <t>1365-2095</t>
  </si>
  <si>
    <t>AQUACULT NUTR</t>
  </si>
  <si>
    <t>Aquac. Nutr.</t>
  </si>
  <si>
    <t>10.1111/anu.13392</t>
  </si>
  <si>
    <t>XD8KF</t>
  </si>
  <si>
    <t>WOS:000717414200001</t>
  </si>
  <si>
    <t>Meynecke, JO; de Bie, J; Barraqueta, JLM; Seyboth, E; Dey, SP; Lee, SB; Samanta, S; Vichi, M; Findlay, K; Roychoudhury, A; Mackey, B</t>
  </si>
  <si>
    <t>Meynecke, Jan-Olaf; de Bie, Jasper; Barraqueta, Jan-Lukas Menzel; Seyboth, Elisa; Dey, Subhra Prakash; Lee, Serena B.; Samanta, Saumik; Vichi, Marcello; Findlay, Ken; Roychoudhury, Alakendra; Mackey, Brendan</t>
  </si>
  <si>
    <t>The Role of Environmental Drivers in Humpback Whale Distribution, Movement and Behavior: A Review</t>
  </si>
  <si>
    <t>climate change; oceanography; cetacean; distribution drivers; environmental change; Megaptera novaeangliae; occurrence</t>
  </si>
  <si>
    <t>MULTIPLE DATA SOURCES; MEGAPTERA-NOVAEANGLIAE; NORTH PACIFIC; FORAGING BEHAVIOR; BALEEN WHALES; HERVEY BAY; DISTRIBUTION PATTERNS; CETACEAN DISTRIBUTION; SURFACE-TEMPERATURE; DISTRIBUTION MODELS</t>
  </si>
  <si>
    <t>Humpback whales, Megaptera novaeangliae, are a highly migratory species exposed to a wide range of environmental factors during their lifetime. The spatial and temporal characteristics of such factors play a significant role in determining suitable habitats for breeding, feeding and resting. The existing studies of the relationship between oceanic conditions and humpback whale ecology provide the basis for understanding impacts on this species. Here we have determined the most relevant environmental drivers identified in peer-reviewed literature published over the last four decades, and assessed the methods used to identify relationships. A total of 148 studies were extracted through an online literature search. These studies used a combined estimated 105,000 humpback whale observations over 1,216 accumulated study years investigating the relationship between humpback whales and environmental drivers in both Northern and Southern Hemispheres. Studies focusing on humpback whales in feeding areas found preferences for areas of upwelling, high chlorophyll-a concentration and frontal areas with changes in temperature, depth and currents, where prey can be found in high concentration. Preferred calving grounds were identified as shallow, warm and with slow water movement to aid the survival of calves. The few studies of migration routes have found preferences for shallow waters close to shorelines with moderate temperature and chlorophyll-a concentration. Extracting information and understanding the influence of key drivers of humpback whale behavioral modes are important for conservation, particularly in regard to expected changes of environmental conditions under climate change.</t>
  </si>
  <si>
    <t>[Meynecke, Jan-Olaf; de Bie, Jasper; Lee, Serena B.; Mackey, Brendan] Griffith Univ, Griffith Climate Change Response Program, Gold Coast, Qld, Australia; [Meynecke, Jan-Olaf; de Bie, Jasper; Lee, Serena B.; Mackey, Brendan] Griffith Univ, Whales &amp; Climate Res Program, Gold Coast, Qld, Australia; [Meynecke, Jan-Olaf; de Bie, Jasper; Lee, Serena B.] Griffith Univ, Coastal &amp; Marine Res Ctr, Gold Coast, Qld, Australia; [Meynecke, Jan-Olaf; de Bie, Jasper; Lee, Serena B.] Griffith Univ, Cities Res Inst, Gold Coast, Qld, Australia; [Barraqueta, Jan-Lukas Menzel; Samanta, Saumik; Roychoudhury, Alakendra] Stellenbosch Univ, Dept Earth Sci, Stellenbosch, South Africa; [Seyboth, Elisa; Findlay, Ken] Cape Peninsula Univ Technol, Fac Sci Appl, Ctr Sustainable Oceans, Cape Town, South Africa; [Dey, Subhra Prakash; Vichi, Marcello] Univ Cape Town, Marine &amp; Antarctic Res Ctr Innovat &amp; Sustainabil, Cape Town, South Africa; [Dey, Subhra Prakash; Vichi, Marcello] Univ Cape Town, Dept Oceanog, Cape Town, South Africa</t>
  </si>
  <si>
    <t>Griffith University; Griffith University - Gold Coast Campus; Griffith University; Griffith University - Gold Coast Campus; Griffith University; Griffith University - Gold Coast Campus; Griffith University; Griffith University - Gold Coast Campus; Stellenbosch University; Cape Peninsula University of Technology; University of Cape Town; University of Cape Town</t>
  </si>
  <si>
    <t>Meynecke, JO (corresponding author), Griffith Univ, Griffith Climate Change Response Program, Gold Coast, Qld, Australia.;Meynecke, JO (corresponding author), Griffith Univ, Whales &amp; Climate Res Program, Gold Coast, Qld, Australia.;Meynecke, JO (corresponding author), Griffith Univ, Coastal &amp; Marine Res Ctr, Gold Coast, Qld, Australia.;Meynecke, JO (corresponding author), Griffith Univ, Cities Res Inst, Gold Coast, Qld, Australia.</t>
  </si>
  <si>
    <t>o.meynecke@griffith.edu.au</t>
  </si>
  <si>
    <t>Vichi, Marcello/GLR-9823-2022; Samanta, Saumik/GYQ-8988-2022; Findlay, Ken/A-5766-2019</t>
  </si>
  <si>
    <t>Vichi, Marcello/0000-0002-0686-9634; de Bie, Jasper/0000-0002-8371-4089; SAMANTA, SAUMIK/0000-0002-6901-0747; Mackey, Brendan/0000-0003-1996-4064; Findlay, Ken/0000-0001-7154-8805</t>
  </si>
  <si>
    <t>NOV 10</t>
  </si>
  <si>
    <t>10.3389/fmars.2021.720774</t>
  </si>
  <si>
    <t>XG8TC</t>
  </si>
  <si>
    <t>WOS:000725019300001</t>
  </si>
  <si>
    <t>Morimoto, S; Takebayashi, S; Goto, D; Hashida, G; Aoki, S</t>
  </si>
  <si>
    <t>Morimoto, Shinji; Takebayashi, Shuichiro; Goto, Daisuke; Hashida, Gen; Aoki, Shuji</t>
  </si>
  <si>
    <t>Shipboard observations of atmospheric oxygen in the Southern Ocean during the 2017-2018 austral summer</t>
  </si>
  <si>
    <t>POLAR SCIENCE</t>
  </si>
  <si>
    <t>Atmospheric oxygen; O-2/N-2; Southern ocean; JARE</t>
  </si>
  <si>
    <t>CARBON ISOTOPIC RATIO; O-2/N-2 RATIO; DIOXIDE; CO2; O-2</t>
  </si>
  <si>
    <t>An in situ measurement system was developed for continuous observations of the mole fractions of atmospheric oxygen (defined as delta(O-2/N-2)) and carbon dioxide (CO2) and the continuous observation was conducted onboard the research vessel SHIRASE 5003 during its voyage between Australia and Syowa Station, Antarctica, in 2017-2018. The CO2 variation was low with respect to that of delta(O-2/N-2) in the Southern Ocean, suggesting that the land biospheric and fossil-fuel derived CO2 and O-2 emissions negligibly influenced the observations. Therefore, the observed significant variations in the atmospheric O-2/N-2 can be attributed to the atmosphere ocean gas exchange. During the southbound voyage in December 2017, we observed large spatial variations in delta(O-2/N-2) due to marine biological production on the western side of the cruise track. Oceanic O2 fluxes based on a simple model and atmospheric delta(O-2/N-2) variability were consistent with past oceanic observations. No clear longitudinal gradient in delta(O-2/N-2) was observed at latitudes toward south of 60 degrees S in December 2017 and February-March 2018. However, local delta(O-2/N-2) maxima were observed in regions with active marine biological production in December 2017. These observations indicate that local O-2 fluxes can also modify the spatial distribution of atmospheric delta(O-2/N-2) in the Southern Ocean.</t>
  </si>
  <si>
    <t>[Morimoto, Shinji; Takebayashi, Shuichiro; Aoki, Shuji] Tohoku Univ, Grad Sch Sci, 6-3 Aoba, Sendai, Miyagi 9808578, Japan; [Goto, Daisuke; Hashida, Gen] Natl Inst Polar Res, 10-3 Midori Cho, Tachikawa, Tokyo 1908518, Japan</t>
  </si>
  <si>
    <t>Tohoku University; Research Organization of Information &amp; Systems (ROIS); National Institute of Polar Research (NIPR) - Japan</t>
  </si>
  <si>
    <t>Morimoto, S (corresponding author), Tohoku Univ, Grad Sch Sci, 6-3 Aoba, Sendai, Miyagi 9808578, Japan.</t>
  </si>
  <si>
    <t>mon@tohoku.ac.jp</t>
  </si>
  <si>
    <t>Morimoto, Shinji/GQR-1817-2022</t>
  </si>
  <si>
    <t>hashida, gen/0000-0002-9033-9053</t>
  </si>
  <si>
    <t>JARE Marine Ecosystem Monitoring program [AMB0902]; National Institute of Polar Research under MEXT; MEXT through the Virtual Laboratory program</t>
  </si>
  <si>
    <t>JARE Marine Ecosystem Monitoring program; National Institute of Polar Research under MEXT; MEXT through the Virtual Laboratory program</t>
  </si>
  <si>
    <t>We are grateful to Dr. Kazunobu Eryu, Dr. Koichiro Doi (59th Japanese Antarctic Research Expedition: JARE59), and Dr. Tomomi Takamura (JARE58) for their operation and maintenance of the observation system onboard SHIRASE, and JARE Marine Ecosystem Monitoring program (AMB0902) for providing the onboard SHIRASE biological observation data. We also thank Prof. Ralph Keeling, Scripps Institution of Oceanography, for sharing his O2/N2 data observed at Cape Grim, Tasmania. We acknowledge the NOAA Air Resources Laboratory (ARL) for providing the HYSPLIT transport and dispersion model used in this study. The cruise observation in the Southern Ocean was conducted as part of the Science Program in JARE59, supported by National Institute of Polar Research under MEXT. This work was also partially supported by the MEXT through the Virtual Laboratory program for the Earth's climate diagnostics. The delta(O2/N2) and CO2 data shown in this paper is available from our website (tgr.gp.tohoku.ac.jp/data/en).</t>
  </si>
  <si>
    <t>1873-9652</t>
  </si>
  <si>
    <t>1876-4428</t>
  </si>
  <si>
    <t>POLAR SCI</t>
  </si>
  <si>
    <t>Polar Sci.</t>
  </si>
  <si>
    <t>10.1016/j.polar.2021.100691</t>
  </si>
  <si>
    <t>WX5IN</t>
  </si>
  <si>
    <t>WOS:000718629600008</t>
  </si>
  <si>
    <t>Schrobback, P; Rolfe, J; Rust, S; Ugalde, S</t>
  </si>
  <si>
    <t>Schrobback, Peggy; Rolfe, John; Rust, Steven; Ugalde, Sarah</t>
  </si>
  <si>
    <t>Challenges and opportunities of aquaculture supply chains: Case study of oysters in Australia</t>
  </si>
  <si>
    <t>OCEAN &amp; COASTAL MANAGEMENT</t>
  </si>
  <si>
    <t>Australia; Aquaculture; Oysters; Seafood; Supply chain</t>
  </si>
  <si>
    <t>SUSTAINABILITY; GOVERNANCE; SHRIMP; TRACEABILITY; HISTORY</t>
  </si>
  <si>
    <t>Assessing seafood supply chains is important at both individual business and industry levels to ensure profitability, efficiency, and consumer satisfaction. Such assessments are typically aimed at understanding the structure of the supply network and at optimizing processes within the chain. Yet, identifying broader supply chain challenges (e.g., access to inputs, market access barriers) and opportunities (e.g., increasing demand) at an industry level is also important to inform industry development strategies. The aim of this case study is to identify challenges and opportunities within the four oyster species' supply chains in Australia (Sydney rock oyster - Saccostrea glomerata, the Pacific oyster - Crassostrea gigas (also referred to as Magallana gigas), Angasi oyster - Ostrea angasi, Black lip oyster - Saccostrea echinate/Striostrea (Parastriostrea) mytiloides) and to offer options on how to address these. Data was collected through supply chain stakeholder interviews during October 2019 and August 2020. Findings suggest that challenges vary depending on the production scale of the industries as low-volume producing oyster industries grapple with production related challenges, while challenges of largevolume producing oyster industries also center around value creation. Opportunities are predominantly seen in addressing the identified challenges.</t>
  </si>
  <si>
    <t>[Schrobback, Peggy; Rolfe, John] Cent Queensland Univ, Sch Business &amp; Law, 554-700 Yaamba Rd, Norman Gardens, Qld 4701, Australia; [Rust, Steven; Ugalde, Sarah] Univ Tasmania, Inst Marine &amp; Antarctic Studies, 15-21 Nubeena Crescent, Taroona, Tas 7053, Australia; [Schrobback, Peggy] CSIRO Agr &amp; Food, 306 Carmody Rd, St Lucia, Qld 4067, Australia</t>
  </si>
  <si>
    <t>Central Queensland University; University of Tasmania; Commonwealth Scientific &amp; Industrial Research Organisation (CSIRO)</t>
  </si>
  <si>
    <t>Schrobback, P (corresponding author), Cent Queensland Univ, Sch Business &amp; Law, 554-700 Yaamba Rd, Norman Gardens, Qld 4701, Australia.;Schrobback, P (corresponding author), CSIRO Agr &amp; Food, 306 Carmody Rd, St Lucia, Qld 4067, Australia.</t>
  </si>
  <si>
    <t>peggy.schrobback@csiro.au</t>
  </si>
  <si>
    <t>Rolfe, John/O-2945-2017</t>
  </si>
  <si>
    <t>Rolfe, John/0000-0001-7659-7040; Rust, STeven/0000-0002-1689-0437; Schrobback, Peggy/0000-0003-0526-1659</t>
  </si>
  <si>
    <t>Rural Economies Centre of Excellence under Grant CQU project 3a/3b</t>
  </si>
  <si>
    <t>This work was supported by the Rural Economies Centre of Excellence under Grant CQU project 3a/3b. The authors would like to thank participants in the interviews and the support of Oysters Australia in carrying out the inverviews.</t>
  </si>
  <si>
    <t>0964-5691</t>
  </si>
  <si>
    <t>1873-524X</t>
  </si>
  <si>
    <t>OCEAN COAST MANAGE</t>
  </si>
  <si>
    <t>Ocean Coastal Manage.</t>
  </si>
  <si>
    <t>10.1016/j.ocecoaman.2021.105966</t>
  </si>
  <si>
    <t>Oceanography; Water Resources</t>
  </si>
  <si>
    <t>XD2RD</t>
  </si>
  <si>
    <t>WOS:000722556200007</t>
  </si>
  <si>
    <t>Chadwick, M; Allen, CS; Sime, LC; Crosta, X; Hillenbrand, CD</t>
  </si>
  <si>
    <t>Chadwick, M.; Allen, C. S.; Sime, L. C.; Crosta, X.; Hillenbrand, C-D</t>
  </si>
  <si>
    <t>How does the Southern Ocean palaeoenvironment during Marine Isotope Stage 5e compare to the modern?</t>
  </si>
  <si>
    <t>MARINE MICROPALEONTOLOGY</t>
  </si>
  <si>
    <t>MIS 5e; Palaeoenvironment; Diatom; Southern Ocean; Marine Sediment Core</t>
  </si>
  <si>
    <t>ANTARCTIC ICE-SHEET; SEA-SURFACE TEMPERATURE; MAJOR DIATOM TAXA; CLIMATE-CHANGE; PROBABILISTIC ASSESSMENT; CIRCUMPOLAR CURRENT; EAST ANTARCTICA; ATLANTIC SECTOR; POLAR FRONT; SCOTIA SEA</t>
  </si>
  <si>
    <t>Marine Isotope Stage (MIS) 5e (130-116 ka) represents an important 'process analogue' for understanding the climatic feedbacks and responses likely active under future anthropogenic warming. Reconstructing the Southern Ocean (SO) palaeoenvironment during MIS 5e and comparing it to the present day provides insights into the different responses of the SO sectors to a warmer climate. This study presents new records from seven marine sediment cores for MIS 5e together with their surface sediment records; all cores are located south of 55 degrees S. We investigate changes in diatom species assemblage and the accompanying variations in sea surface temperatures, winter sea-ice extent (WSIE) and glacial meltwater flux. All records show warmer conditions and a reduced WSIE during MIS 5e relative to the surface sediments. While the Pacific and Indian Sector records present very stable conditions throughout MIS 5e, the Atlantic Sector records display much more changeable conditions, particularly with respect to the WSIE. These variable conditions are attributed to higher iceberg and glacial meltwater flux in the Weddell Sea. This evidence for increased iceberg and glacial meltwater flux in the Weddell Sea during MIS 5e may have significant implications for understanding the stability of the West Antarctic Ice Sheet, both during MIS 5e and under future warming.</t>
  </si>
  <si>
    <t>[Chadwick, M.; Allen, C. S.; Sime, L. C.; Hillenbrand, C-D] British Antarctic Survey, Madingley Rd, Cambridge CB3 0ET, England; [Chadwick, M.] Univ Southampton, Ocean &amp; Earth Sci, Natl Oceanog Ctr, Waterfront Campus,European Way, Southampton SO14 3ZH, Hants, England; [Crosta, X.] Univ Bordeaux, EPHE, CNRS, UMR 5805 EPOC, Pessac, France</t>
  </si>
  <si>
    <t>UK Research &amp; Innovation (UKRI); Natural Environment Research Council (NERC); NERC British Antarctic Survey; NERC National Oceanography Centre; University of Southampton; Universite PSL; Ecole Pratique des Hautes Etudes (EPHE); Universite de Bordeaux; Centre National de la Recherche Scientifique (CNRS)</t>
  </si>
  <si>
    <t>Chadwick, M (corresponding author), British Antarctic Survey, Madingley Rd, Cambridge CB3 0ET, England.</t>
  </si>
  <si>
    <t>machad27@bas.ac.uk</t>
  </si>
  <si>
    <t>Chadwick, Matthew/HTM-7278-2023</t>
  </si>
  <si>
    <t>Chadwick, Matthew/0000-0002-3861-4564</t>
  </si>
  <si>
    <t>Natural Environmental Research Council [NE/L002531/1]; NERC [1940755, NE/S00954X/1] Funding Source: UKRI</t>
  </si>
  <si>
    <t>Natural Environmental Research Council(UK Research &amp; Innovation (UKRI)Natural Environment Research Council (NERC)); NERC(UK Research &amp; Innovation (UKRI)Natural Environment Research Council (NERC))</t>
  </si>
  <si>
    <t>This work was supported by the Natural Environmental Research Council [grant number NE/L002531/1] and contributes to British Antarctic Survey's `Polar Science for Planet Earth' program.</t>
  </si>
  <si>
    <t>0377-8398</t>
  </si>
  <si>
    <t>1872-6186</t>
  </si>
  <si>
    <t>MAR MICROPALEONTOL</t>
  </si>
  <si>
    <t>Mar. Micropaleontol.</t>
  </si>
  <si>
    <t>10.1016/j.marmicro.2021.102066</t>
  </si>
  <si>
    <t>Paleontology</t>
  </si>
  <si>
    <t>XA7ME</t>
  </si>
  <si>
    <t>Green Accepted, Green Submitted</t>
  </si>
  <si>
    <t>WOS:000720825100001</t>
  </si>
  <si>
    <t>Bhushan, B; Tanwar, H; Dogra, V; Singh, SB; Ganju, L</t>
  </si>
  <si>
    <t>Bhushan, Brij; Tanwar, Himanshi; Dogra, Vikas; Singh, Shashi Bala; Ganju, Lilly</t>
  </si>
  <si>
    <t>Investigation of complement system activation and regulation during Indian Antarctic expedition</t>
  </si>
  <si>
    <t>Antarctic stress; Complement activation; Anaphylatoxin; Complement regulators</t>
  </si>
  <si>
    <t>SPACE ANALOG; STRESS; IMMUNOLOGY</t>
  </si>
  <si>
    <t>Antarctica is one of the most effective sites to measure the impact of human isolation, sleep deprivation, light-dark period and harsh environmental conditions. In the present study we address several aspects of the activation and regulation of the complement system. Alterations in the body systems mainly related to immunology, physiology and psychology, during expeditions to the Antarctica, leads to various complexities. In the present study the research findings are based on two group members from 34th Indian Scientific Expedition to the Antarctic. The first group-included members from summer expedition, while the second group-included members subjected to the Antarctic environment for the winter expedition. Blood samples were collected from both the groups and evaluated for various activation and regulatory complement protein. Serum levels of C3, C4 &amp; C5a were analysed. Anaphylatoxin C3a was up regulated significantly in both the teams. However, C5a, another anaphylatoxin was also increased in both teams though not significantly during winter expedition. Complement regulatory proteins C1-Inhibitor, Factor D, Factor H were unregulated significantly during summer and winter exposures. However, Factor D levels increased significantly only in the month of April (W2) of summer exposure. Thus, this indicates that harsh Antarctic conditions could be detrimental factor for activation of complement system in both the teams. However, the effect of activated complement system during the expedition was regulated in positive manner and could not be correlated with clinical manifestations due to the multiple stressors and small population size during Antarctic expedition.</t>
  </si>
  <si>
    <t>[Bhushan, Brij; Tanwar, Himanshi; Ganju, Lilly] DRDO, Def Inst Physiol &amp; Allied Sci DIPAS, Lucknow Rd, New Delhi 110054, India; [Dogra, Vikas] Rajiv Gandhi Super Special Hosp RGSSH, New Delhi 110093, India; [Singh, Shashi Bala] Natl Inst Pharmaceut Educ &amp; Res NIPER, NH9,Kukatpally Ind Estate, Hyderabad 500037, Telangana, India</t>
  </si>
  <si>
    <t>Defence Research &amp; Development Organisation (DRDO); Defence Institute of Physiology &amp; Allied Sciences (DIPAS); National Institute of Pharmaceutical Education &amp; Research (NIPER); National Institute of Pharmaceutical Education &amp; Research, Hyderabad</t>
  </si>
  <si>
    <t>Ganju, L (corresponding author), Def Res &amp; Dev Org DRDO, Def Inst Physiol &amp; Allied Sci DIPAS, Lucknow Mad, New Delhi 110054, India.</t>
  </si>
  <si>
    <t>lilly.ganju65@gmail.com</t>
  </si>
  <si>
    <t>Bhushan, Brij/GNP-7700-2022; Tanwar, Himanshi/HOF-8960-2023</t>
  </si>
  <si>
    <t>Bhushan, Brij/0000-0003-4036-5816;</t>
  </si>
  <si>
    <t>Defence Research and Development Organisation (DRDO)</t>
  </si>
  <si>
    <t>Defence Research and Development Organisation (DRDO)(Defence Research &amp; Development Organisation (DRDO))</t>
  </si>
  <si>
    <t>Authors would like to thank National Centre for Polar and Ocean Research (NCPOR) for their logistic support during expedition and all the participants of the study. Brij Bhushan would like to recognize Defence Research and Development Organisation (DRDO) for the research fellowship.</t>
  </si>
  <si>
    <t>10.1016/j.polar.2021.100699</t>
  </si>
  <si>
    <t>WX5JQ</t>
  </si>
  <si>
    <t>WOS:000718632500002</t>
  </si>
  <si>
    <t>Deelaman, W; Pongpiachan, S; Tipmanee, D; Choochuay, C; Suttinun, O; Charoenkalunyuta, T; Promdee, K</t>
  </si>
  <si>
    <t>Deelaman, Woranuch; Pongpiachan, Siwatt; Tipmanee, Danai; Choochuay, Chomsri; Suttinun, Oramas; Charoenkalunyuta, Teetat; Promdee, Kittiphop</t>
  </si>
  <si>
    <t>Ecotoxicological risk and health risk characterization of polycyclic aromatic hydrocarbons (PAHs) in terrestrial soils of King George Island, Antarctica</t>
  </si>
  <si>
    <t>Polycyclic aromatic hydrocarbon; Terrestrial soil; King George Island; Ecological risk assessment; Incremental lifetime cancer risk</t>
  </si>
  <si>
    <t>PERSISTENT ORGANIC POLLUTANTS; CANCER-RISK; SOURCE APPORTIONMENT; AGRICULTURAL SOILS; MOLECULAR MARKERS; MCMURDO STATION; EXPOSURE; SEDIMENTS; BAY; REGION</t>
  </si>
  <si>
    <t>We studied the concentrations, characteristics, ecological risk, and health risk of 12 probably carcinogenic polycyclic aromatic hydrocarbons (PAHs) in KGI soils of Antarctica. Measured concentrations of 12 PAHs ranged from 1.83 to 32.9 ng g(-1) with an average of 11.9 +/- 8.13 ng g(-1). The assessment of ecological risks used methods that were based on total toxicity equivalency concentrations (TEQs) and a risk quotient (RQ), which can be used to sensitively and accurately assess Sigma PAHs. The results indicated that PAHs in the soils of KGI presented a low risk level to living organisms in the soil and to plants. The low molecular weight PAHs presented a much greater ecological risk than high molecular weight PAHs in KGI soils, and the levels of these ecological risks were classified as low compared to those of previous studies in other areas. The total values of incremental lifetime cancer risk (ILCR) for children and adults were 2.34 x 10(-8) and 1.73 x 10(-8), respectively. Soil samples from KGI that were contaminated with PAHs still exhibited risks that were much lower than that of the baseline value. The results of this investigation provide a database for contamination evaluation, risk assessment of ecological and human health in PAH-contaminated sites.</t>
  </si>
  <si>
    <t>[Deelaman, Woranuch; Choochuay, Chomsri; Suttinun, Oramas] Prince Songkla Univ, Fac Environm Management, Hat Yai Campus, Hat Yai 90112, Thailand; [Deelaman, Woranuch] Rajamangala Univ Technol Phra Nakhon, Fac Sci &amp; Technol, Div Environm Sci &amp; Technol, Bangkok 10800, Thailand; [Pongpiachan, Siwatt] Natl Inst Dev Adm NIDA, Sch Social &amp; Environm Dev, NIDA Ctr Res &amp; Dev Disaster Prevent &amp; Management, 118 Moo 3,Sereethai Rd, Bangkok 10240, Thailand; [Tipmanee, Danai] Prince Songkla Univ, Fac Technol &amp; Environm, Phuket Campus 80 M1 Kathu, Phuket 83120, Thailand; [Charoenkalunyuta, Teetat] Chulalongkorn Univ, Dept Survey Engn, Bangkok 10330, Thailand; [Promdee, Kittiphop] Chulachomklao Royal Mil Acad, Dept Environm Sci, Nakhon Nayok 26001, Thailand</t>
  </si>
  <si>
    <t>Prince of Songkla University; Rajamangala University of Technology Phra Nakhon; National Institute of Development Administration - Thailand; Prince of Songkla University; Chulalongkorn University</t>
  </si>
  <si>
    <t>Pongpiachan, S (corresponding author), Natl Inst Dev Adm NIDA, Sch Social &amp; Environm Dev, NIDA Ctr Res &amp; Dev Disaster Prevent &amp; Management, 118 Moo 3,Sereethai Rd, Bangkok 10240, Thailand.</t>
  </si>
  <si>
    <t>siwatt.p@nida.ac.th</t>
  </si>
  <si>
    <t>Charoenkalunyuta, Teetat/AAD-4258-2019</t>
  </si>
  <si>
    <t>Charoenkalunyuta, Teetat/0000-0002-9562-9607; Pongpiachan, Siwatt/0000-0003-1062-7627</t>
  </si>
  <si>
    <t>Information Technology Foundation under the Initiative of Her Royal Highness Princess Maha Chakri Sirindhorn; Polar Research Project under the initiative of Her Royal Highness Princess Maha Chakri Sirindhorn; National Science and Technology Development Agency (NSTDA); Chinese Arctic and Antarctic Administration; Graduate School of Prince of Songkla University</t>
  </si>
  <si>
    <t>We are highly grateful to the Information Technology Foundation under the Initiative of Her Royal Highness Princess Maha Chakri Sirindhorn, the Polar Research Project under the initiative of Her Royal Highness Princess Maha Chakri Sirindhorn, the National Science and Technology Development Agency (NSTDA), the Chinese Arctic and Antarctic Administration, the Graduate School of Prince of Songkla University and all the staff of the Faculty of Environmental Management, Prince of Songkla University for supporting this study.</t>
  </si>
  <si>
    <t>10.1016/j.polar.2021.100715</t>
  </si>
  <si>
    <t>WOS:000718632500007</t>
  </si>
  <si>
    <t>Hillebrand, FL; Barreto, IDD; Bremer, UF; Arigony-Neto, J; Mendes, CW; Simoes, JC; da Rosa, CN; de Jesus, JB</t>
  </si>
  <si>
    <t>Hillebrand, Fernando Luis; de Carvalho Barreto, Ikaro Daniel; Bremer, Ulisses Franz; Arigony-Neto, Jorge; Mendes Junior, Claudio Wilson; Simoes, Jefferson Cardia; da Rosa, Cristiano Niederauer; de Jesus, Janisson Batista</t>
  </si>
  <si>
    <t>Application of textural analysis to map the sea ice concentration with sentinel 1A in the western region of the Antarctic Peninsula</t>
  </si>
  <si>
    <t>Textural feature; Synthetic aperture radar; Sea ice classification; Sea ice extent</t>
  </si>
  <si>
    <t>BACKSCATTERING SIGNATURES; CLIMATE VARIABILITY; C-BAND; CLASSIFICATION; SAR</t>
  </si>
  <si>
    <t>This article proposes the mapping of the concentration of sea ice in the oceanic region of the western Antarctic Peninsula using backscatter coefficients and textural features from synthetic aperture radar (SAR) C-band, horizontal single polarization (HH) images obtained by the Sentinel 1 A satellite sensor. Pure samples of open water and sea ice were obtained from SAR images with the aid of PlanetScope optical images during the austral winter. The statistical technique of logistic regression was applied to identify the best textural features to discriminate the two sampled targets. These selected textural features were used with the backscatter coefficients of SAR images in a maximum likelihood supervised classifier to analyze the images. With sea ice classified in the time series between 2016 and 2019 during winter and austral spring, the concentration of sea ice in the study region was calculated and mapped. The textural features statistically indicated by the logistic regression were gray level co-occurrence matrix (GLCM) Mean and GLCM Variance, resulting in the supervised classification having an accuracy of 86% and precision ranging from 86% to 98% in the validation stage.</t>
  </si>
  <si>
    <t>[Hillebrand, Fernando Luis; Bremer, Ulisses Franz; Mendes Junior, Claudio Wilson; Simoes, Jefferson Cardia; da Rosa, Cristiano Niederauer] Univ Fed Rio Grande do Sul, Ctr Polar &amp; Climat, Inst Geociencias, Av Bento Goncalves 9500, BR-91501970 Porto Alegre, RS, Brazil; [Hillebrand, Fernando Luis; Bremer, Ulisses Franz; Mendes Junior, Claudio Wilson; da Rosa, Cristiano Niederauer; de Jesus, Janisson Batista] Univ Fed Rio Grande do Sul, Programa Posgrad Sensoriamento Remoto, Av Bento Goncalves 9500, BR-91501970 Porto Alegre, RS, Brazil; [Hillebrand, Fernando Luis] Inst Fed Educ Ciencia &amp; Tecnol Rio Grande Do Sul, Campus Rolante,Rodovia RS 239,Km 68, BR-95690000 Rolante, RS, Brazil; [de Carvalho Barreto, Ikaro Daniel] Univ Fed Pernambuco, Programa Posgrad Biometria &amp; Estat Aplicada, Rua Dom Manoel Medeiros S-N, BR-52171900 Recife, PE, Brazil; [Arigony-Neto, Jorge] Univ Fed Rio Grande, Inst Oceanog, Av Italia,Km 8, BR-96203900 Rio Grande, RS, Brazil; [Simoes, Jefferson Cardia] Univ Maine, Climat Change Inst, Orono, ME 04469 USA</t>
  </si>
  <si>
    <t>Universidade Federal do Rio Grande do Sul; Universidade Federal do Rio Grande do Sul; Instituto Federal do Rio Grande do Sul (IFRS); Universidade Federal de Pernambuco; Universidade Federal do Rio Grande; University of Maine System; University of Maine Orono</t>
  </si>
  <si>
    <t>Hillebrand, FL (corresponding author), Univ Fed Rio Grande do Sul, Ctr Polar &amp; Climat, Inst Geociencias, Av Bento Goncalves 9500, BR-91501970 Porto Alegre, RS, Brazil.</t>
  </si>
  <si>
    <t>fernando.hillebrand@rolante.ifrs.edu.br; daniel.carvalho.ib@gmail.com; bremer@ufrgs.br; jorgearigony@furg.br; claudio.mendes@ufrgs.br; jefferson.simoes@ufrgs.br; cristianonrd@gmail.com; janisson.eng@gmail.com</t>
  </si>
  <si>
    <t>Simoes, Jefferson Cardia/D-7232-2013; Hillebrand, Fernando Luis/AAK-5772-2020; Barreto, Ikaro Daniel/R-8476-2018; Bremer, Ulisses F/D-3308-2013; Bremer, Ulisses/AAT-8733-2021</t>
  </si>
  <si>
    <t>Simoes, Jefferson Cardia/0000-0001-5555-3401; Hillebrand, Fernando Luis/0000-0002-0182-8526; Barreto, Ikaro Daniel/0000-0001-7253-806X; Bremer, Ulisses/0000-0003-0519-5807; Rosa, Cristiano Niederauer da/0000-0003-3693-4764; Mendes Junior, Claudio Wilson/0000-0003-1745-348X</t>
  </si>
  <si>
    <t>Federal Institute of Education, Science and Technology of Rio Grande do Sul (IFRS); Research Support Foundation of Rio Grande do Sul (FAPERGS) [17/255100005180]; National Council for Scientific and Technological Development (CNPq) [465680/2014-3]</t>
  </si>
  <si>
    <t>Federal Institute of Education, Science and Technology of Rio Grande do Sul (IFRS); Research Support Foundation of Rio Grande do Sul (FAPERGS)(Fundacao de Amparo a Ciencia e Tecnologia do Estado do Rio Grande do Sul (FAPERGS)); National Council for Scientific and Technological Development (CNPq)(Conselho Nacional de Desenvolvimento Cientifico e Tecnologico (CNPQ))</t>
  </si>
  <si>
    <t>This study was supported by the Federal Institute of Education, Science and Technology of Rio Grande do Sul (IFRS). We also thank the Coordination for the Improvement of Higher Education Personnel (CAPES), the National Institute of Science and Technology of the Cryosphere (INCT da Criosfera), financing by the Research Support Foundation of Rio Grande do Sul (FAPERGS) project 17/255100005180, and the National Council for Scientific and Technological Development (CNPq) project 465680/2014-3.</t>
  </si>
  <si>
    <t>10.1016/j.polar.2021.100719</t>
  </si>
  <si>
    <t>WX5FX</t>
  </si>
  <si>
    <t>WOS:000718622800001</t>
  </si>
  <si>
    <t>Hiroi, T; Kaiden, H; Imae, N; Misawa, K; Kojima, H; Sasaki, S; Matsuoka, M; Nakamura, T; Bish, DL; Ohtsuka, K; Howard, KT; Robertson, KR; Milliken, RE</t>
  </si>
  <si>
    <t>Hiroi, T.; Kaiden, H.; Imae, N.; Misawa, K.; Kojima, H.; Sasaki, S.; Matsuoka, M.; Nakamura, T.; Bish, D. L.; Ohtsuka, K.; Howard, K. T.; Robertson, K. R.; Milliken, R. E.</t>
  </si>
  <si>
    <t>UV-visible-infrared spectral survey of Antarctic carbonaceous chondrite chips</t>
  </si>
  <si>
    <t>Meteorite; Carbonaceous chondrite; Reflectance; Spectroscopy; Exploration</t>
  </si>
  <si>
    <t>REFLECTANCE PROPERTIES; AQUEOUS ALTERATION; MODAL MINERALOGY; NATIONAL INSTITUTE; METEORITES; CM; SPECTROSCOPY; ASTEROIDS; MATRIX; SAMPLE</t>
  </si>
  <si>
    <t>Antarctic carbonaceous chondrite (CC) meteorite chip samples in the Japanese and US collections have been studied by an ultraviolet (UV), visible (Vis), and near-infrared (NIR) (UVVNIR) spectrometer and a Fouriertransform infrared (FTIR) spectrometer, targeting small areas of about 2-6 mm in diameter. UVVNIR and FTIR reflectance spectra of 169 spots on 148 CC chips were measured on their naturally broken surfaces with no sample preparation. Among them, 83 spectra were accepted as reasonably free of terrestrial weathering or surface texture effects. X-ray diffraction (XRD) and FTIR measurements of a weathered sample revealed that gypsum likely formed on its surface after recovery from Antarctica. Principal component analysis (PCA) of the UVVNIR-FTIR combined spectra allowed distinguishing powder and chip or surface texture and identifying their class and thermal metamorphism. Gaussian fitting of the 3 mu m absorption band of hydrous CC samples allowed for removal of the spectral effects of adsorbed H2O and for the extraction of structural absorption bands which are characteristic of CC classes and degree of aqueous alteration. These results suggest that CC-like rocks on small asteroids without fine regolith can be identified through spectral reflectance measurements by spacecraft, landers, or rovers.</t>
  </si>
  <si>
    <t>[Hiroi, T.; Robertson, K. R.; Milliken, R. E.] Brown Univ, Dept Earth Environm &amp; Planetary Sci, 324 Brook St,Box 1846, Providence, RI 02912 USA; [Kaiden, H.; Imae, N.; Misawa, K.; Kojima, H.] Natl Inst Polar Res, Antarctic Meteorite Lab, 10-3 Midori Cho, Tachikawa, Tokyo 1908518, Japan; [Kaiden, H.; Imae, N.; Misawa, K.; Kojima, H.] Grad Univ Adv Studies, Dept Polar Sci, 10-3 Midori Cho, Tachikawa, Tokyo 1908518, Japan; [Sasaki, S.] Osaka Univ, Grad Sch Sci, Dept Earth &amp; Space Sci, 1-10 Machikaneyama, Toyonaka, Osaka 5600043, Japan; [Matsuoka, M.] JAXA Inst Space &amp; Astronaut Sci, Chuo Ku, 3-1-1 Yoshinodai, Sagamihara, Kanagawa 2525210, Japan; [Nakamura, T.] Tohoku Univ, Dept Earth &amp; Planetary Mat Sci, Aoba Ku, Sendai, Miyagi 9808578, Japan; [Bish, D. L.] Indiana Univ, Dept Chem, 800 E Kirkwood Ave, Bloomington, IN 47405 USA; [Ohtsuka, K.] Tokyo Meteor Network, Setagaya Ku, 1-27-5 Daisawa, Tokyo 1550032, Japan; [Howard, K. T.] CUNY, Phys Sci, Kingsborough Community Coll, 2001 Oriental Blvd, Brooklyn, NY 11235 USA; [Howard, K. T.] CUNY, Earth &amp; Environm Sci, Grad Ctr, Brooklyn, NY USA; [Howard, K. T.] Amer Museum Nat Hist, Earth &amp; Planetary Sci, New York, NY 10024 USA</t>
  </si>
  <si>
    <t>Brown University; Research Organization of Information &amp; Systems (ROIS); National Institute of Polar Research (NIPR) - Japan; Graduate University for Advanced Studies - Japan; Osaka University; Japan Aerospace Exploration Agency (JAXA); Institute of Space &amp; Astronautical Science (ISAS); Tohoku University; Indiana University System; Indiana University Bloomington; City University of New York (CUNY) System; City University of New York (CUNY) System; American Museum of Natural History (AMNH)</t>
  </si>
  <si>
    <t>Hiroi, T (corresponding author), Brown Univ, Dept Earth Environm &amp; Planetary Sci, 324 Brook St,Box 1846, Providence, RI 02912 USA.</t>
  </si>
  <si>
    <t>takahiro_hiroi@brown.edu</t>
  </si>
  <si>
    <t>Hiroi, Takahiro/AAE-9701-2020</t>
  </si>
  <si>
    <t>Hiroi, Takahiro/0000-0003-2866-9091</t>
  </si>
  <si>
    <t>NASA; JSPS KAKENHI [24540493]; Grants-in-Aid for Scientific Research [24540493] Funding Source: KAKEN</t>
  </si>
  <si>
    <t>NASA(National Aeronautics &amp; Space Administration (NASA));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</si>
  <si>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CC chip samples studied here were kindly loaned from NIPR, JSC, or NMNH. The National Science Foundation (NSF) and the Meteorite Working Group (MWG) are also acknowledged for collecting and distributing the samples. The Reflectance Experiment Laboratory (RELAB) is a multi-user facility that is supported by NASA and located at Brown University. This study was started while T.H. was a visiting professor at the NIPR. He was partially supported by JSPS KAKENHI Grant number 24540493 for measuring reflectance spectra and NASA SSERVI and EW programs for analyzing the data and publishing the results of this study.</t>
  </si>
  <si>
    <t>10.1016/j.polar.2021.100723</t>
  </si>
  <si>
    <t>WX5IR</t>
  </si>
  <si>
    <t>WOS:000718630000002</t>
  </si>
  <si>
    <t>Rodrigo, C; Herbstaedt, R</t>
  </si>
  <si>
    <t>Rodrigo, Cristian; Herbstaedt, Rudolph</t>
  </si>
  <si>
    <t>Submarine landforms and seismic facies in Borgen Bay, Anvers Island: Imprints of the past glacial behaviour and climate influence in the Western Antarctic Peninsula</t>
  </si>
  <si>
    <t>Glacimarine processes; Sedimentation; Seismic facies; Submarine landform; Tidewater glacier</t>
  </si>
  <si>
    <t>ICE-SHEET; CONTINENTAL-SHELF; RETREAT; SEA; SEDIMENTATION; HISTORY; CONFIGURATION; MAXIMUM; SYSTEM; FJORDS</t>
  </si>
  <si>
    <t>The glacimarine processes in the Western Antarctic Peninsula have been intensified since the Little Ice Age. These have been recorded in the distribution and shape of glacial submarine landforms and glacial sub-bottom stratigraphy. In this study, the dominant factors of the past ice flow behaviour and glacimarine sedimentary processes in Bo spacing diaeresis rgen Bay, Anvers Island, are identified and analyzed. The results indicate that the outer bay linear features are associable to the past ice flow during the Last Glacial Maximum. After that, a general deglaciation period occurred, with some readvances and short stillstand, interpreted by the presence of moraines and small transverse ridges. The presence of pinning points on the coast, could affect the glacier movements and favour the generation of moraines. Differences in the ice flow behaviour between the bay arms, are due to factors such as bathymetry, and the size of the drainage basin and glacier front. Main sedimentary processes are ice-rafting and subglacial flows, marked by chaotic seismic facies, and gravity flows identified by monticulated and transparent seismic facies, and also sediment plumes contribution, creating laminated facies in the proximal area basins. Those sedimentary mechanisms and landforms agree with a wet polar climate, but some of them would indicate a warmer climate shifting, that is necessary to prove with systematic future measurements.</t>
  </si>
  <si>
    <t>[Rodrigo, Cristian; Herbstaedt, Rudolph] Univ Andres Bello, Fac Ingn Geol, Quillota 980, Vina Del Mar, Chile</t>
  </si>
  <si>
    <t>Universidad Andres Bello</t>
  </si>
  <si>
    <t>Rodrigo, C (corresponding author), Univ Andres Bello, Fac Ingn Geol, Quillota 980, Vina Del Mar, Chile.</t>
  </si>
  <si>
    <t>cristian.rodrigo@unab.cl</t>
  </si>
  <si>
    <t>Rodrigo, Cristian/0000-0003-3523-9698</t>
  </si>
  <si>
    <t>CONICYT-FONDECYT (Chile) [11121522]; Chilean Antarctic Expedition (ECA) of INACH, Chilean Navy [53]</t>
  </si>
  <si>
    <t>CONICYT-FONDECYT (Chile)(Comision Nacional de Investigacion Cientifica y Tecnologica (CONICYT)CONICYT FONDECYT); Chilean Antarctic Expedition (ECA) of INACH, Chilean Navy</t>
  </si>
  <si>
    <t>The research was possible thanks to the support of CONICYT-FONDECYT (Chile) project N. 11121522. Thanks to the staff of the Chilean Antarctic Expedition (ECA) N. 53 of INACH, Chilean Navy, and the BIO Hesperides (Armada Espanola) for their logistical support. Special thanks to Crist ' obal Rodrigo, Claudio Valenzuela and Liz Vilches for their help with data acquisition and sampling, and to Jos ' e Retamales and Lorena Rebolledo for their support. We also thanks John Anderson and Gene Domack for sharing the SBP and multibeam data, the British Antarctic Survey (BAS) for supply Antarctic maps, and to USGS repository and its Polar Geospatial Center. In addition, we thank the FSU Antarctic Research Facilities for open the sediment core database.</t>
  </si>
  <si>
    <t>10.1016/j.polar.2021.100695</t>
  </si>
  <si>
    <t>WOS:000718632500004</t>
  </si>
  <si>
    <t>Sato, H; Machida, S; Senda, R; Sato, K; Kumagai, H; Hyodo, H; Yoneda, S; Kato, Y</t>
  </si>
  <si>
    <t>Sato, Hiroshi; Machida, Shiki; Senda, Ryoko; Sato, Keiko; Kumagai, Hidenori; Hyodo, Hironobu; Yoneda, Shigekazu; Kato, Yasuhiro</t>
  </si>
  <si>
    <t>Petrology, geochemistry, and geochronology of plutonic rocks from the present Southwest Indian Ridge: Implications for dropstone distribution in the Indian Ocean</t>
  </si>
  <si>
    <t>Southwest Indian Ridge; Petrology; Southern Ocean; Orogeny; Dropstones</t>
  </si>
  <si>
    <t>SOR-RONDANE MOUNTAINS; DRONNING MAUD LAND; EAST ANTARCTICA; BASEMENT PROVINCES; TRACE-ELEMENTS; VICTORIA LAND; ROSS OROGENY; VARIABILITY; GRANITOIDS; EVOLUTION</t>
  </si>
  <si>
    <t>We recovered sedimentary and plutonic rocks from the off-ridge portion of the Southwest Indian Ridge (37 degrees 00.02' E, 44 degrees 49.73' 5, 2165 m deep). The petrography, geochemistry, and geochronology of these plutonic rocks were analyzed. Ar-Ar dating of biotite in the plutonic rocks yielded early Paleozoic ages of approximately 475 and 490 Ma, indicating that these rocks are likely related to Antarctic orogenies during the late Neo-proterozoic to early Paleozoic. In addition, the samples exhibited trace element compositions and low initial epsilon Nd values (-8 and -12) similar to those of rocks from western Dronning Maud Land and the Transantarctic Mountains, Antarctica. Such similarities suggest that these plutonic rocks from the off-ridge portion of the Southwest Indian ridge were derived from western Dronning Maud Land or the Transantarctic Mountains and deposited by melting icebergs as dropstones.</t>
  </si>
  <si>
    <t>[Sato, Hiroshi] Senshu Univ, Sch Business Adm, Tama Ku, 2-1-1 Higashimita, Kawasaki, Kanagawa 2148580, Japan; [Machida, Shiki] Waseda Univ, Sch Creat Sci &amp; Engn, Shinjuku Ku, 3-4-1 Okubo, Tokyo 1698555, Japan; [Senda, Ryoko] JAMSTEC, Dept Solid Earth Geochem, Yokosuka, Kanagawa 2370061, Japan; [Sato, Keiko; Kumagai, Hidenori] JAMSTEC, R&amp;D Ctr Submarine Resources, Yokosuka, Kanagawa 2370061, Japan; [Hyodo, Hironobu] Okayama Univ Sci, Nat Sci Res Ctr, Okayama 7000005, Japan; [Yoneda, Shigekazu] Natl Museum Nat &amp; Sci, Dept Sci &amp; Engn, 4-1-1 Amakubo, Tsukuba, Ibaraki 3050005, Japan; [Kato, Yasuhiro] Univ Tokyo, Grad Sch Engn, Bunkyo Ku, 7-3-1 Hongo, Bunkyo, Tokyo 1138654, Japan; [Machida, Shiki] Chiba Inst Technol, Ocean Resources Res Ctr Next Generat, Chiba 2750016, Japan; [Senda, Ryoko] Kyushu Univ, Fac Social &amp; Cultural Studies, Fukuoka 8190395, Japan; [Sato, Keiko] Fukushima Coll, Natl Inst Technol, Iwaki, Fukushima 9708034, Japan; [Sato, Keiko; Kumagai, Hidenori] JAMSTEC, Res Inst Marine Resources Utilizat, Yokosuka, Kanagawa 2370061, Japan; [Hyodo, Hironobu] Okayama Univ Sci, Inst Frontier Sci &amp; Technol, Okayama 7000005, Japan</t>
  </si>
  <si>
    <t>Waseda University; Japan Agency for Marine-Earth Science &amp; Technology (JAMSTEC); Japan Agency for Marine-Earth Science &amp; Technology (JAMSTEC); Okayama University of Science; National Museum of Nature and Science; University of Tokyo; Chiba Institute of Technology; Kyushu University; Japan Agency for Marine-Earth Science &amp; Technology (JAMSTEC); Okayama University of Science</t>
  </si>
  <si>
    <t>Sato, H (corresponding author), Senshu Univ, Sch Business Adm, Tama Ku, 2-1-1 Higashimita, Kawasaki, Kanagawa 2148580, Japan.</t>
  </si>
  <si>
    <t>satohiro@isc.senshu-u.ac.jp</t>
  </si>
  <si>
    <t>Kato, Yasuhiro/S-8981-2017</t>
  </si>
  <si>
    <t>Kato, Yasuhiro/0000-0002-5711-8304; SATO, HIROSHI/0000-0003-1132-9795; Yoneda, Shigekazu/0000-0003-2306-4261</t>
  </si>
  <si>
    <t>JSPS KAKENHI [JP20540448, JP17H06318]; FY2010 and 2020 Research Fellowship Program of Senshu University; Atmosphere and Ocean Research Institute, The University of Tokyo; Grants-in-Aid for Scientific Research [20H05658] Funding Source: KAKEN</t>
  </si>
  <si>
    <t>JSPS KAKENHI(Ministry of Education, Culture, Sports, Science and Technology, Japan (MEXT)Japan Society for the Promotion of ScienceGrants-in-Aid for Scientific Research (KAKENHI)); FY2010 and 2020 Research Fellowship Program of Senshu University; Atmosphere and Ocean Research Institute, The University of Tokyo; Grants-in-Aid for Scientific Research(Ministry of Education, Culture, Sports, Science and Technology, Japan (MEXT)Japan Society for the Promotion of ScienceGrants-in-Aid for Scientific Research (KAKENHI))</t>
  </si>
  <si>
    <t>We would like to thank the captain, crew, and scientific party on board the Research Vessel Hakuho Maru during cruise KH-09-5. We thank J. Arita and K. Komiyama for preparing thin sections and wholerock samples at Senshu University. S.M. and Y.K. are indebted to Y. Itabashi and K. Yasukawa for their invaluable assistance with the preparation of samples for ICP-MS and TIMS analyses. We acknowledge T. Hokada and A. Kamei for their valuable suggestions on metamorphic and plutonic rocks from East Antarctica. We appreciate the constructive reviews and editorial comments of M. Satish-Kumar and three anonymous reviewers. The research was supported by JSPS KAKENHI Grant Number JP20540448 and JP17H06318 The following programs supported this research: FY2010 and 2020 Research Fellowship Program of Senshu University; Cooperative short-term visiting scientist research systems of Atmosphere and Ocean Research Institute, The University of Tokyo. Neutron irradiation for the Ar-Ar age experiment was performed through the Visiting Research Program of the Research Reactor Institute of Kyoto University. Maps were drawn using the GMT software (Wessel et al., 2019).</t>
  </si>
  <si>
    <t>10.1016/j.polar.2021.100725</t>
  </si>
  <si>
    <t>WOS:000718630000001</t>
  </si>
  <si>
    <t>Carpenedo, CB; Campos, JLPS; Ambrizzi, T; Braga, RB</t>
  </si>
  <si>
    <t>Bertoletti Carpenedo, Camila; Pereira Silveira Campos, Jose Leandro; Ambrizzi, Tercio; Burgo Braga, Ricardo</t>
  </si>
  <si>
    <t>The high-frequency variability of Antarctic sea ice and polar cold air incursions over Amazonia</t>
  </si>
  <si>
    <t>Amazonia; Antarctica; climate variability; ocean; atmosphere interactions; sea ice; South America</t>
  </si>
  <si>
    <t>SOUTHERN-HEMISPHERE ATMOSPHERE; QUASI-GEOSTROPHIC EDDIES; WAVE-PROPAGATION; SENSITIVITY; OCEAN; CIRCULATION; DYNAMICS; BEHAVIOR; IMPACTS; TRENDS</t>
  </si>
  <si>
    <t>The cold air incursion over South America is associated with the frontal systems generated in the Antarctic region, and sea ice cover plays an important role in its formation. Little is known about how the high-frequency variability of the coupled ocean-cryosphere-atmosphere system affects weather conditions in South America, especially in the Amazon region - in tandem with the largest tropical forest on the planet and a key region of the global climate system. The results presented here suggest that the high-frequency variability of the expansion of Antarctic sea ice extent (SIE) extremes, in the Ross Sea and Indian Ocean, modulate the cold air incursion over the Amazon in the southern winter 4 and 2 days after the expansion of SIE extremes, respectively. The SIE extremes can couple with the atmosphere, inducing Rossby waves that propagate and undergo amplification downstream from the Ross Sea and Indian Ocean during such extremes. In this way, the atmospheric wave train acquires a more southern spread over South America, reaching tropical latitudes after the SIE extremes. In non-SIE extreme periods, the atmospheric wave train has a more zonal spread and reaches only the extratropical latitudes of the continent.</t>
  </si>
  <si>
    <t>[Bertoletti Carpenedo, Camila] Univ Fed Parana, Sect Agr Sci, Dept Soils &amp; Agr Engn, Curitiba, Parana, Brazil; [Pereira Silveira Campos, Jose Leandro; Ambrizzi, Tercio] Univ Sao Paulo, Dept Atmospher Sci, Inst Astron Geophys &amp; Atmospher Sci, Sao Paulo, SP, Brazil; [Burgo Braga, Ricardo] INNTI Environm Consulting &amp; Agr, Projects Dept, Porto Alegre, RS, Brazil</t>
  </si>
  <si>
    <t>Universidade Federal do Parana; Universidade de Sao Paulo</t>
  </si>
  <si>
    <t>Carpenedo, CB (corresponding author), Univ Fed Parana, Dept Soils &amp; Agr Engn, Sect Agr Sci, Rua Funcionarios,1540 Cabral, BR-80035050 Curitiba, PR, Brazil.</t>
  </si>
  <si>
    <t>camila.carpenedo@ufpr.br</t>
  </si>
  <si>
    <t>Ambrizzi, Tercio/A-4636-2008</t>
  </si>
  <si>
    <t>Campos, Jose Leandro/0000-0003-1578-8673; Carpenedo, Camila/0000-0001-9034-789X; Ambrizzi, Tercio/0000-0001-8796-7326; Burgo Braga, Ricardo/0000-0002-8696-8199</t>
  </si>
  <si>
    <t>Conselho Nacional de Desenvolvimento Cientifico e Tecnologico [301397/2019-8, 304298/2014-0, 465501/2014-1, 465680/2014-3]; Coordenacao de Aperfeicoamento de Pessoal de Nivel Superior; Fundacao de Amparo a Pesquisa do Estado de Sao Paulo [2014/50848-9, 2017/09659-6]</t>
  </si>
  <si>
    <t>Conselho Nacional de Desenvolvimento Cientifico e Tecnologico(Conselho Nacional de Desenvolvimento Cientifico e Tecnologico (CNPQ)); Coordenacao de Aperfeicoamento de Pessoal de Nivel Superior(Coordenacao de Aperfeicoamento de Pessoal de Nivel Superior (CAPES)); Fundacao de Amparo a Pesquisa do Estado de Sao Paulo(Fundacao de Amparo a Pesquisa do Estado de Sao Paulo (FAPESP))</t>
  </si>
  <si>
    <t>Conselho Nacional de Desenvolvimento Cientifico e Tecnologico, Grant/Award Numbers: 301397/2019-8, 304298/2014-0, 465501/2014-1, 465680/2014-3; Coordenacao de Aperfeicoamento de Pessoal de Nivel Superior; Fundacao de Amparo a Pesquisa do Estado de Sao Paulo, Grant/Award Numbers: 2014/50848-9, 2017/09659-6</t>
  </si>
  <si>
    <t>10.1002/joc.7422</t>
  </si>
  <si>
    <t>0Y4AB</t>
  </si>
  <si>
    <t>WOS:000716559400001</t>
  </si>
  <si>
    <t>Andrew, SM; Strzepek, RF; Whitney, SM; Chow, WS; Ellwood, MJ</t>
  </si>
  <si>
    <t>Andrew, Sarah M.; Strzepek, Robert F.; M. Whitney, Spencer; Chow, Wah Soon; Ellwood, Michael J.</t>
  </si>
  <si>
    <t>Divergent physiological and molecular responses of light- and iron-limited Southern Ocean phytoplankton</t>
  </si>
  <si>
    <t>LIMNOLOGY AND OCEANOGRAPHY LETTERS</t>
  </si>
  <si>
    <t>Letter</t>
  </si>
  <si>
    <t>CARBON CONCENTRATING MECHANISMS; PHAEODACTYLUM-TRICORNUTUM; MARINE DIATOM; LIMITATION; RUBISCO; PHOTOSYNTHESIS; GROWTH; PHOTOPHYSIOLOGY; STOICHIOMETRY; ACCLIMATION</t>
  </si>
  <si>
    <t>It has recently been shown that Southern Ocean phytoplankton species have evolved to optimize their light-harvesting potential without increasing the high iron-requiring proteins used for photosynthesis. We measured molecular and physiological responses of phytoplankton cultures under a combination of iron and light conditions. While iron-replete cultures mostly increased biovolume, photochemical efficiency (F-v/F-m) and the relative abundance of photosystem II (PSII) and Cytochrome b(6)f protein compared to iron-limited cultures, light also regulated cellular chlorophyll a content and played a role in controlling PSII protein abundance. Investment of protein resources into the carbon fixing enzyme Ribulose 1,5-bisphosphate carboxylase oxygenase (Rubisco) was species-specific, but increased growth rates correlated with increased investment into Rubisco for all species. Our results suggest that Proboscia inermis uses a divergent molecular strategy to compete for nutrients, light, and CO2 in the Southern Ocean.</t>
  </si>
  <si>
    <t>[Andrew, Sarah M.; Ellwood, Michael J.] Australian Natl Univ, Res Sch Earth Sci, Canberra, ACT, Australia; [Strzepek, Robert F.] Univ Tasmania, Australian Antarct Program Partnership AAPP, Inst Marine &amp; Antarct Studies, Hobart, Tas, Australia; [M. Whitney, Spencer; Chow, Wah Soon] Australian Natl Univ, Res Sch Biol, Canberra, ACT, Australia</t>
  </si>
  <si>
    <t>Australian National University; University of Tasmania; Australian National University</t>
  </si>
  <si>
    <t>Andrew, SM (corresponding author), Australian Natl Univ, Res Sch Earth Sci, Canberra, ACT, Australia.</t>
  </si>
  <si>
    <t>sarah.andrew@unc.edu</t>
  </si>
  <si>
    <t>Strzepek, Robert Francis/GQH-8703-2022; Andrew, Sarah M/AAZ-3502-2021; Whitney, Spencer M/C-9266-2009; Ellwood, Michael J/G-7390-2011</t>
  </si>
  <si>
    <t>Strzepek, Robert Francis/0000-0002-6442-7121; Andrew, Sarah M/0000-0002-1966-5315; Whitney, Spencer M/0000-0003-2954-2359; Ellwood, Michael/0000-0003-4288-8530</t>
  </si>
  <si>
    <t>Australian Government Research Training Program Stipend Scholarship (SMA); Australian Research Council [DP170102108, DP130100679, CE140100015]; Australian Antarctic Program Partnership (AAPP)</t>
  </si>
  <si>
    <t>Australian Government Research Training Program Stipend Scholarship (SMA)(Australian Government); Australian Research Council(Australian Research Council); Australian Antarctic Program Partnership (AAPP)</t>
  </si>
  <si>
    <t>This research was supported by the Australian Government Research Training Program Stipend Scholarship (SMA), the Australian Research Council (DP170102108; DP130100679 to MJE and CE140100015 to SMW) and the Australian Antarctic Program Partnership (AAPP).</t>
  </si>
  <si>
    <t>2378-2242</t>
  </si>
  <si>
    <t>LIMNOL OCEANOGR LETT</t>
  </si>
  <si>
    <t>Limnol. Oceanogr. Lett.</t>
  </si>
  <si>
    <t>10.1002/lol2.10223</t>
  </si>
  <si>
    <t>Limnology; Marine &amp; Freshwater Biology; Oceanography</t>
  </si>
  <si>
    <t>Marine &amp; Freshwater Biology; Oceanography</t>
  </si>
  <si>
    <t>ZV0FK</t>
  </si>
  <si>
    <t>WOS:000716560100001</t>
  </si>
  <si>
    <t>Wilson, GT; Haywood, J; Petherick, L</t>
  </si>
  <si>
    <t>Wilson, Granville Tunnicliffe; Haywood, John; Petherick, Lynda</t>
  </si>
  <si>
    <t>Modeling cycles and interdependence in irregularly sampled geophysical time series</t>
  </si>
  <si>
    <t>ENVIRONMETRICS</t>
  </si>
  <si>
    <t>causality; continuous time autoregressive model; irregular sampling; multivariate time series; resolving cycles; spectrum estimation</t>
  </si>
  <si>
    <t>ORDER; SELECTION</t>
  </si>
  <si>
    <t>We show how an autoregressive Gaussian process model incorporating a time scale coefficient can be used to represent irregularly sampled geophysical time series. Selection of this coefficient, together with the order of autoregression, provides flexibility of the model appropriate to the structure of the data. This leads to a valuable improvement in the identification of the periodicities within and dependence between such series, which arise frequently and are often acquired at some cost in time and effort. We carefully explain the modeling procedure and demonstrate its efficacy for identifying periodic behavior in the context of an application to dust flux measurements from lake sediments in a region of subtropical eastern Australia. The model is further applied to the measurements of atmospheric carbon dioxide concentrations and temperature obtained from Antarctic ice cores. The model identifies periods in the glacial-interglacial cycles of these series that are associated with astronomical forcing, determines that they are causally related, and, by application to current measurements, confirms the prediction of climate warming.</t>
  </si>
  <si>
    <t>[Wilson, Granville Tunnicliffe] Univ Lancaster, Dept Math &amp; Stat, Lancaster, England; [Haywood, John] Victoria Univ Wellington, Sch Math &amp; Stat, Wellington, New Zealand; [Petherick, Lynda] Victoria Univ Wellington, Sch Geog Environm &amp; Earth Sci, Wellington, New Zealand</t>
  </si>
  <si>
    <t>Lancaster University; Victoria University Wellington; Victoria University Wellington</t>
  </si>
  <si>
    <t>Wilson, GT (corresponding author), Univ Lancaster, Dept Math &amp; Stat, Lancaster, England.</t>
  </si>
  <si>
    <t>g.tunnicliffe-wilson@lancaster.ac.uk</t>
  </si>
  <si>
    <t>Haywood, Jim/GQA-6691-2022</t>
  </si>
  <si>
    <t>Haywood, John/0009-0006-9414-2801</t>
  </si>
  <si>
    <t>1180-4009</t>
  </si>
  <si>
    <t>1099-095X</t>
  </si>
  <si>
    <t>Environmetrics</t>
  </si>
  <si>
    <t>e2708</t>
  </si>
  <si>
    <t>10.1002/env.2708</t>
  </si>
  <si>
    <t>Environmental Sciences; Mathematics, Interdisciplinary Applications; Statistics &amp; Probability</t>
  </si>
  <si>
    <t>Environmental Sciences &amp; Ecology; Mathematics</t>
  </si>
  <si>
    <t>ZS5PS</t>
  </si>
  <si>
    <t>WOS:000716371700001</t>
  </si>
  <si>
    <t>Kumar, R; Li, JD; Hedstrom, K; Babanin, AV; Holland, DM; Heil, P; Tang, YM</t>
  </si>
  <si>
    <t>Kumar, Rajesh; Li, Junde; Hedstrom, Kate; Babanin, Alexander, V; Holland, David M.; Heil, Petra; Tang, Youmin</t>
  </si>
  <si>
    <t>Intercomparison of Arctic sea ice simulation in ROMS-CICE and ROMS-Budgell</t>
  </si>
  <si>
    <t>PolarCOAWST; ROMS-CICE; ROMS-Budgell; Coupled model; Sea ice</t>
  </si>
  <si>
    <t>CLIMATE SYSTEM MODEL; THICKNESS DATA; PACK ICE; OCEAN; SURFACE; CRYOSAT-2; ASSIMILATION; SENSITIVITY; TRANSPORT; WAVE</t>
  </si>
  <si>
    <t>Accurate representation of the complex ocean-sea ice interaction is still an ongoing effort. In this study, we have coupled the Community Ice Code (CICE) model and Regional Ocean Modeling System (ROMS) to develop a highresolution regional coupled ocean-sea ice model for polar regions. This setup allows us to investigate the interaction between ocean and sea ice in detail. The Coupled-Ocean-Atmosphere-Wave-Sediment-Transport (COAWST) modeling system is the core of this coupled model. Currently, the ROMS model in COAWST uses the Budgell sea ice model, embedded as a sub-module in it but introducing a more comprehensive sea ice model (CICE) may provide a better treatment of sea ice. Here, we present our preliminary results based on the coupled ROMS-CICE and ROMS-Budgell simulation over the Arctic Ocean. Our results show that both CICE and Budgell models perform better in simulating sea ice concentration during winter than during summer. Compared to the satellite observations, sea ice concentrations from the CICE model in most subregions have higher correlations and smaller centered root mean square errors, showing higher simulation skills. The sea ice thickness biases are larger in the Budgell model in the early months of the year, whereas in the CICE model they are larger after October. Both CICE and Budgell models overestimate the sea ice extent and sea ice volume in summer, and their performances differ in the subregions.</t>
  </si>
  <si>
    <t>[Kumar, Rajesh; Holland, David M.] New York Univ Abu Dhabi, Ctr Global Sea Level Change, Abu Dhabi, U Arab Emirates; [Kumar, Rajesh] Meteorol Serv Singapore, Ctr Climate Res Singapore, Singapore, Singapore; [Li, Junde; Babanin, Alexander, V] Univ Melbourne, Dept Infrastruct Engn, Melbourne, Vic, Australia; [Hedstrom, Kate] Univ Alaska Fairbanks, Coll Fisheries &amp; Ocean Sci, Fairbanks, AK USA; [Babanin, Alexander, V] Natl Lab Marine Sci &amp; Technol, Lab Reg Oceanog &amp; Numer Modeling, Qingdao 266237, Peoples R China; [Holland, David M.] NYU, Courant Inst Math Sci, New York, NY USA; [Heil, Petra] Univ Tasmania, Australian Antarct Div, Hobart, Tas 7001, Australia; [Heil, Petra] Univ Tasmania, Australian Antarctic Programme Partnership, Hobart, Tas 7001, Australia; [Tang, Youmin] Univ Northern British Columbia, Environm Sci &amp; Engn, Prince George, BC, Canada</t>
  </si>
  <si>
    <t>New York University Abu Dhabi; Meteorological Service Singapore; Melbourne Genomics Health Alliance; University of Melbourne; University of Alaska System; University of Alaska Fairbanks; Laoshan Laboratory; New York University; University of Tasmania; Australian Antarctic Division; University of Tasmania; University of Northern British Columbia</t>
  </si>
  <si>
    <t>Li, JD (corresponding author), Univ Melbourne, Dept Infrastruct Engn, Melbourne, Vic, Australia.</t>
  </si>
  <si>
    <t>junde.li@unimelb.edu.au</t>
  </si>
  <si>
    <t>LI, Junde/HSG-8762-2023; Kumar, Rajesh/A-1212-2015</t>
  </si>
  <si>
    <t>LI, Junde/0000-0003-1839-8988; Kumar, Rajesh/0000-0002-3135-9556</t>
  </si>
  <si>
    <t>DISI Australia-China Centre [AC-SRF48199]; US ONR Global [N62909-20-1-2080]; National Key R&amp;D Program of China [2016YFC1401703]; New York University Abu Dhabi Research Project [G1204]; Australian Antarctic Science Project [4506]; Australian Government as part of the Antarctic Science Collaboration Initiative program; International Space Science Institute (Bern, Switzerland) [405]</t>
  </si>
  <si>
    <t>DISI Australia-China Centre; US ONR Global; National Key R&amp;D Program of China; New York University Abu Dhabi Research Project; Australian Antarctic Science Project; Australian Government as part of the Antarctic Science Collaboration Initiative program(Australian Government); International Space Science Institute (Bern, Switzerland)</t>
  </si>
  <si>
    <t>This study was supported by grants from the DISI Australia-China Centre through Grant AC-SRF48199, the US ONR Global support through grant no. N62909-20-1-2080, the National Key R&amp;D Program of China (2016YFC1401703), the New York University Abu Dhabi Research Project G1204. P.H. acknowledges support through the Australian Antarctic Science Project 4506, the Australian Government as part of the Antarctic Science Collaboration Initiative program and the International Space Science Institute (Bern, Switzerland) project #405. This research project was undertaken with the assistance of resources and services from the National Computational Infrastructure (NCI), which is supported by the Australian Government, and the NYU Abu Dhabi HPC team for technical support.</t>
  </si>
  <si>
    <t>10.1016/j.polar.2021.100716</t>
  </si>
  <si>
    <t>WOS:000718632500006</t>
  </si>
  <si>
    <t>Leger, TPM; Hein, AS; Goldberg, D; Schimmelpfennig, I; de Vries, MVS; Bingham, RG</t>
  </si>
  <si>
    <t>Leger, Tancrede P. M.; Hein, Andrew S.; Goldberg, Daniel; Schimmelpfennig, Irene; de Vries, Maximillian Van Wyk S.; Bingham, Robert G.</t>
  </si>
  <si>
    <t>ASTER Team</t>
  </si>
  <si>
    <t>Northeastern Patagonian Glacier Advances (43°S) Reflect Northward Migration of the Southern Westerlies Towards the End of the Last Glaciation</t>
  </si>
  <si>
    <t>Patagonia; glaciers and climate; last glacial termination; cosmogenic nuclide surface exposure dating; glacier modelling; southern westerly winds; Quaternary; palaeoclimates</t>
  </si>
  <si>
    <t>SEA-SURFACE TEMPERATURE; EQUILIBRIUM-LINE ALTITUDES; CENTRAL CHILEAN PATAGONIA; NUCLIDE PRODUCTION-RATES; ANTARCTIC COLD REVERSAL; ICE-SHEET; CLIMATE VARIABILITY; MASS-BALANCE; POSTGLACIAL VEGETATION; RADIOCARBON CHRONOLOGY</t>
  </si>
  <si>
    <t>The last glacial termination was a key event during Earth's Quaternary history that was associated with rapid, high-magnitude environmental and climatic change. Identifying its trigger mechanisms is critical for understanding Earth's modern climate system over millennial timescales. It has been proposed that latitudinal shifts of the Southern Hemisphere Westerly Wind belt and the coupled Subtropical Front are important components of the changes leading to global deglaciation, making them essential to investigate and reconstruct empirically. The Patagonian Andes are part of the only continental landmass that fully intersects the Southern Westerly Winds, and thus present an opportunity to study their former latitudinal migrations through time and to constrain southern mid-latitude palaeo-climates. Here we use a combination of geomorphological mapping, terrestrial cosmogenic nuclide exposure dating and glacial numerical modelling to reconstruct the late-Last Glacial Maximum (LGM) behaviour and surface mass balance of two mountain glaciers of northeastern Patagonia (43 degrees S, 71 degrees W), the El Loro and Rio Comisario palaeo-glaciers. In both valleys, we find geomorphological evidence of glacier advances that occurred after the retreat of the main ice-sheet outlet glacier from its LGM margins. We date the outermost moraine in the El Loro valley to 18.0 +/- 1.15 ka. Moreover, a series of moraine-matching simulations were run for both glaciers using a spatially-distributed ice-flow model coupled with a positive degree-day surface mass balance parameterisation. Following a correction for cumulative local surface uplift resulting from glacial isostatic adjustment since similar to 18 ka, which we estimate to be similar to 130 m, the glacier model suggests that regional mean annual temperatures were between 1.9 and 2.8 degrees C lower than present at around 18.0 +/- 1.15 ka, while precipitation was between similar to 50 and similar to 380% higher than today. Our findings support the proposed equatorward migration of the precipitation-bearing Southern Westerly Wind belt towards the end of the LGM, between similar to 19.5 and similar to 18 ka, which caused more humid conditions towards the eastern margins of the northern Patagonian Ice Sheet a few centuries ahead of widespread deglaciation across the cordillera.</t>
  </si>
  <si>
    <t>[Leger, Tancrede P. M.; Hein, Andrew S.; Goldberg, Daniel; Bingham, Robert G.] Univ Edinburgh, Sch GeoSci, Edinburgh, Midlothian, Scotland; [Schimmelpfennig, Irene; ASTER Team] Aix Marseille Univ, CNRS, IRD, INRAE,CEREGE, Aix En Provence, France; [de Vries, Maximillian Van Wyk S.] Univ Minnesota, Dept Earth &amp; Environm Sci, Minneapolis, MN USA; [de Vries, Maximillian Van Wyk S.] Univ Minnesota, St Anthony Falls Lab, Minneapolis, MN USA</t>
  </si>
  <si>
    <t>University of Edinburgh; Aix-Marseille Universite; Centre National de la Recherche Scientifique (CNRS); Institut de Recherche pour le Developpement (IRD); INRAE; University of Minnesota System; University of Minnesota Twin Cities; University of Minnesota System; University of Minnesota Twin Cities</t>
  </si>
  <si>
    <t>Leger, TPM (corresponding author), Univ Edinburgh, Sch GeoSci, Edinburgh, Midlothian, Scotland.</t>
  </si>
  <si>
    <t>Tancrede.leger@ed.ac.uk</t>
  </si>
  <si>
    <t>Hein, Andrew/JWO-3756-2024; Leger, Tancrède P.M./AAU-1088-2021; Bingham, Robert G/G-3576-2017</t>
  </si>
  <si>
    <t>Leger, Tancrède P.M./0000-0001-9098-8312;</t>
  </si>
  <si>
    <t>NOV 9</t>
  </si>
  <si>
    <t>10.3389/feart.2021.751987</t>
  </si>
  <si>
    <t>XT6VV</t>
  </si>
  <si>
    <t>WOS:000733723600001</t>
  </si>
  <si>
    <t>Wang, R; Song, PQ; Li, Y; Lin, LS</t>
  </si>
  <si>
    <t>Wang, Rui; Song, Puqing; Li, Yuan; Lin, Longshan</t>
  </si>
  <si>
    <t>An Integrated, Size-Structured Stock Assessment of Antarctic Krill, Euphausia superba</t>
  </si>
  <si>
    <t>Antarctic krill; integrated size-structured model; stock assessment; Antarctic Peninsula; data weighting; climate change</t>
  </si>
  <si>
    <t>POPULATION-DYNAMICS; ECOSYSTEM MANAGEMENT; DEPENDENT GROWTH; LIFE-HISTORY; SCOTIA SEA; VARIABILITY; DENSITY; CLIMATE; BIOMASS; AGE</t>
  </si>
  <si>
    <t>The Antarctic krill (Euphausia superba) fishery is the largest fishery in the Southern Ocean, and it has been operating for over 45 years. In the past decade, the spatial distribution of the krill fishery has focused on the Bransfield Strait off the Antarctic Peninsula (subarea 48.1). However, the high fishing effort and climate change have placed great pressure on krill resources in this region, and conservation concerns have been raised. Because aging krill is difficult and uncertain, we developed an integrated size-structured model to estimate the fishing mortality, recruitment and spawning biomass of krill. The results indicated that in 1992-2011, the average spawning biomass of krill ranged from 1.14 x 10(6) to 1.45 x 10(6) tons, the estimated biomass of the maximum sustainable yield (BMSY) ranged from 3.96 x 10(5) to 4.90 x 10(5) tons and the estimated average recruitment ranged from 2.3 x 10(12) to 5.03 x 10(12) individuals in the research area. We explored the effect of different data weighting schemes for the length data on the assessment output. However, our estimates also have uncertainties. In addition, an attempt was made to analyze the correlation between model-estimated recruitment and mature biomass with climate change. Future stock assessments of krill resources should be comprehensive and multimethod, and the management of krill resources should be based on science that considers the demand of fishing communities and ecosystem protection.</t>
  </si>
  <si>
    <t>[Wang, Rui; Song, Puqing; Li, Yuan; Lin, Longshan] Minist Nat Resources, Inst Oceanog 3, Xiamen, Fujian, Peoples R China</t>
  </si>
  <si>
    <t>Ministry of Natural Resources of the People's Republic of China; Third Institute of Oceanography, Ministry of Natural Resources</t>
  </si>
  <si>
    <t>Li, Y; Lin, LS (corresponding author), Minist Nat Resources, Inst Oceanog 3, Xiamen, Fujian, Peoples R China.</t>
  </si>
  <si>
    <t>liyuan@tio.org.cn; linlsh@tio.org.cn</t>
  </si>
  <si>
    <t>10.3389/fmars.2021.710544</t>
  </si>
  <si>
    <t>XI6XD</t>
  </si>
  <si>
    <t>WOS:000726250800001</t>
  </si>
  <si>
    <t>Silvestri, G; Berman, AL; De Vleeschouwer, F; Wainer, I</t>
  </si>
  <si>
    <t>Silvestri, Gabriel; Laura Berman, Ana; De Vleeschouwer, Francois; Wainer, Ilana</t>
  </si>
  <si>
    <t>Last millennium climate changes over the Antarctic Peninsula and southern Patagonia in CESM-LME simulations: Differences between Medieval Climate Anomaly and present-day temperatures</t>
  </si>
  <si>
    <t>Antarctic Peninsula; Patagonia; Medieval climate anomaly; Little ice age; Last millennium; CESM-LME simulations</t>
  </si>
  <si>
    <t>FORCING RECONSTRUCTIONS; PMIP SIMULATIONS; HIGH-LATITUDES; VARIABILITY; TRENDS; IMPACT; WARM</t>
  </si>
  <si>
    <t>This paper describes differences between Medieval Climate Anomaly (MCA) and present-day temperatures in the area composed of the Antarctic Peninsula, southern Patagonia, and the surrounding southern oceans. The investigation is conducted with the simulation results from the Community Earth System Model Last Millennium Ensemble (CESM-LME) considering the impact of each natural (volcanic activity and solar variability) and anthropogenic (greenhouse gas, ozone-aerosols and land use/land cover) individual forcing relative to the full forced simulations. Model results show generalized warming during the MCA in the study area. However, the simulated MCA temperatures are significantly colder than present-day mean values due to the influence of increased atmospheric greenhouse gas concentrations since the beginning of the modern Industrial Era in the similar to 1850s. In fact, model runs in which only natural forcings were applied show that, in the absence of greenhouse gas forcing, present-day temperatures in the Antarctic Peninsula and southern Patagonia would be lower than or similar to those during the MCA. The study demonstrates the value of paleoclimate proxy-model comparisons but also highlights the limitations of current available proxy information to perform that integration in the study area. (C) 2021 Elsevier Ltd. All rights reserved.</t>
  </si>
  <si>
    <t>[Silvestri, Gabriel; Laura Berman, Ana] Univ Buenos Aires, Fac Ciencias Exactas &amp; Nat, Buenos Aires, DF, Argentina; [Silvestri, Gabriel; Laura Berman, Ana] Univ Buenos Aires, Ctr Invest Mar &amp; Atmosfera CIMA, CONICET, Buenos Aires, DF, Argentina; [Silvestri, Gabriel; Laura Berman, Ana; De Vleeschouwer, Francois] CNRS IRD CONICET UBA, Inst Franco Argentino Estudio Clima &amp; Sus Impacto, Buenos Aires, DF, Argentina; [Wainer, Ilana] Inst Oceanog Univ Sao Paulo IOUSP, Sao Paulo, Brazil</t>
  </si>
  <si>
    <t>University of Buenos Aires; Consejo Nacional de Investigaciones Cientificas y Tecnicas (CONICET); University of Buenos Aires</t>
  </si>
  <si>
    <t>Silvestri, G (corresponding author), Univ Buenos Aires, Fac Ciencias Exactas &amp; Nat, Buenos Aires, DF, Argentina.</t>
  </si>
  <si>
    <t>gabriels@cima.fcen.uba.ar; alberman@cima.fcen.uba.ar; fdevleeschouwer@cima.fcen.uba.ar; wainer@usp.br</t>
  </si>
  <si>
    <t>WAINER, ILANA/B-4540-2011</t>
  </si>
  <si>
    <t>WAINER, ILANA/0000-0003-3784-623X; Silvestri, Gabriel/0000-0002-5011-559X; Berman, Ana Laura/0000-0003-2068-1440</t>
  </si>
  <si>
    <t>CNRS International Emerging Actions; Climat AmSud Programme; FAPESP; Coordenacao de Aperfeicoamento de Pessoal de Nivel SuperioreBrasil (CAPES) [001]; [CNPq-MCT-INCT-594 CRIOSFERA 573720/2008-8]</t>
  </si>
  <si>
    <t>CNRS International Emerging Actions; Climat AmSud Programme; FAPESP(Fundacao de Amparo a Pesquisa do Estado de Sao Paulo (FAPESP)); Coordenacao de Aperfeicoamento de Pessoal de Nivel SuperioreBrasil (CAPES)(Coordenacao de Aperfeicoamento de Pessoal de Nivel Superior (CAPES));</t>
  </si>
  <si>
    <t>The authors appreciate comments and suggestions provided by Professor Colm O'Cofaigh, Dr. John King and an anonymous reviewer which were very helpful in improving this paper. Authors also acknowledge the CESM1 (CAM5) Last Millennium Ensemble Community Project and supercomputing resources provided by NSF/CISL/Yellowstone for producing and making available their model output. Francois De Vleeschouwer acknowledges support from the CNRS International Emerging Actions and the Climat AmSud Programme. IlanaWainer was supported in part by FAPESP; CNPq-MCT-INCT-594 CRIOSFERA 573720/2008-8 and Coordenacao de Aperfeicoamento de Pessoal de Nivel SuperioreBrasil (CAPES)eFinance Code 001.</t>
  </si>
  <si>
    <t>10.1016/j.quascirev.2021.107273</t>
  </si>
  <si>
    <t>WOS:000723190100014</t>
  </si>
  <si>
    <t>Roque, C; Hernández-Molina, FJ; Madureira, P; Quartau, R; Magalhaes, V; Brito, P; Vázquez, JT; Somoza, L</t>
  </si>
  <si>
    <t>Roque, C.; Hernandez-Molina, F. J.; Madureira, P.; Quartau, R.; Magalhaes, V; Brito, P.; Vazquez, J. T.; Somoza, L.</t>
  </si>
  <si>
    <t>Interplay of deep-marine sedimentary processes with seafloor morphology offshore Madeira Island (Central NE-Atlantic)</t>
  </si>
  <si>
    <t>MARINE GEOLOGY</t>
  </si>
  <si>
    <t>Central Atlantic; Madeira Island; Bottom currents; Contourite drift field; AABW; Turbidity currents</t>
  </si>
  <si>
    <t>VOLCANIC OCEAN ISLANDS; CONTINENTAL RISE WEST; ECHO CHARACTER; NORTH-ATLANTIC; DEBRIS FLOW; ANTARCTIC PENINSULA; TURBIDITY CURRENTS; CONTOUR CURRENTS; EASTERN ATLANTIC; BOTTOM CURRENTS</t>
  </si>
  <si>
    <t>The deep-water sedimentary processes and morphological features offshore Madeira Island, located in the Central-NE Atlantic have been scantly studied. The analysis of new multibeam bathymetry, echo-sounder profiles and few multichannel seismic reflection profiles allowed us to identify the main geomorphologies, geomorphic processes and their interplay. Several types of features were identified below 3800 m water depth, shaped mainly by i) the interplay between northward-flowing Antarctic Bottom Water (AABW) and turbidity currents and ii) interaction of the AABW with oceanic reliefs and the Madeira lower slope. Subordinate and localized geomorphic processes consist of tectono-magmatic, slope instability, turbidity currents and fluid migration. The distribution of the morphological features defines three regional geomorphological sectors. Sector 1 represents a deep-seafloor with its abyssal hills, basement highs and seamounts inherited from Early Cretaceous seafloor spreading. Sector 2 is exclusively shaped by turbidity current flows that formed channels and associated levees. Sector 3 presents a more complex morphology dominated by widespread depositional and erosional features formed by AABW circulation, and localized mixed contourite system developed by the interplay between the AABW circulation and WNW-ESE-flowing turbidite currents. The interaction of the AABW with abyssal hills, seamounts and basement ridges leads to the formation of several types of contourites: patch drifts, double-crest mounded bodies, and elongated, mounded and separated drifts. The patch drifts formed downstream of abyssal hills defining an previously unknown field of relatively small contourites. We suggest they may be a result of localized vortexes that formed when the AABW's flow impinges these oceanic reliefs producingthe erosional scours that bound these features. The bottom currents in the area are known to be too weak (1-2 cm s(-1)) to produce the patch drifts and scours. Therefore, we suggest that these features could be relics at present, having developed when the AABW was stronger than today, as during glacial/end of glacial stages.</t>
  </si>
  <si>
    <t>[Roque, C.; Madureira, P.] EMEPC Estrutura Missao Extensao Plataforma Contin, P-2770047 Paco De Arcos, Portugal; [Roque, C.; Quartau, R.; Magalhaes, V] Univ Lisbon, Inst Dom Luiz, Campo Grande, P-1749016 Lisbon, Portugal; [Hernandez-Molina, F. J.] Royal Holloway Univ London, Dept Earth Sci, Egham TW20 0EX, Surrey, England; [Madureira, P.] Univ Evora, Dept Geosci, P-7000 Evora, Portugal; [Madureira, P.] Univ Evora, Inst Earth Sci, P-7000 Evora, Portugal; [Quartau, R.] Inst Hidrog, Div Geol Marinha, Lisbon, Portugal; [Magalhaes, V; Brito, P.] Inst Portugues Mar &amp; Atmosfera, Div Geol Marinha &amp; Georecursos, Lisbon, Portugal; [Vazquez, J. T.] Ctr Oceanog Malaga, Inst Espanol Oceanog, Puerto Pesquero S-N, Fuengirola 29640, Spain; [Somoza, L.] Inst Geol &amp; Minero Espana, Madrid, Spain</t>
  </si>
  <si>
    <t>Universidade de Lisboa; University of London; Royal Holloway University London; University of Evora; University of Evora; Instituto Portugues do Mar e da Atmosfera; Spanish Institute of Oceanography</t>
  </si>
  <si>
    <t>Roque, C (corresponding author), EMEPC Estrutura Missao Extensao Plataforma Contin, P-2770047 Paco De Arcos, Portugal.</t>
  </si>
  <si>
    <t>croque@emepc-portugal.org</t>
  </si>
  <si>
    <t>vasquez, juan/JCN-9608-2023; Somoza, Luis/C-1400-2010; Quartau, Rui/F-1035-2012; Roque, Cristina/IUQ-7364-2023; Brito, Pedro J. O./D-8267-2017; Magalhaes, Vitor Hugo/F-6770-2011; Vazquez, Juan-Tomas/T-6271-2019</t>
  </si>
  <si>
    <t>Somoza, Luis/0000-0001-5451-2288; Quartau, Rui/0000-0003-3148-7520; Roque, Cristina/0000-0002-2583-594X; Magalhaes, Vitor Hugo/0000-0002-3205-771X; Vazquez, Juan-Tomas/0000-0002-3747-4838</t>
  </si>
  <si>
    <t>0025-3227</t>
  </si>
  <si>
    <t>1872-6151</t>
  </si>
  <si>
    <t>MAR GEOL</t>
  </si>
  <si>
    <t>Mar. Geol.</t>
  </si>
  <si>
    <t>10.1016/j.margeo.2021.106675</t>
  </si>
  <si>
    <t>XA7NQ</t>
  </si>
  <si>
    <t>WOS:000720828900003</t>
  </si>
  <si>
    <t>Ortiz, M; Leung, PM; Shelley, G; Jirapanjawat, T; Nauer, PA; Van Goethem, MW; Bay, SK; Islam, ZF; Jordaan, K; Vikram, S; Chown, SL; Hogg, ID; Makhalanyane, TP; Grinter, R; Cowan, DA; Greening, C</t>
  </si>
  <si>
    <t>Ortiz, Maximiliano; Leung, Pok Man; Shelley, Guy; Jirapanjawat, Thanavit; Nauer, Philipp A.; Van Goethem, Marc W.; Bay, Sean K.; Islam, Zahra F.; Jordaan, Karen; Vikram, Surendra; Chown, Steven L.; Hogg, Ian D.; Makhalanyane, Thulani P.; Grinter, Rhys; Cowan, Don A.; Greening, Chris</t>
  </si>
  <si>
    <t>Multiple energy sources and metabolic strategies sustain microbial diversity in Antarctic desert soils</t>
  </si>
  <si>
    <t>PROCEEDINGS OF THE NATIONAL ACADEMY OF SCIENCES OF THE UNITED STATES OF AMERICA</t>
  </si>
  <si>
    <t>Antarctica; actinobacteria; trace gas; metabolic water; hydrogen</t>
  </si>
  <si>
    <t>SOR RONDANE MOUNTAINS; 16S RIBOSOMAL-RNA; HIGH-AFFINITY; BACTERIAL DIVERSITY; DRY VALLEYS; H-2; MAINTENANCE; WIDESPREAD; ECOLOGY; ICE</t>
  </si>
  <si>
    <t>Numerous diverse microorganisms reside in the cold desert soils of continental Antarctica, though we lack a holistic understanding of the metabolic processes that sustain them. Here, we profile the composition, capabilities, and activities of the microbial communities in 16 physicochemically diverse mountainous and glacial soils. We assembled 451 metagenome-assembled genomes from 18 microbial phyla and inferred through Bayesian divergence analysis that the dominant lineages present are likely native to Antarctica. In support of earlier findings, metagenomic analysis revealed that the most abundant and prevalent microorganisms are metabolically versatile aerobes that use atmospheric hydrogen to support aerobic respiration and sometimes carbon fixation. Surprisingly, however, hydrogen oxidation in this region was catalyzed primarily by a phylogenetically and structurally distinct enzyme, the group 1l [NiFe]-hydrogenase, encoded by nine bacterial phyla. Through gas chromatography, we provide evidence that both Antarctic soil communities and an axenic Bacteroidota isolate (Hymenobacter roseosalivarius) oxidize atmospheric hydrogen using this enzyme. Based on ex situ rates at environmentally representative temperatures, hydrogen oxidation is theoretically sufficient for soil communities to meet energy requirements and, through metabolic water production, sustain hydration. Diverse carbon monoxide oxidizers and abundant methanotrophs were also active in the soils. We also recovered genomes of microorganisms capable of oxidizing edaphic inorganic nitrogen, sulfur, and iron compounds and harvesting solar energy via microbial rhodopsins and conventional photosystems. Obligately symbiotic bacteria, including Patescibacteria, Chlamydiae, and predatory Bdellovibrionota, were also present. We conclude that microbial diversity in Antarctic soils reflects the coexistence of metabolically flexible mixotrophs with metabolically constrained specialists.</t>
  </si>
  <si>
    <t>[Ortiz, Maximiliano; Van Goethem, Marc W.; Jordaan, Karen; Vikram, Surendra; Hogg, Ian D.; Makhalanyane, Thulani P.; Cowan, Don A.] Univ Pretoria, Ctr Microbial Ecol &amp; Genom, Dept Biochem Genet &amp; Microbiol, ZA-0002 Pretoria, South Africa; [Leung, Pok Man; Jirapanjawat, Thanavit; Bay, Sean K.; Islam, Zahra F.; Grinter, Rhys; Greening, Chris] Monash Biomed Discovery Inst, Dept Microbiol, Clayton, Vic 3800, Australia; [Shelley, Guy; Bay, Sean K.; Islam, Zahra F.; Greening, Chris] Monash Univ, Sch Biol Sci, Clayton, Vic 3800, Australia; [Nauer, Philipp A.] Monash Univ, Sch Chem, Clayton, Vic 3800, Australia; [Van Goethem, Marc W.] Lawrence Berkeley Natl Lab, Environm Genom &amp; Syst Biol Div, Berkeley, CA 94720 USA; [Jordaan, Karen] Pontificia Univ Catolica Chile, Fac Ciencias Biol, Dept Genet Mol &amp; Microbiol, Santiago 8331150, Chile; [Chown, Steven L.] Monash Univ, Sch Biol Sci, Securing Antarct Environm Future, Clayton, Vic 3800, Australia; [Hogg, Ian D.] Univ Waikato, Sch Sci, Hamilton 3240, New Zealand; [Hogg, Ian D.] Polar Knowledge Canada, Canadian High Arctic Res Stn, Cambridge Bay, NU X0B 0C0, Canada</t>
  </si>
  <si>
    <t>University of Pretoria; Monash University; Monash University; Monash University; United States Department of Energy (DOE); Lawrence Berkeley National Laboratory; Pontificia Universidad Catolica de Chile; Monash University; University of Waikato</t>
  </si>
  <si>
    <t>Cowan, DA (corresponding author), Univ Pretoria, Ctr Microbial Ecol &amp; Genom, Dept Biochem Genet &amp; Microbiol, ZA-0002 Pretoria, South Africa.;Leung, PM; Greening, C (corresponding author), Monash Biomed Discovery Inst, Dept Microbiol, Clayton, Vic 3800, Australia.;Greening, C (corresponding author), Monash Univ, Sch Biol Sci, Clayton, Vic 3800, Australia.</t>
  </si>
  <si>
    <t>pok.leung@monash.edu; don.cowan@up.ac.za; chris.greening@monash.edu</t>
  </si>
  <si>
    <t>Nauer, Philipp/HLH-8517-2023; Hogg, Ian D./HNS-7393-2023; Islam, Zahra/HKD-8955-2023; Van Goethem, Marc/AAV-3022-2020; Leung, Pok Man/AAT-8309-2021; Cowan, Donald A/E-3991-2012; Chown, Steven/ABD-7646-2021; Bay, Sean K/HPD-1985-2023; Van Goethem, Marc Warwick/HNC-2411-2023; Makhalanyane, Thulani P./C-6815-2012; Greening, Chris/J-4408-2019</t>
  </si>
  <si>
    <t>Nauer, Philipp/0000-0003-2237-9106; Hogg, Ian D./0000-0002-6685-0089; Islam, Zahra/0000-0001-6965-9549; Leung, Pok Man/0000-0002-5382-827X; Cowan, Donald A/0000-0001-8059-861X; Van Goethem, Marc Warwick/0000-0001-8688-3323; Makhalanyane, Thulani P./0000-0002-8173-1678; Greening, Chris/0000-0001-7616-0594; Jordaan, Karen/0000-0001-9147-9827; Bay, Sean/0000-0003-4833-3106; Ortiz, Maximiliano/0000-0002-4778-9091</t>
  </si>
  <si>
    <t>Australian Research Council Discovery Early Career Researcher Award (ARC DECRA) Fellowship [DE170100310]; Australian Antarctic Division grant [4592]; South African National Antarctic Program grant [110730]; National Health &amp; Medical Research Council Emerging Leadership 2 (NHMRC EL2) Fellowship [APP1178715]; Australian Government Research Training Stipend Scholarship; Monash International Tuition Scholarship; Monash Postgraduate Publications Award; South African National Antarctic Programme (SANAP) postdoctoral grant; Antarctica New Zealand; New Zealand Antarctic Research Institute</t>
  </si>
  <si>
    <t>Australian Research Council Discovery Early Career Researcher Award (ARC DECRA) Fellowship(Australian Research Council); Australian Antarctic Division grant; South African National Antarctic Program grant; National Health &amp; Medical Research Council Emerging Leadership 2 (NHMRC EL2) Fellowship(National Health &amp; Medical Research Council (NHMRC) of Australia); Australian Government Research Training Stipend Scholarship(Australian Government); Monash International Tuition Scholarship; Monash Postgraduate Publications Award; South African National Antarctic Programme (SANAP) postdoctoral grant; Antarctica New Zealand; New Zealand Antarctic Research Institute</t>
  </si>
  <si>
    <t>This study was supported by an Australian Research Council Discovery Early Career Researcher Award (ARC DECRA) Fellowship (DE170100310; awarded to C.G.), an Australian Antarctic Division grant (4592; awarded to C.G. and S.L.C.), a South African National Antarctic Program grant (110730: awarded to D.A.C.), a National Health &amp; Medical Research Council Emerging Leadership 2 (NHMRC EL2) Fellowship (APP1178715; salary for C.G.), an Australian Government Research Training Stipend Scholarship and a Monash International Tuition Scholarship (awarded to P.M.L. and S.K.B.), aMonash Postgraduate Publications Award (awarded to Z.F.I.), and a South African National Antarctic Programme (SANAP) postdoctoral grant (awarded to M.O.). Logistic and financial support for the field work was provided by Antarctica New Zealand and the New Zealand Antarctic Research Institute, respectively (awarded to I.D.H.). We acknowledge the PhD student research discount offered by the EAL, a Southern Cross University National Association of Testing Authorities ISO17025 accredited commercial and research support facility. We thank Maria Chuvochina for etymological advice and Andrew Lovering, Ricardo Cavicchioli, and Belinda Ferrari for helpful discussions.</t>
  </si>
  <si>
    <t>NATL ACAD SCIENCES</t>
  </si>
  <si>
    <t>2101 CONSTITUTION AVE NW, WASHINGTON, DC 20418 USA</t>
  </si>
  <si>
    <t>0027-8424</t>
  </si>
  <si>
    <t>P NATL ACAD SCI USA</t>
  </si>
  <si>
    <t>Proc. Natl. Acad. Sci. U. S. A.</t>
  </si>
  <si>
    <t>e2025322118</t>
  </si>
  <si>
    <t>10.1073/pnas.2025322118</t>
  </si>
  <si>
    <t>XA8YT</t>
  </si>
  <si>
    <t>WOS:000720926900016</t>
  </si>
  <si>
    <t>Fan, XP; Lu, NT; Li, CX; Knapp, R; He, H; Zhou, XM; Wan, X; Zhang, L; Gao, XF; Zhang, LB</t>
  </si>
  <si>
    <t>Fan, Xue-Ping; Ngan Thi Lu; Li, Chun-Xiang; Knapp, Ralf; He, Hai; Zhou, Xin-Mao; Wan, Xia; Zhang, Liang; Gao, Xin-Fen; Zhang, Li-Bing</t>
  </si>
  <si>
    <t>Phylogeny, biogeography, and character evolution in the fern family Hypodematiaceae</t>
  </si>
  <si>
    <t>MOLECULAR PHYLOGENETICS AND EVOLUTION</t>
  </si>
  <si>
    <t>Cryptic species; Fern phylogeny; Hair patterns; Hypodematium; Leucostegia; Old World</t>
  </si>
  <si>
    <t>ANTARCTIC PENINSULA; MAXIMUM-LIKELIHOOD; CLASSIFICATION; SEQUENCE; INFERENCE; HISTORY; PALEOCLIMATE; DAVALLIACEAE; LYCOPHYTES; JMODELTEST</t>
  </si>
  <si>
    <t>The Old World fern genera Hypodematium and Leucostegia had long been placed in the families Dryopteridaceae and Davalliaceae, respectively, before the advent of molecular phylogenetics. Recent molecular studies confirmed the recognition of the family Hypodematiaceae composed of these two genera, but the relationships within each of these two genera have been unclear. In the present study we performed phylogenetic analyses (MP, ML, BI) based on DNA data from six plastid markers (atpB, atpB-rbcL, matK, rbcL, rps4 &amp; rps4-trnS, and trnL &amp; trnL-F) of 165 accessions representing 31 species in two genera of Hypodematiaceae as the ingroup and 26 accessions representing Cystopteridaceae, Didymochlaenaceae, Dryopteridaceae, Davalliaceae, Oleandraceae, and Woodsiaceae as the outgroups. Our analyses supported the monophyly of the currently defined Hypodematiaceae only including Hypodematium and Leucostegia and found that the family to be sister to the remaining eupolypods I. Our data resolved three taxa of Leucostegia into two clades. In Hypodematium, 28 taxa are resolved into seven strongly supported clades or single-accession clades. The evolution of important morphological characters are inferred in the phylogenetic context. Our dated phylogeny suggested a latest Jurassic-earliest Cretaceous origin of the family and Upper Cretaceous origin of two genera, with Hypodematiaceae originated from East Asia; extant lineages of Hypodematium originated from East Asia and subsequently into Africa, the Indian region, the Madagascar region, and Southeast Asia; and Leucostegia originated from East Asia and/or Southeast Asia.</t>
  </si>
  <si>
    <t>[Fan, Xue-Ping; Ngan Thi Lu; Wan, Xia; Gao, Xin-Fen; Zhang, Li-Bing] Chinese Acad Sci, Chengdu Inst Biol, CAS Key Lab Mt Ecol Restorat &amp; Bioresource Utiliz, POB 416, Chengdu 610041, Sichuan, Peoples R China; [Fan, Xue-Ping; Zhang, Liang] Chinese Acad Sci, Kunming Inst Bot, Key Lab Plant Divers &amp; Biogeog East Asia, Kunming 650201, Yunnan, Peoples R China; [Ngan Thi Lu] Vietnam Acad Sci &amp; Technol, Dept Biol, Vietnam Natl Museum Nat, 18th Hoang Quoc Viet Rd, Hanoi, Vietnam; [Li, Chun-Xiang] Chinese Acad Sci, Nanjing Inst Geol &amp; Palaeontol, State Key Lab Palaeobiol &amp; Stratig, Nanjing 210008, Peoples R China; [Knapp, Ralf] Museum Natl Hist Nat, Steigestr 78, D-69412 Eberbach, Germany; [Knapp, Ralf] MNHN, Paris, France; [He, Hai] Chongqing Normal Univ, Coll Life Sci, Chongqing 401331, Peoples R China; [Zhou, Xin-Mao] Yunnan Univ, Sch Ecol &amp; Environm Sci, Kunming 650091, Yunnan, Peoples R China; [Zhang, Li-Bing] Missouri Bot Garden, 4344 Shaw Blvd, St Louis, MO 63110 USA</t>
  </si>
  <si>
    <t>Chinese Academy of Sciences; Chengdu Institute of Biology, CAS; Chinese Academy of Sciences; Kunming Institute of Botany, CAS; Vietnam Academy of Science &amp; Technology (VAST); Chinese Academy of Sciences; Museum National d'Histoire Naturelle (MNHN); Chongqing Normal University; Yunnan University; Missouri Botanical Gardens</t>
  </si>
  <si>
    <t>Gao, XF; Zhang, LB (corresponding author), Chinese Acad Sci, Chengdu Inst Biol, CAS Key Lab Mt Ecol Restorat &amp; Bioresource Utiliz, POB 416, Chengdu 610041, Sichuan, Peoples R China.;Zhang, L (corresponding author), Chinese Acad Sci, Kunming Inst Bot, Key Lab Plant Divers &amp; Biogeog East Asia, Kunming 650201, Yunnan, Peoples R China.;Zhang, LB (corresponding author), Missouri Bot Garden, 4344 Shaw Blvd, St Louis, MO 63110 USA.</t>
  </si>
  <si>
    <t>zhangliang@mail.kib.ac.cn; xfgao@cib.ac.cn; Libing.Zhang@mobot.org</t>
  </si>
  <si>
    <t>Li, Chun/HKW-1738-2023</t>
  </si>
  <si>
    <t>Chengdu Institute of Biology, Chinese Academy of Sciences; National Geographical Society of the USA; National Natural Science of China (NSFC); Glory Light International Fellowship for Chinese Botanists at Missouri Botanical Garden</t>
  </si>
  <si>
    <t>Chengdu Institute of Biology, Chinese Academy of Sciences(Chinese Academy of Sciences); National Geographical Society of the USA; National Natural Science of China (NSFC)(National Natural Science Foundation of China (NSFC)); Glory Light International Fellowship for Chinese Botanists at Missouri Botanical Garden</t>
  </si>
  <si>
    <t>The research was partially supported by a grant from Chengdu Institute of Biology, Chinese Academy of Sciences, grants from the National Geographical Society of the USA, and a grant from the National Natural Science of China (NSFC) to L.-B.Z. (#), the Glory Light International Fellowship for Chinese Botanists at Missouri Botanical Garden to X.-M.Z., the President Fellowship to N.T.L. We thank two anonymous reviewers and editors for helpful comments.</t>
  </si>
  <si>
    <t>ACADEMIC PRESS INC ELSEVIER SCIENCE</t>
  </si>
  <si>
    <t>SAN DIEGO</t>
  </si>
  <si>
    <t>525 B ST, STE 1900, SAN DIEGO, CA 92101-4495 USA</t>
  </si>
  <si>
    <t>1055-7903</t>
  </si>
  <si>
    <t>1095-9513</t>
  </si>
  <si>
    <t>MOL PHYLOGENET EVOL</t>
  </si>
  <si>
    <t>Mol. Phylogenet. Evol.</t>
  </si>
  <si>
    <t>10.1016/j.ympev.2021.107340</t>
  </si>
  <si>
    <t>Biochemistry &amp; Molecular Biology; Evolutionary Biology; Genetics &amp; Heredity</t>
  </si>
  <si>
    <t>WZ2GW</t>
  </si>
  <si>
    <t>WOS:000719791000001</t>
  </si>
  <si>
    <t>Zeidler, W</t>
  </si>
  <si>
    <t>Zeidler, Wolfgang</t>
  </si>
  <si>
    <t>Redescription of two rare, deep-sea species of hyperiidean amphipod, Lanceola loveni antarctica Vinogradov, 1962 and L. sphaerica Vinogradov, 1970 (Crustacea: Amphipoda: Hyperiidea: Lanceolidae)</t>
  </si>
  <si>
    <t>ZOOTAXA</t>
  </si>
  <si>
    <t>Pelagic amphipods; Hyperiids; Lanceolidae; Lanceola loveni antarctica; L; sphaerica; redescription; taxonomic review</t>
  </si>
  <si>
    <t>Lanceola loveni antarctica and L. sphaerica are rare deep-sea species known from very few specimens. Until recently (Zeidler 2019) L. loveni antarctica was known only from the types, seven specimens (7-27 mm), from the Indian Ocean Sector of the Antarctic (Vinogradov 1962). Similarly, L. sphaerica, originally described as a variety of L. clausi (Vinogradov, 1957), based on two damaged specimens, a female (8.0 mm) and a male (9 mm), from the Kurile-Kamchatka region of the NW Pacific, later elevated to full species status by Vinogradov (1970) upon the discovery of a well-preserved male (5 mm) from the same general region, was until then known only from these three specimens. The recent discovery of several specimens of both species in the USNM (Zeidler 2019) has now made it possible to provide a more detailed redescription of these rare species, including some new distribution records.</t>
  </si>
  <si>
    <t>[Zeidler, Wolfgang] South Australian Museum, North Terrace, Adelaide, SA 5000, Australia</t>
  </si>
  <si>
    <t>South Australian Museum</t>
  </si>
  <si>
    <t>Zeidler, W (corresponding author), South Australian Museum, North Terrace, Adelaide, SA 5000, Australia.</t>
  </si>
  <si>
    <t>wolfgang.zeidler@samuseum.sa.gov.au</t>
  </si>
  <si>
    <t>Zeidler, Wolfgang/0000-0002-4133-9698</t>
  </si>
  <si>
    <t>Smithsonian Institution</t>
  </si>
  <si>
    <t>Smithsonian Institution(Smithsonian Institution)</t>
  </si>
  <si>
    <t>I am most grateful to Dr Karen Osborn (at the USNM) for securing a Smithsonian Fellowship for me to study the collections of the Natural History Museum, Washington DC, in September and October 2015, and for providing extra funds to make an extended visit possible. I also acknowledge the Smithsonian Institution for their generous Fellowship Program for non-US researchers and for providing the necessary support during my stay in DC. I am also indebted to Karen Reed and her team at the Museum's Sorting Centre for making me welcome, providing bench space so that I could readily access the collections, and for arranging the loan of specimens.</t>
  </si>
  <si>
    <t>MAGNOLIA PRESS</t>
  </si>
  <si>
    <t>AUCKLAND</t>
  </si>
  <si>
    <t>PO BOX 41383, AUCKLAND, ST LUKES 1030, NEW ZEALAND</t>
  </si>
  <si>
    <t>1175-5326</t>
  </si>
  <si>
    <t>1175-5334</t>
  </si>
  <si>
    <t>Zootaxa</t>
  </si>
  <si>
    <t>10.11646/zootaxa.5067.1.6</t>
  </si>
  <si>
    <t>WX1LC</t>
  </si>
  <si>
    <t>WOS:000718364400002</t>
  </si>
  <si>
    <t>Duprat, L; Townsend, AT; van der Merwe, P; Meiners, KM; Lannuzel, D</t>
  </si>
  <si>
    <t>Duprat, Luis; Townsend, Ashley T.; van der Merwe, Pier; Meiners, Klaus M.; Lannuzel, Delphine</t>
  </si>
  <si>
    <t>Spatial and seasonal distribution of dissolved and particulate bioactive metals in Antarctic sea ice</t>
  </si>
  <si>
    <t>ELEMENTA-SCIENCE OF THE ANTHROPOCENE</t>
  </si>
  <si>
    <t>Sea ice; East-Antarctica; Metals; Sea-ice algae; Limitation; Toxicity</t>
  </si>
  <si>
    <t>SAN-FRANCISCO BAY; SOUTHERN-OCEAN; TRACE-METALS; ROSS SEA; PHYTOPLANKTON GROWTH; ATLANTIC SECTOR; WEDDELL SEA; SUPEROXIDE DISMUTASES; TEMPORAL DISTRIBUTION; MARINE-PHYTOPLANKTON</t>
  </si>
  <si>
    <t>Iron (Fe) has been shown to limit growth of marine phytoplankton in the Southern Ocean, regulating phytoplankton productivity and species composition, yet does not seem to limit primary productivity in Antarctic sea ice. Little is known, however, about the potential impact of other metals in controlling seaice algae growth. Here, we report on the distribution of dissolved and particulate cadmium (Cd), cobalt (Co), copper (Cu), manganese (Mn), nickel (Ni), and zinc (Zn) concentrations in sea-ice cores collected during 3 Antarctic expeditions off East Antarctica spanning the winter, spring, and summer seasons. Bulk sea ice was generally enriched in particulate metals but dissolved concentrations were similar to the underlying seawater. These results point toward an environment controlled by a subtle balance between thermodynamic and biological processes, where metal availability does not appear to limit sea-ice algal growth. Yet the high concentrations of dissolved Cu and Zn found in our sea- ice samples raise concern about their potential toxicity if unchelated by organic ligands. Finally, the particulate metal-to-phosphorus (P) ratios of Cu, Mn, Ni, and Zn calculated from our pack ice samples are higher than values previously reported for pelagic marine particles. However, these values were all consistently lower than the sea-ice Fe:P ratios calculated from the available literature, indicating a large accumulation of Fe relative to other metals in sea ice. We report for the first time a P-normalized sea-ice particulate metal abundance ranking of Fe &gt;&gt; Zn approximate to Ni approximate to Cu approximate to Mn &gt; Co approximate to Cd. We encourage future sea-ice work to assess cellular metal quotas through existing and new approaches. Such work, together with a better understanding of the nature of ligand complexation to different metals in the sea-ice environment, would improve the evaluation of metal bioavailability, limitation, and potential toxicity to sea-ice algae.</t>
  </si>
  <si>
    <t>[Duprat, Luis; van der Merwe, Pier; Lannuzel, Delphine] Univ Tasmania, Inst Marine &amp; Antarctic Studies, Hobart, Tas, Australia; [Townsend, Ashley T.] Univ Tasmania, Cent Sci Lab, Hobart, Tas, Australia; [Meiners, Klaus M.] Dept Agr Water &amp; Environm, Australian Antarctic Div, Kingston, Tas, Australia</t>
  </si>
  <si>
    <t>University of Tasmania; University of Tasmania; Australian Antarctic Division</t>
  </si>
  <si>
    <t>Duprat, L (corresponding author), Univ Tasmania, Inst Marine &amp; Antarctic Studies, Hobart, Tas, Australia.</t>
  </si>
  <si>
    <t>luis.duprat@utas.edu.au</t>
  </si>
  <si>
    <t>Lannuzel, Delphine/J-7937-2014; van der Merwe, Pier C/C-9210-2015; Townsend, Ashley/J-7445-2014</t>
  </si>
  <si>
    <t>Townsend, Ashley/0000-0002-2972-2678</t>
  </si>
  <si>
    <t>Australian Government Cooperative Research Centre Program through the Antarctic Climate and Ecosystems Cooperative Research Centre (ACE CRC); Australian Antarctic Science (AAS) [4291]; Australian Research Council's Special Research Initiative for Antarctic Gateway Partnership [SR140300001]; Australian Research Council [FT190100688]; ARC LIEF funding [LE0989539]; Australian Research Council [FT190100688] Funding Source: Australian Research Council</t>
  </si>
  <si>
    <t>Australian Government Cooperative Research Centre Program through the Antarctic Climate and Ecosystems Cooperative Research Centre (ACE CRC)(Australian GovernmentDepartment of Industry, Innovation and ScienceCooperative Research Centres (CRC) Programme); Australian Antarctic Science (AAS); Australian Research Council's Special Research Initiative for Antarctic Gateway Partnership(Australian Research Council); Australian Research Council(Australian Research Council); ARC LIEF funding(Australian Research Council); Australian Research Council(Australian Research Council)</t>
  </si>
  <si>
    <t>This work was cofunded by the Australian Government Cooperative Research Centre Program through the Antarctic Climate and Ecosystems Cooperative Research Centre (ACE CRC), the Australian Antarctic Science (AAS) project no. 4291, and the Australian Research Council's Special Research Initiative for Antarctic Gateway Partnership (Project ID SR140300001). Delphine Lannuzel was funded by the Australian Research Council (FT190100688). Access to ICP instrumentation was supported through ARC LIEF LE0989539 funding. The views expressed herein are those of the authors and are not necessarily those of the Australian Government or Australian Research Council.</t>
  </si>
  <si>
    <t>UNIV CALIFORNIA PRESS</t>
  </si>
  <si>
    <t>OAKLAND</t>
  </si>
  <si>
    <t>155 GRAND AVE, SUITE 400, OAKLAND, CA 94612-3758 USA</t>
  </si>
  <si>
    <t>2325-1026</t>
  </si>
  <si>
    <t>ELEMENTA-SCI ANTHROP</t>
  </si>
  <si>
    <t>Elementa-Sci. Anthrop.</t>
  </si>
  <si>
    <t>10.1525/elementa.2021.00032</t>
  </si>
  <si>
    <t>WU4VN</t>
  </si>
  <si>
    <t>WOS:000716544400001</t>
  </si>
  <si>
    <t>Sauermilch, I; Whittaker, JM; Klocker, A; Munday, DR; Hochmuth, K; Bijl, PK; LaCasce, JH</t>
  </si>
  <si>
    <t>Sauermilch, Isabel; Whittaker, Joanne M.; Klocker, Andreas; Munday, David R.; Hochmuth, Katharina; Bijl, Peter K.; LaCasce, Joseph H.</t>
  </si>
  <si>
    <t>Gateway-driven weakening of ocean gyres leads to Southern Ocean cooling</t>
  </si>
  <si>
    <t>ANTARCTIC CIRCUMPOLAR CURRENT; SOUTHWEST PACIFIC-OCEAN; DINOFLAGELLATE CYSTS; ATMOSPHERIC CO2; DRAKE PASSAGE; ROSS SEA; CIRCULATION; MODEL; FLOW; HEAT</t>
  </si>
  <si>
    <t>Declining atmospheric CO2 concentrations are considered the primary driver for the Cenozoic Greenhouse-Icehouse transition, similar to 34 million years ago. A role for tectonically opening Southern Ocean gateways, initiating the onset of a thermally isolating Antarctic Circumpolar Current, has been disputed as ocean models have not reproduced expected heat transport to the Antarctic coast. Here we use high-resolution ocean simulations with detailed paleobathymetry to demonstrate that tectonics did play a fundamental role in reorganising Southern Ocean circulation patterns and heat transport, consistent with available proxy data. When at least one gateway (Tasmanian or Drake) is shallow (300 m), gyres transport warm waters towards Antarctica. When the second gateway subsides below 300 m, these gyres weaken and cause a dramatic cooling (average of 2-4 degrees C, up to 5 degrees C) of Antarctic surface waters whilst the ACC remains weak. Our results demonstrate that tectonic changes are crucial for Southern Ocean climate change and should be carefully considered in constraining long-term climate sensitivity to CO2.</t>
  </si>
  <si>
    <t>[Sauermilch, Isabel; Whittaker, Joanne M.; Klocker, Andreas] Univ Tasmania, Inst Marine &amp; Antarctic Stud, Hobart, Tas, Australia; [Sauermilch, Isabel; Bijl, Peter K.] Univ Utrecht, Fac Geosci, Dept Earth Sci, Utrecht, Netherlands; [Klocker, Andreas] Univ Tasmania, Australian Res Council Ctr Excellence Climate Ext, Hobart, Tas, Australia; [Munday, David R.] British Antarctic Survey, Cambridge, England; [Hochmuth, Katharina] Helmholtz Ctr Polar &amp; Marine Res, Alfred Wegener Inst, Bremerhaven, Germany; [Hochmuth, Katharina] Univ Leicester, Sch Geog Geol &amp; Environm, Leicester, Leics, England; [LaCasce, Joseph H.] Univ Oslo, Dept Geosci, Oslo, Norway</t>
  </si>
  <si>
    <t>University of Tasmania; Utrecht University; University of Tasmania; UK Research &amp; Innovation (UKRI); Natural Environment Research Council (NERC); NERC British Antarctic Survey; Helmholtz Association; Alfred Wegener Institute, Helmholtz Centre for Polar &amp; Marine Research; University of Leicester; University of Oslo</t>
  </si>
  <si>
    <t>Sauermilch, I (corresponding author), Univ Tasmania, Inst Marine &amp; Antarctic Stud, Hobart, Tas, Australia.;Sauermilch, I (corresponding author), Univ Utrecht, Fac Geosci, Dept Earth Sci, Utrecht, Netherlands.</t>
  </si>
  <si>
    <t>i.sauermilch@uu.nl</t>
  </si>
  <si>
    <t>Munday, David R/R-1986-2016; Whittaker, Joanne/B-3695-2010; Klocker, Andreas/E-4632-2011</t>
  </si>
  <si>
    <t>Munday, David R/0000-0003-1920-708X; Whittaker, Joanne/0000-0002-3170-3935; Hochmuth, Katharina/0000-0003-2789-2179; Bijl, Peter/0000-0002-1710-4012; Sauermilch, Dr Isabel/0000-0003-4639-6699; Klocker, Andreas/0000-0002-2038-7922</t>
  </si>
  <si>
    <t>Australian Research Council Special Research Initiative for Antarctic Gateway Partnership [SR140300001, 180102280]; ORCHESTRA project [NE/N018095/1]; Deutsche Forschungsgemeinschaft (DFG) [GO724/15-1]; ERC Starting Grant OceaNice [802835]; Rough Ocean project from the Norwegian Research Council [302743]; University of Tasmania; NERC [bas0100033] Funding Source: UKRI; European Research Council (ERC) [802835] Funding Source: European Research Council (ERC)</t>
  </si>
  <si>
    <t>Australian Research Council Special Research Initiative for Antarctic Gateway Partnership(Australian Research Council); ORCHESTRA project; Deutsche Forschungsgemeinschaft (DFG)(German Research Foundation (DFG)); ERC Starting Grant OceaNice(European Research Council (ERC)); Rough Ocean project from the Norwegian Research Council(Research Council of Norway); University of Tasmania; NERC(UK Research &amp; Innovation (UKRI)Natural Environment Research Council (NERC)); European Research Council (ERC)(European Research Council (ERC)Spanish Government)</t>
  </si>
  <si>
    <t>This research was undertaken with support from Australian Research Council Special Research Initiative for Antarctic Gateway Partnership (Project ID SR140300001), Discovery Project 180102280, and computational resources from the Australian National Computational Infrastructure. We thank Dave Hutchinson for providing the forcing input data for our model. D.R.M. is supported by the ORCHESTRA project (NE/N018095/1). K.H.'s research has been funded by the Deutsche Forschungsgemeinschaft (DFG) under the project GO724/15-1 and institutional resources from the Research Program PACES-II, Workpackage 3.2, of the Alfred Wegener Institute (AWI). The European Research Council under the European Community's Seventh Framework Program provided funding by ERC Starting Grant OceaNice #802835 to P.K.B.; J.H.L. was supported by the Rough Ocean project (number 302743) from the Norwegian Research Council. D.R.M., K.H. and J.H.L. received a Visiting Scholarship from the University of Tasmania. We thank Max Nikurashin and Eivind Straume for constructive discussions and comments.</t>
  </si>
  <si>
    <t>10.1038/s41467-021-26658-1</t>
  </si>
  <si>
    <t>WU5MJ</t>
  </si>
  <si>
    <t>WOS:000716589100009</t>
  </si>
  <si>
    <t>Teng, ZJ; Qin, QL; Zhang, WP; Li, J; Fu, HH; Wang, P; Lan, MS; Luo, GF; He, JF; McMinn, A; Wang, M; Chen, XL; Zhang, YZ; Chen, Y; Li, CY</t>
  </si>
  <si>
    <t>Teng, Zhao-Jie; Qin, Qi-Long; Zhang, Weipeng; Li, Jian; Fu, Hui-Hui; Wang, Peng; Lan, Musheng; Luo, Guangfu; He, Jianfeng; McMinn, Andrew; Wang, Min; Chen, Xiu-Lan; Zhang, Yu-Zhong; Chen, Yin; Li, Chun-Yang</t>
  </si>
  <si>
    <t>Biogeographic traits of dimethyl sulfide and dimethylsulfoniopropionate cycling in polar oceans (vol 9, 207, 2021)</t>
  </si>
  <si>
    <t>[Teng, Zhao-Jie; Qin, Qi-Long; Li, Jian; Zhang, Yu-Zhong] Shandong Univ, Marine Biotechnol Res Ctr, State Key Lab Microbial Technol, Qingdao 266237, Shandong, Peoples R China; [Zhang, Weipeng; Fu, Hui-Hui; Wang, Peng; Wang, Min; Chen, Xiu-Lan; Zhang, Yu-Zhong; Chen, Yin; Li, Chun-Yang] Ocean Univ China, Inst Adv Ocean Study, Coll Marine Life Sci, Qingdao 266003, Shandong, Peoples R China; [Fu, Hui-Hui; Wang, Peng; Chen, Xiu-Lan; Zhang, Yu-Zhong; Li, Chun-Yang] Pilot Natl Lab Marine Sci &amp; Technol Qingdao, Lab Marine Biol &amp; Biotechnol, Qingdao 266373, Shandong, Peoples R China; [Lan, Musheng; Luo, Guangfu; He, Jianfeng] Polar Res Inst China, Key Lab Polar Sci MNR, Shanghai 200136, Peoples R China; [McMinn, Andrew] Univ Tasmania, Inst Marine &amp; Antarctic Studies, Hobart, Tas, Australia; [Chen, Yin] Univ Warwick, Sch Life Sci, Coventry, W Midlands, England</t>
  </si>
  <si>
    <t>Shandong University; Ocean University of China; Laoshan Laboratory; Polar Research Institute of China; University of Tasmania; University of Warwick</t>
  </si>
  <si>
    <t>Chen, Y; Li, CY (corresponding author), Ocean Univ China, Inst Adv Ocean Study, Coll Marine Life Sci, Qingdao 266003, Shandong, Peoples R China.;Li, CY (corresponding author), Pilot Natl Lab Marine Sci &amp; Technol Qingdao, Lab Marine Biol &amp; Biotechnol, Qingdao 266373, Shandong, Peoples R China.;Chen, Y (corresponding author), Univ Warwick, Sch Life Sci, Coventry, W Midlands, England.</t>
  </si>
  <si>
    <t>Y.Chen.25@warwick.ac.uk; lcy@ouc.edu.cn</t>
  </si>
  <si>
    <t>zheng, xin/JNS-5523-2023; Wang, Min/AFR-9645-2022; Li, Chun-Yang/JBS-2194-2023</t>
  </si>
  <si>
    <t>Wang, Min/0000-0002-2357-589X; Li, Chun-Yang/0000-0002-1151-4897; Chen, Yin/0000-0002-0367-4276</t>
  </si>
  <si>
    <t>10.1186/s40168-021-01182-y</t>
  </si>
  <si>
    <t>WU3SM</t>
  </si>
  <si>
    <t>WOS:000716468400001</t>
  </si>
  <si>
    <t>Diamond, R; Sime, LC; Schroeder, D; Guarino, MV</t>
  </si>
  <si>
    <t>Diamond, Rachel; Sime, Louise C.; Schroeder, David; Guarino, Maria-Vittoria</t>
  </si>
  <si>
    <t>The contribution of melt ponds to enhanced Arctic sea-ice melt during the Last Interglacial</t>
  </si>
  <si>
    <t>POLAR AMPLIFICATION; EXPERIMENTAL-DESIGN; MODEL; CLIMATE; RADIATION; SIMULATIONS; VARIABILITY; JULES</t>
  </si>
  <si>
    <t>The Hadley Centre Global Environment Model version 3 (HadGEM3) is the first coupled climate model to simulate an ice-free Arctic during the Last Interglacial (LIG), 127 000 years ago. This simulation appears to yield accurate Arctic surface temperatures during the summer season. Here, we investigate the causes and impacts of this extreme simulated ice loss. We find that the summer ice melt was predominantly driven by thermodynamic processes: atmospheric and ocean circulation changes did not significantly contribute to the ice loss. We demonstrate these thermodynamic processes were significantly impacted by melt ponds, which formed on average 8 d earlier during the LIG than during the pre-industrial control (PI) simulation. This relatively small difference significantly changed the LIG surface energy balance and impacted the albedo feedback. Compared to the PI simulation: in mid-June, of the absorbed flux at the surface over ice-covered cells (sea-ice concentration &gt; 0.15), ponds accounted for 45 %-50 %, open water 35 %-45 %, and bare ice and snow 5 %-10 %. We show that the simulated ice loss led to large Arctic sea surface salinity and temperature changes. The sea surface temperature and salinity signals we identify here provide a means to verify, in marine observations, if and when an ice-free Arctic occurred during the LIG. Strong LIG correlations between spring melt pond and summer ice area indicate that, as Arctic ice continues to thin in future, the spring melt pond area will likely become an increasingly reliable predictor of the September sea-ice area. Finally, we note that models with explicitly modelled melt ponds seem to simulate particularly low LIG sea-ice area. These results show that models with explicit (as opposed to parameterised) melt ponds can simulate very different sea-ice behaviour under forcings other than the present day. This is of concern for future projections of sea-ice loss.</t>
  </si>
  <si>
    <t>[Diamond, Rachel; Sime, Louise C.; Guarino, Maria-Vittoria] British Antarctic Survey, Ice Dynam &amp; Palaeoclimate Team, Cambridge, England; [Diamond, Rachel] Imperial Coll London, Dept Phys, London, England; [Schroeder, David] Univ Reading, Dept Meteorol, Reading, Berks, England; [Guarino, Maria-Vittoria] Univ Leeds, Fac Engn &amp; Phys Sci, Leeds, W Yorkshire, England</t>
  </si>
  <si>
    <t>UK Research &amp; Innovation (UKRI); Natural Environment Research Council (NERC); NERC British Antarctic Survey; Imperial College London; University of Reading; University of Leeds</t>
  </si>
  <si>
    <t>Diamond, R; Sime, LC (corresponding author), British Antarctic Survey, Ice Dynam &amp; Palaeoclimate Team, Cambridge, England.;Diamond, R (corresponding author), Imperial Coll London, Dept Phys, London, England.</t>
  </si>
  <si>
    <t>rachel.diamond17@imperial.ac.uk; lsim@bas.ac.uk</t>
  </si>
  <si>
    <t>Sime, Louise/0000-0002-9093-7926; Schroeder, David/0000-0003-2351-4306; Guarino, Maria Vittoria/0000-0002-7531-4560</t>
  </si>
  <si>
    <t>Natural Environment Research Council [NE/P013279/1, NE/P009271/1]; Horizon 2020 research and innovation programme (TiPES) [820970]; NERC [NE/P013279/1, NE/P009271/1, NE/T009470/1, cpom30001] Funding Source: UKRI; H2020 Societal Challenges Programme [820970] Funding Source: H2020 Societal Challenges Programme</t>
  </si>
  <si>
    <t>Natural Environment Research Council(UK Research &amp; Innovation (UKRI)Natural Environment Research Council (NERC)); Horizon 2020 research and innovation programme (TiPES); NERC(UK Research &amp; Innovation (UKRI)Natural Environment Research Council (NERC)); H2020 Societal Challenges Programme(Horizon 2020European Union (EU)H2020 Societal Challenges Programme)</t>
  </si>
  <si>
    <t>This research has been supported by the Natural Environment Research Council (grant nos. NE/P013279/1 and NE/P009271/1) and the Horizon 2020 research and innovation programme (TiPES, grant no. 820970).</t>
  </si>
  <si>
    <t>10.5194/tc-15-5099-2021</t>
  </si>
  <si>
    <t>WU3OP</t>
  </si>
  <si>
    <t>WOS:000716458100001</t>
  </si>
  <si>
    <t>de Freitas, KEJ; Busanello, C; Viana, VE; Pegoraro, C; Victoria, FD; da Maia, LC; de Oliveira, AC</t>
  </si>
  <si>
    <t>Janner de Freitas, Karine E.; Busanello, Carlos; Viana, Vivian Ebeling; Pegoraro, Camila; Victoria, Filipe de Carvalho; da Maia, Luciano Carlos; de Oliveira, Antonio Costa</t>
  </si>
  <si>
    <t>An empirical analysis of mtSSRs: could microsatellite distribution patterns explain the evolution of mitogenomes in plants?</t>
  </si>
  <si>
    <t>FUNCTIONAL &amp; INTEGRATIVE GENOMICS</t>
  </si>
  <si>
    <t>Simple sequence repeats; Repetitive DNA; Mitogenomes; Land plants; Algae</t>
  </si>
  <si>
    <t>SIMPLE SEQUENCE REPEATS; MITOCHONDRIAL GENOME SEQUENCE; IN-SILICO ANALYSIS; CHLOROPLAST MICROSATELLITES; ORGANELLAR GENOMES; DNA-SEQUENCE; MARKERS; SSRS; ARABIDOPSIS; ORIGIN</t>
  </si>
  <si>
    <t>Microsatellites (SSRs) are tandem repeat sequences in eukaryote genomes, including plant cytoplasmic genomes. The mitochondrial genome (mtDNA) has been shown to vary in size, number, and distribution of SSRs among different plant groups. Thus, SSRs contribute with genomic diversity in mtDNAs. However, the abundance, distribution, and evolutionary significance of SSRs in mtDNA from a wide range of algae and plants have not been explored. In this study, the mtDNAs of 204 plant and algal species were investigated related to the presence of SSRs. The number of SSRs was positively correlated with genome size. Its distribution is dependent on plant and algal groups analyzed, although the cluster analysis indicates the conservation of some common motifs in algal and terrestrial plants that reflect common ancestry of groups. Many SSRs in coding and non-coding regions can be useful for molecular markers. Moreover, mitochondrial SSRs are highly abundant, representing an important source for natural or induced genetic variation, i.e., for biotechnological approaches that can modulate mtDNA gene regulation. Thus, this comparative study increases the understanding of the plant and algal SSR evolution and brings perspectives for further studies.</t>
  </si>
  <si>
    <t>[Janner de Freitas, Karine E.; Busanello, Carlos; Viana, Vivian Ebeling; Pegoraro, Camila; da Maia, Luciano Carlos; de Oliveira, Antonio Costa] Univ Fed Pelotas, Plant Genom &amp; Breeding Ctr, Technol Dev Ctr, Pelotas, RS, Brazil; [Victoria, Filipe de Carvalho] Fed Univ Pampa, Ctr Antarctic Vegetat Studies NEVA, Sao Gabriel, RS, Brazil</t>
  </si>
  <si>
    <t>Universidade Federal de Pelotas; Universidade Federal do Pampa</t>
  </si>
  <si>
    <t>de Oliveira, AC (corresponding author), Univ Fed Pelotas, Plant Genom &amp; Breeding Ctr, Technol Dev Ctr, Pelotas, RS, Brazil.</t>
  </si>
  <si>
    <t>karinejanner@gmail.com; carlosbuzza@gmail.com; vih.viana@gmail.com; pegorarocamilanp@gmail.com; filipevictoria@unipampa.edu.br; lucianoc.maia@gmail.com; acostol@terra.com.br</t>
  </si>
  <si>
    <t>Victoria, Filipe/F-6066-2013; Costa de Oliveira, Antonio/GWZ-3969-2022; Viana, Vívian/B-4114-2019; Pegoraro, Camila/P-2940-2015</t>
  </si>
  <si>
    <t>Victoria, Filipe/0000-0002-8580-1813; Viana, Vívian/0000-0002-8326-7549; Pegoraro, Camila/0000-0003-1376-9751</t>
  </si>
  <si>
    <t>Coordenacao de Aperfeicoamento de Pessoal de Nivel Superior -Brasil (CAPES) [001]; Conselho Nacional de Desenvolvimento Cientifico e Tecnologico (CNPq) [407591/2018-4]</t>
  </si>
  <si>
    <t>Coordenacao de Aperfeicoamento de Pessoal de Nivel Superior -Brasil (CAPES)(Coordenacao de Aperfeicoamento de Pessoal de Nivel Superior (CAPES)); Conselho Nacional de Desenvolvimento Cientifico e Tecnologico (CNPq)(Conselho Nacional de Desenvolvimento Cientifico e Tecnologico (CNPQ))</t>
  </si>
  <si>
    <t>This research received no external funding from the Coordenacao de Aperfeicoamento de Pessoal de Nivel Superior -Brasil (CAPES) -Finance Code 001, the Conselho Nacional de Desenvolvimento Cientifico e Tecnologico (CNPq -process n degrees 407591/2018-4), and from Fundacao de Amparo a Pesquisa do Rio Grande do Sul (FAPERGS).</t>
  </si>
  <si>
    <t>1438-793X</t>
  </si>
  <si>
    <t>1438-7948</t>
  </si>
  <si>
    <t>FUNCT INTEGR GENOMIC</t>
  </si>
  <si>
    <t>Funct. Integr. Genomics</t>
  </si>
  <si>
    <t>10.1007/s10142-021-00815-7</t>
  </si>
  <si>
    <t>Genetics &amp; Heredity</t>
  </si>
  <si>
    <t>YJ4WU</t>
  </si>
  <si>
    <t>WOS:000716373400001</t>
  </si>
  <si>
    <t>Li, H; Yang, F; Wang, XH; Li, Y; Zhang, N; Zhang, R; Liu, C; Zhang, HS; Lin, LS; Song, PQ</t>
  </si>
  <si>
    <t>Li, Hai; Yang, Fang; Wang, Xuehua; Li, Yuan; Zhang, Nan; Zhang, Ran; Liu, Cheng; Zhang, Hushun; Lin, Longshan; Song, Puqing</t>
  </si>
  <si>
    <t>Demersal fish diversity and molecular taxonomy in the Bering Sea and Chukchi Sea</t>
  </si>
  <si>
    <t>CONSERVATION GENETICS RESOURCES</t>
  </si>
  <si>
    <t>DNA barcoding; Fish diversity; Taxonomy; Arctic Pacific; Demersal fish</t>
  </si>
  <si>
    <t>GENETIC DIVERSITY; LARVAL FISH; DNA; IDENTIFICATION; BIODIVERSITY; ASSEMBLAGES</t>
  </si>
  <si>
    <t>DNA barcoding by sequencing a standard region of cytochrome c oxidase subunit I (COI) provides an accurate, rapid method for identifying different species. In this study, we provide a molecular taxonomic assessment of demersal fishes in the Bering Sea and Chukchi Sea based on DNA barcoding, and a total of 123 mitochondrial COI partial fragments with a length of 652 bp were obtained. The consensus among all sequences was determined by alignment via a BLAST search in GenBank. Phylogenetic relationships were reconstructed based on neighbor-joining trees and barcoding gaps. The 39 species investigated in this analysis were distributed among 10 families. Five families within Scorpaeniformes including 19 species accounted for almost half of the species. The next largest group was Perciformes, with 9 species, followed by Pleuronectiformes and Gadiformes, with 5 species each, and the smallest number of species belonged to Rajiformes. At the family level, Cottidae was the largest family, followed by Zoarcidae, accounting for 8 species. The other eight families-Gadidae, Pleuronectidae, Psychrolutidae, Agonidae, Liparidae, Ammodytidae, Hexagrammidae, and Rajidae-accounted for a smaller proportion of species. In brief, our study shows that DNA barcodes are an effective tool for studying fish diversity and taxonomy in the Bering Sea and Chukchi Sea. The contribution of DNA barcoding to identifying Arctic fish species may benefit further Arctic fish studies on biodiversity, biogeography and conservation in the future.</t>
  </si>
  <si>
    <t>[Li, Hai; Wang, Xuehua; Li, Yuan; Zhang, Nan; Zhang, Ran; Liu, Cheng; Zhang, Hushun; Lin, Longshan; Song, Puqing] Minist Nat Resources, Lab Marine Biol &amp; Ecol, Inst Oceanog 3, Xiamen 361005, Peoples R China; [Yang, Fang] Fisheries Res Inst Fujian, Key Lab Cultivat &amp; High Value Utilizat Marine Org, Xiamen 361013, Peoples R China; [Wang, Xuehua; Li, Yuan; Liu, Cheng; Zhang, Hushun; Lin, Longshan] Shanghai Ocean Univ, Coll Marine Sci, Shanghai 201306, Peoples R China; [Zhang, Ran] Xiamen Univ, Coll Ocean &amp; Earth Sci, Xiamen 361102, Peoples R China</t>
  </si>
  <si>
    <t>Ministry of Natural Resources of the People's Republic of China; Third Institute of Oceanography, Ministry of Natural Resources; Shanghai Ocean University; Xiamen University</t>
  </si>
  <si>
    <t>Lin, LS; Song, PQ (corresponding author), Minist Nat Resources, Lab Marine Biol &amp; Ecol, Inst Oceanog 3, Xiamen 361005, Peoples R China.;Lin, LS (corresponding author), Shanghai Ocean Univ, Coll Marine Sci, Shanghai 201306, Peoples R China.</t>
  </si>
  <si>
    <t>linlsh@tio.org.cn; songpuqing@tio.org.cn</t>
  </si>
  <si>
    <t>刘, 成/GZK-5792-2022</t>
  </si>
  <si>
    <t>刘, 成/0000-0002-1282-2621</t>
  </si>
  <si>
    <t>National Natural Science Foundation of China [41806217, 41876176]; Scientific Research Foundation of Third Institute of Oceanography, Ministry of Natural Resources [2018010]; Chinese Arctic and Antarctic Administration, State Oceanic Administration</t>
  </si>
  <si>
    <t>National Natural Science Foundation of China(National Natural Science Foundation of China (NSFC)); Scientific Research Foundation of Third Institute of Oceanography, Ministry of Natural Resources; Chinese Arctic and Antarctic Administration, State Oceanic Administration</t>
  </si>
  <si>
    <t>This work was funded by the National Natural Science Foundation of China [Grant No. 41806217 and 41876176], the Scientific Research Foundation of Third Institute of Oceanography, Ministry of Natural Resources [Grant No. 2018010], and Chinese Arctic and Antarctic Administration, State Oceanic Administration.</t>
  </si>
  <si>
    <t>1877-7252</t>
  </si>
  <si>
    <t>1877-7260</t>
  </si>
  <si>
    <t>CONSERV GENET RESOUR</t>
  </si>
  <si>
    <t>Conserv. Genet. Resour.</t>
  </si>
  <si>
    <t>10.1007/s12686-021-01241-4</t>
  </si>
  <si>
    <t>Biodiversity Conservation; Genetics &amp; Heredity</t>
  </si>
  <si>
    <t>Biodiversity &amp; Conservation; Genetics &amp; Heredity</t>
  </si>
  <si>
    <t>1C6JN</t>
  </si>
  <si>
    <t>WOS:000716226500001</t>
  </si>
  <si>
    <t>Bonnet-Lebrun, AS; Larsen, T; Thórarinsson, TL; Kolbeinsson, Y; Frederiksen, M; Morley, TI; Fox, D; Boutet, A; le Bouard, F; Deville, T; Hansen, ES; Hansen, T; Roberts, P; Ratcliffe, N</t>
  </si>
  <si>
    <t>Bonnet-Lebrun, Anne-Sophie; Larsen, Thomas; Thorarinsson, Thorkell Lindberg; Kolbeinsson, Yann; Frederiksen, Morten; Morley, Tim, I; Fox, Derren; Boutet, Aude; le Bouard, Fabrice; Deville, Tanguy; Hansen, Erpur Snaer; Hansen, Thomas; Roberts, Patrick; Ratcliffe, Norman</t>
  </si>
  <si>
    <t>Cold comfort: Arctic seabirds find refugia from climate change and potential competition in marginal ice zones and fjords</t>
  </si>
  <si>
    <t>Climate change; Competition; Fjords; Niche partitioning; Refugia; Sea ice</t>
  </si>
  <si>
    <t>THICK-BILLED MURRES; URIA-LOMVIA; DIVING BEHAVIOR; COLONY SIZE; SEA-ICE; SEGREGATION; FLUCTUATIONS; VARIABILITY; DELTA-C-13</t>
  </si>
  <si>
    <t>Climate change alters species distributions by shifting their fundamental niche in space through time. Such effects may be exacerbated by increased inter-specific competition if climate alters species dominance where competitor ranges overlap. This study used census data, telemetry and stable isotopes to examine the population and foraging ecology of a pair of Arctic and temperate congeners across an extensive zone of sympatry in Iceland, where sea temperatures varied substantially. The abundance of Arctic Brunnich's guillemot Uria lomvia declined with sea temperature. Accessibility of refugia in cold water currents or fjords helped support higher numbers and reduce rates of population decline. Competition with temperate Common guillemots Uria aalge did not affect abundance, but similarities in foraging ecology were sufficient to cause competition when resources are limiting. Continued warming is likely to lead to further declines of Brunnich's guillemot, with implications for conservation status and ecosystem services.</t>
  </si>
  <si>
    <t>[Bonnet-Lebrun, Anne-Sophie; Morley, Tim, I; Fox, Derren; Boutet, Aude; le Bouard, Fabrice; Deville, Tanguy; Ratcliffe, Norman] British Antarctic Survey BAS, Madingley Rd, Cambridge CB3 0ET, England; [Larsen, Thomas; Roberts, Patrick] Max Planck Inst Sci Human Hist, Dept Archaeol, Kahlaishce Str 10, D-07745 Jena, Germany; [Thorarinsson, Thorkell Lindberg] Iceland Inst Nat Hist, Gardabaer, Iceland; [Kolbeinsson, Yann] Northeast Iceland Nat Res Ctr, Husavik, Iceland; [Frederiksen, Morten] Aarhus Univ, Dept Biosci, Aarhus C, Denmark; [Hansen, Erpur Snaer] South Iceland Nat Res Ctr, Aegisgata 2, IS-900 Vestmannaeyjar, Iceland; [Hansen, Thomas] GEOMAR Helmholtz Zentrum Ozeanforsch, ZLCA, Dusternbrooker Weg 20, D-24105 Kiel, Germany</t>
  </si>
  <si>
    <t>Aarhus University; Helmholtz Association; GEOMAR Helmholtz Center for Ocean Research Kiel</t>
  </si>
  <si>
    <t>Ratcliffe, N (corresponding author), British Antarctic Survey BAS, Madingley Rd, Cambridge CB3 0ET, England.</t>
  </si>
  <si>
    <t>larsen@shh.mpg.de; thorkell.l.thorarinsson@ni.is; yann@nna.is; mfr@bios.au.dk; erpur@nattsud.is; thansen@geomar.de; roberts@shh.mpg.de; notc@bas.ac.uk</t>
  </si>
  <si>
    <t>Frederiksen, Morten/A-7542-2008; Roberts, Patrick J/L-2232-2013; Hansen, Erpur Snær/V-1858-2018; Bonnet-Lebrun, Anne-Sophie/GYU-2977-2022</t>
  </si>
  <si>
    <t>Frederiksen, Morten/0000-0001-5550-0537; Hansen, Erpur Snær/0000-0001-6899-2817; Bonnet-Lebrun, Anne-Sophie/0000-0002-7587-615X; Thorarinsson, Thorkell Lindberg/0000-0002-1638-2555; Roberts, Patrick/0000-0002-4403-7548</t>
  </si>
  <si>
    <t>UKRI/NERC in the UK [NE/R012660/1]; BMBF (Deutsche Forschungsgemeinschaft) in Germany [03V01459]; Max Planck Society; NERC [NE/R012660/1, bas0100035] Funding Source: UKRI</t>
  </si>
  <si>
    <t>UKRI/NERC in the UK(UK Research &amp; Innovation (UKRI)Natural Environment Research Council (NERC)); BMBF (Deutsche Forschungsgemeinschaft) in Germany; Max Planck Society(Max Planck Society); NERC(UK Research &amp; Innovation (UKRI)Natural Environment Research Council (NERC))</t>
  </si>
  <si>
    <t>This paper is an output of Project LOMVIA, part of the Changing Arctic Ocean Programme. Funding was provided by UKRI/NERC in the UK (NE/R012660/1) and BMBF (Deutsche Forschungsgemeinschaft 03V01459) in Germany, with contributions from the Max Planck Society. A permit was provided by the Icelandic Institute of Natural History and animal ethics was overseen by BAS AWERB. We thank Oafur Torfason, Kirsty Franklin and Kayleigh Jones for assistance with data collection, and Megan Smith, Guomundur Guomundsson and Freydis Vigfusdottir for logistic support. We are grateful to Daniel and Baldur Ha ' lfda ' narson, Svandis Sverrisdottir and Birna Mjoll Atladottir for permission to access study sites.</t>
  </si>
  <si>
    <t>10.1007/s13280-021-01650-7</t>
  </si>
  <si>
    <t>WOS:000716244300002</t>
  </si>
  <si>
    <t>Ding, LL; Huang, HZ; Lu, FN; Lu, J; Zhou, XS; Zhang, YX; Cai, MH</t>
  </si>
  <si>
    <t>Ding, Lulu; Huang, Hezhou; Lu, Fengning; Lu, Jian; Zhou, Xiangshan; Zhang, Yuanxing; Cai, Menghao</t>
  </si>
  <si>
    <t>Transposon insertion mutation of Antarctic psychrotrophic fungus for red pigment production adaptive to normal temperature</t>
  </si>
  <si>
    <t>JOURNAL OF INDUSTRIAL MICROBIOLOGY &amp; BIOTECHNOLOGY</t>
  </si>
  <si>
    <t>Natural red pigment; Antarctic fungus; Geomyces sp.; Protoplast transformation; Transposon mutagenesis</t>
  </si>
  <si>
    <t>FUSARIUM-OXYSPORUM; ESCHERICHIA-COLI; IMPALA; TRANSFORMATION; DIVERSITY; ELEMENT; GENOME; GENES; RICE</t>
  </si>
  <si>
    <t>Polar regions are rich in microbial and product resources. Geomyces sp. WNF-15A is an Antarctic psy chrotrophic filamentous fungus producing high quality red pigment with potential for industrial use. However, efficient biosynthesis of red pigment can only realize at low temperature, which brings difficult control and high cost for the large-scale fermentation. This study aims to develop transposon insertion mutation method to improve cell growth and red pigment production adaptive to normal temperature. Genetic manipulation system of this fungus was firstly developed by antibiotic marker screening, protoplast preparation and transformation optimization, by which transformation efficiency of similar to 50% was finally achieved. Then transposable insertion systems were established using Helitron, Fot1, and Impala transposons. The transposition efficiency reached 11.9%, 9.4%, and 4.6%, respectively. Mutant MP1 achieved the highest red pigment production (OD520 of 39) at 14 degrees C, which was 40% higher than the wild-type strain. Mutant MP14 reached a maximum red pigment production (OD520 of 14.8) at 20 degrees C, which was about twofold of the wild-type strain. Mutants MP2 and MP10 broke the repression mechanism of red pigment biosynthesis in the wild-type and allowed production at 25 degrees C. For cell growth, eight mutants grew remarkably better (12%similar to 30% biomass higher) than the wild-type at 25 degrees C. This study established an efficient genetic manipulation and transposon insertion mutation platform for polar filamentous fungus. It provides reference for genetic breeding of psychrotrophic fungi from polar and other regions.</t>
  </si>
  <si>
    <t>[Ding, Lulu; Huang, Hezhou; Lu, Fengning; Lu, Jian; Zhang, Yuanxing; Cai, Menghao] East China Univ Sci &amp; Technol, State Key Lab Bioreactor Engn, Shanghai 200237, Peoples R China; [Zhou, Xiangshan] China Resources Angde Biotech Pharma Co Ltd, 78 E Jiao St, Liaocheng 252299, Shandong, Peoples R China; [Zhou, Xiangshan] China Resources Biopharmaceut Co Ltd, 1301-84 Sightseeing Rd, Shenzhen 518110, Peoples R China; [Zhang, Yuanxing] Shanghai Collaborat Innovat Ctr Biomfg, Shanghai 200237, Peoples R China</t>
  </si>
  <si>
    <t>East China University of Science &amp; Technology</t>
  </si>
  <si>
    <t>Cai, MH (corresponding author), East China Univ Sci &amp; Technol, State Key Lab Bioreactor Engn, Shanghai 200237, Peoples R China.</t>
  </si>
  <si>
    <t>cmh022199@ecust.edu.cn</t>
  </si>
  <si>
    <t>lin, lin/KCZ-0185-2024; wang, xiaoqiang/JMT-2783-2023</t>
  </si>
  <si>
    <t>National Key R&amp;D Program of China [2018YFC1406706, 2018YFC1406700]; National Natural Science Foundation of China [42176238]; 111 Project of China [B18022]</t>
  </si>
  <si>
    <t>National Key R&amp;D Program of China; National Natural Science Foundation of China(National Natural Science Foundation of China (NSFC)); 111 Project of China(Ministry of Education, China - 111 Project)</t>
  </si>
  <si>
    <t>This work was supported by the National Key R&amp;D Program of China (Grant number 2018YFC1406706, 2018YFC1406700), National Natural Science Foundation of China (42176238) and the 111 Project of China (Grant number B18022).</t>
  </si>
  <si>
    <t>1367-5435</t>
  </si>
  <si>
    <t>1476-5535</t>
  </si>
  <si>
    <t>J IND MICROBIOL BIOT</t>
  </si>
  <si>
    <t>J. Ind. Microbiol. Biotechnol.</t>
  </si>
  <si>
    <t>kuab073</t>
  </si>
  <si>
    <t>10.1093/jimb/kuab073</t>
  </si>
  <si>
    <t>Biotechnology &amp; Applied Microbiology</t>
  </si>
  <si>
    <t>YJ6UY</t>
  </si>
  <si>
    <t>WOS:000744668300006</t>
  </si>
  <si>
    <t>Johnson, A; Hock, R; Fahnestock, M</t>
  </si>
  <si>
    <t>Johnson, Andrew; Hock, Regine; Fahnestock, Mark</t>
  </si>
  <si>
    <t>Spatial variability and regional trends of Antarctic ice shelf surface melt duration over 1979-2020 derived from passive microwave data</t>
  </si>
  <si>
    <t>MASS-BALANCE; SHEET; PENINSULA; MELTWATER; EMISSION; CLIMATE; SNOW</t>
  </si>
  <si>
    <t>Passive microwave satellite observations are used to identify the presence of surface meltwater across Antarctica at daily intervals from July 1979 to June 2020, with a focus on ice shelves. Antarctic Peninsula ice shelves have the highest number of annual days of melt, with a maximum of 89 days. Over the entire time period, there are few significant linear trends in days of melt per year. High melt years can be split into two distinct categories, those with high melt days in Dronning Maud Land and Wilkes Land, and those with high melt days in the Antarctic Peninsula and the Bellingshausen Sea sector of West Antarctica. The first pattern coincides with significant negative correlations between melt days and spring and summer Southern Annular Mode. Both patterns also form the primary modes of spatial and annual variability in the dataset observed by Principal Component Analysis. Areas experiencing extended melt for the first time in years tend to show large decreases in subsequent winter microwave emissions due to structural changes in the firn. We use this to identify the impact of novel melt events, particularly over the austral summers of 1991/92 and 2015/16 on the Ross Ice Shelf.</t>
  </si>
  <si>
    <t>[Johnson, Andrew; Hock, Regine; Fahnestock, Mark] Univ Alaska Fairbanks, Inst Geophys, Fairbanks, AK 99775 USA; [Hock, Regine] Univ Oslo, Dept Geosci, Oslo, Norway</t>
  </si>
  <si>
    <t>University of Alaska System; University of Alaska Fairbanks; University of Oslo</t>
  </si>
  <si>
    <t>Johnson, A (corresponding author), Univ Alaska Fairbanks, Inst Geophys, Fairbanks, AK 99775 USA.</t>
  </si>
  <si>
    <t>acjohnson16@alaska.edu</t>
  </si>
  <si>
    <t>Hock, Regine/C-6179-2013</t>
  </si>
  <si>
    <t>Johnson, Andrew/0000-0002-8009-200X</t>
  </si>
  <si>
    <t>National Science Foundation [1543432]; NASA [80NSSC17K0566]</t>
  </si>
  <si>
    <t>This study was support by National Science Foundation grant #1543432 and NASA grant #80NSSC17K0566. We thank the efforts of the two reviewers and scientific editor Carleen Tijm-Reijmer in improving the clarity and quality of this paper.</t>
  </si>
  <si>
    <t>PII S002214302100112X</t>
  </si>
  <si>
    <t>10.1017/jog.2021.112</t>
  </si>
  <si>
    <t>WOS:000774806700001</t>
  </si>
  <si>
    <t>Stuart-Smith, RD</t>
  </si>
  <si>
    <t>Stuart-Smith, Rick D.</t>
  </si>
  <si>
    <t>Climate change: Large-scale abundance shifts in fishes</t>
  </si>
  <si>
    <t>CURRENT BIOLOGY</t>
  </si>
  <si>
    <t>MARINE; TEMPERATURE; TROPICALIZATION</t>
  </si>
  <si>
    <t>Warming seas are driving a mass-scale restructuring of marine life, with observed responses expanding beyond species' range shifts. New evidence highlights large regions where ecological change has been dominated by the declining abundance of species that prefer cooler waters.</t>
  </si>
  <si>
    <t>[Stuart-Smith, Rick D.] Univ Tasmania, Inst Marine &amp; Antarctic Studies, Hobart, Tas 7001, Australia</t>
  </si>
  <si>
    <t>Stuart-Smith, RD (corresponding author), Univ Tasmania, Inst Marine &amp; Antarctic Studies, Hobart, Tas 7001, Australia.</t>
  </si>
  <si>
    <t>rstuarts@utas.edu.au</t>
  </si>
  <si>
    <t>Stuart-Smith, Rick/I-5214-2019</t>
  </si>
  <si>
    <t>Stuart-Smith, Rick/0000-0002-8874-0083</t>
  </si>
  <si>
    <t>CELL PRESS</t>
  </si>
  <si>
    <t>50 HAMPSHIRE ST, FLOOR 5, CAMBRIDGE, MA 02139 USA</t>
  </si>
  <si>
    <t>0960-9822</t>
  </si>
  <si>
    <t>1879-0445</t>
  </si>
  <si>
    <t>CURR BIOL</t>
  </si>
  <si>
    <t>Curr. Biol.</t>
  </si>
  <si>
    <t>NOV 8</t>
  </si>
  <si>
    <t>R1445</t>
  </si>
  <si>
    <t>R1447</t>
  </si>
  <si>
    <t>10.1016/j.cub.2021.09.063</t>
  </si>
  <si>
    <t>Biochemistry &amp; Molecular Biology; Biology; Cell Biology</t>
  </si>
  <si>
    <t>Biochemistry &amp; Molecular Biology; Life Sciences &amp; Biomedicine - Other Topics; Cell Biology</t>
  </si>
  <si>
    <t>WW8FG</t>
  </si>
  <si>
    <t>WOS:000718144700016</t>
  </si>
  <si>
    <t>Cheng, H; Xu, Y; Dong, XY; Zhao, JY; Li, HY; Baker, J; Sinha, A; Spötl, C; Zhang, HW; Du, WJ; Zong, BY; Jia, X; Kathayat, G; Liu, DB; Cai, YJ; Wang, XF; Strikis, NM; Cruz, FW; Auler, AS; Gupta, AK; Singh, RK; Jaglan, S; Dutt, S; Liu, ZY; Edwards, RL</t>
  </si>
  <si>
    <t>Cheng, Hai; Xu, Yao; Dong, Xiyu; Zhao, Jingyao; Li, Hanying; Baker, Jonathan; Sinha, Ashish; Spotl, Christoph; Zhang, Haiwei; Du, Wenjing; Zong, Baoyun; Jia, Xue; Kathayat, Gayatri; Liu, Dianbing; Cai, Yanjun; Wang, Xianfeng; Strikis, Nicolas M.; Cruz, Francisco W.; Auler, Augusto S.; Gupta, Anil K.; Singh, Raj Kumar; Jaglan, Sonu; Dutt, Som; Liu, Zhengyu; Edwards, R. Lawrence</t>
  </si>
  <si>
    <t>Onset and termination of Heinrich Stadial 4 and the underlying climate dynamics</t>
  </si>
  <si>
    <t>LAST GLACIAL PERIOD; GREENLAND ICE-CORE; OCEAN CIRCULATION; ATLANTIC-OCEAN; MONSOON RECORD; SUMMER MONSOON; HULU CAVE; OSCILLATIONS; VARIABILITY; TEMPERATURE</t>
  </si>
  <si>
    <t>Heinrich Stadial 4 during the last glacial period was marked by severe cooling at northern high latitudes along with the attendant changes in Asian Monsoon (Chinese Stadial 4) and South American Monsoon (South American Stadial 4). Here we present improved constraints on timings of Heinrich/Chinese/South American Stadial 4 onset and termination at sub-centennial precision based on speleothem records. We show that their initial onsets were essentially synchronous (40.20 +/- 0.08 thousand years ago) and led the Antarctic warming by similar to 300 years. The Heinrich/Chinese Stadial 4 termination commenced at 38.34 +/- 0.07 thousand years ago following a centennial-scale reduction in the Amazon River runoff and a poleward shift of the Southern Westerly wind belt. These two precursor events may have contributed to a reduced Amazon Plume Region and an enhanced Agulhas salt/heat leakage that led to an abrupt resumption of the Atlantic Meridional Ocean Circulation eventually triggering the Heinrich/Chinese Stadial 4 termination.</t>
  </si>
  <si>
    <t>[Cheng, Hai; Xu, Yao; Dong, Xiyu; Zhao, Jingyao; Li, Hanying; Baker, Jonathan; Zhang, Haiwei; Du, Wenjing; Zong, Baoyun; Jia, Xue; Kathayat, Gayatri; Cai, Yanjun] Xi An Jiao Tong Univ, Inst Global Environm Change, Xian 710054, Peoples R China; [Cheng, Hai] Chinese Acad Sci, Inst Earth Environm, State Key Lab Loess &amp; Quaternary Geol, Xian 710061, Peoples R China; [Cheng, Hai] CAGS, Inst Karst Geol, Key Lab Karst Dynam, MLR, Guilin 541004, Peoples R China; [Sinha, Ashish] Calif State Univ Dominguez Hills, Dept Earth Sci, Carson, CA 90747 USA; [Spotl, Christoph] Univ Innsbruck, Inst Geol, A-6020 Innsbruck, Austria; [Liu, Dianbing] Nanjing Normal Univ, Coll Geog Sci, Nanjing, Peoples R China; [Wang, Xianfeng] Nanyang Technol Univ, Earth Observ Singapore, Singapore 639798, Singapore; [Strikis, Nicolas M.; Cruz, Francisco W.] Univ Sao Paulo, Inst Geociencias, BR-05508090 Sao Paulo, Brazil; [Auler, Augusto S.] Inst Carste, Rua Barcelona 240-302, BR-30360260 Belo Horizonte, MG, Brazil; [Gupta, Anil K.] Indian Inst Technol Kharagpur, Dept Geol &amp; Geophys, Kharagpur, W Bengal, India; [Singh, Raj Kumar] Indian Inst Technol Bhubaneswar, Sch Earth Ocean &amp; Climate Sci, Argul 752050, India; [Jaglan, Sonu] Govt PG Coll Narnaul, Dept Geol, Mahendragarh 123001, India; [Dutt, Som] Wadia Inst Himalayan Geol, Dehra Dun 248001, Uttarakhand, India; [Liu, Zhengyu] Ohio State Univ, Dept Geog, Columbus, OH 43210 USA; [Edwards, R. Lawrence] Univ Minnesota, Dept Earth &amp; Environm Sci, Minneapolis, MN 55455 USA</t>
  </si>
  <si>
    <t>Xi'an Jiaotong University; Chinese Academy of Sciences; Institute of Earth Environment, CAS; China Geological Survey; Institute of Karst Geology, Chinese Academy of Geological Sciences; California State University System; California State University Dominguez Hills; University of Innsbruck; Nanjing Normal University; Nanyang Technological University; Universidade de Sao Paulo; Indian Institute of Technology System (IIT System); Indian Institute of Technology (IIT) - Kharagpur; Indian Institute of Technology System (IIT System); Indian Institute of Technology (IIT) - Bhubaneswar; Department of Science &amp; Technology (India); Wadia Institute of Himalayan Geology (WIHG); University System of Ohio; Ohio State University; University of Minnesota System; University of Minnesota Twin Cities</t>
  </si>
  <si>
    <t>Cheng, H (corresponding author), Xi An Jiao Tong Univ, Inst Global Environm Change, Xian 710054, Peoples R China.;Cheng, H (corresponding author), Chinese Acad Sci, Inst Earth Environm, State Key Lab Loess &amp; Quaternary Geol, Xian 710061, Peoples R China.;Cheng, H (corresponding author), CAGS, Inst Karst Geol, Key Lab Karst Dynam, MLR, Guilin 541004, Peoples R China.</t>
  </si>
  <si>
    <t>cheng021@xjtu.edu.cn</t>
  </si>
  <si>
    <t>Dutt, Som/ABA-9093-2020; SINGH, RAJ K./ABE-4793-2021; Edwards, Richard/JAX-3732-2023; CHENG, HAI/H-3413-2017; SINGH, RAJ K./HGE-7393-2022; Cai, Yanjun/A-9462-2010; Misailidis Strikis, Nicolas/H-6531-2015</t>
  </si>
  <si>
    <t>Dutt, Som/0000-0002-2894-5861; SINGH, RAJ K./0000-0003-2900-7145; CHENG, HAI/0000-0002-5305-9458; SINGH, RAJ K./0000-0003-2900-7145; Kathayat, Gayatri/0000-0001-9333-9385; Misailidis Strikis, Nicolas/0000-0003-4721-3380; Zhang, Haiwei/0000-0002-0855-1283; Spotl, Christoph/0000-0001-7167-4940; Baker, Jonathan/0000-0002-7070-7365; Auler, Augusto/0000-0002-8454-3381; Sinha, Ashish/0000-0001-5700-2451</t>
  </si>
  <si>
    <t>NSFC [41731174, 41888101]</t>
  </si>
  <si>
    <t>NSFC(National Natural Science Foundation of China (NSFC))</t>
  </si>
  <si>
    <t>This work was supported by NSFC grants 41731174 and 41888101 to H.C. We sincerely thank Dr. Luke Skinner for his very constructive comments and suggestions. The tourism authorities provide the permissions and supports to field work and sampling collections.</t>
  </si>
  <si>
    <t>10.1038/s43247-021-00304-6</t>
  </si>
  <si>
    <t>WT3US</t>
  </si>
  <si>
    <t>WOS:000715793800001</t>
  </si>
  <si>
    <t>Xia, SG; Xue, Y; Xue, CH; Jiang, XM; Li, J</t>
  </si>
  <si>
    <t>Xia, Songgang; Xue, Yong; Xue, Changhu; Jiang, Xiaoming; Li, Jing</t>
  </si>
  <si>
    <t>Structural and rheological properties of meat analogues from Haematococcus pluvialis residue-pea protein by high moisture extrusion</t>
  </si>
  <si>
    <t>Meat analogues; High moisture extrusion; Fibrous structure; Microalgae</t>
  </si>
  <si>
    <t>PHYSICOCHEMICAL PROPERTIES; LF-NMR; SECONDARY STRUCTURE; WATER MOBILITY; SOY PROTEIN; PRODUCTS; RICE; ALTERNATIVES; RELAXATION; EXTRACTION</t>
  </si>
  <si>
    <t>Meat analogues, a kind of healthy promising meat substitute, are gaining more and more attention due to its ecofriendly, personal satisfactory and low cost benefits. In this study, Haematococcus pluvialis residue (HPR) was used for preparing pea protein-based meat analogues by high moisture extrusion. Mixed raw material with HPR contents ranging from 10 g/100g to 40 g/100g can successfully be extruded under high moisture of 50 g/100g. The reddish color of HPR made the extrudates look like dried red meat. HPR could markedly improve the textural properties by loosening the layered and the fibrous structures of meat analogues. The fibrous degree of meat analogues with 10 g/100g (dry basis) HPR content reached the maximum (1.28 +/- 0.05). Even though the HPR content increased to 40 g/100g (dry basis), the fibrous degree of meat analogues was 1.15 +/- 0.03, which was higher than the extrudates without HPR (1.08 +/- 0.05). The mechanism of forming meat analogues with better texture was mainly caused by the increased free water content and beta-Sheet structure of extrudates after adding HPR. On the whole, HPR can be used as a raw material for high moisture extrusion to enhance the physical properties of meat analogues.</t>
  </si>
  <si>
    <t>[Xia, Songgang; Xue, Yong; Xue, Changhu; Jiang, Xiaoming; Li, Jing] Ocean Univ China, Coll Food Sci &amp; Engn, 5 Yushan Rd, Qingdao 266003, Shandong, Peoples R China; [Xue, Changhu] Qingdao Natl Lab Marine Sci &amp; Technol, Qingdao 266235, Peoples R China</t>
  </si>
  <si>
    <t>Ocean University of China; Laoshan Laboratory</t>
  </si>
  <si>
    <t>Jiang, XM; Li, J (corresponding author), Ocean Univ China, Coll Food Sci &amp; Engn, 5 Yushan Rd, Qingdao 266003, Shandong, Peoples R China.</t>
  </si>
  <si>
    <t>songgang_xia@163.com; xueyong@ouc.edu.cn; xuech@ouc.edu.cn; jxm@ouc.edu.cn; lijouc@ouc.edu.cn</t>
  </si>
  <si>
    <t>Jiang, Xiaoming/AES-5733-2022</t>
  </si>
  <si>
    <t>Jiang, Xiaoming/0000-0002-1444-6121</t>
  </si>
  <si>
    <t>Shandong Provincial Natural Foundation of China [ZR2019MC035]; National Key R &amp; D Program of China Structure analysis and structure-activity relationship of new functional components in marine food [2018YFC0311201]; National Key R &amp; D Program of China Formation mechanism of Ant-arctic krill fishery and key technologies for efficient utilization of re-sources [2018YFC1406806]</t>
  </si>
  <si>
    <t>Shandong Provincial Natural Foundation of China; National Key R &amp; D Program of China Structure analysis and structure-activity relationship of new functional components in marine food; National Key R &amp; D Program of China Formation mechanism of Ant-arctic krill fishery and key technologies for efficient utilization of re-sources</t>
  </si>
  <si>
    <t>This work was financially supported by Shandong Provincial Natural Foundation of China (ZR2019MC035) , the National Key R &amp; D Program of China Structure analysis and structure-activity relationship of new functional components in marine food (2018YFC0311201) , and the National Key R &amp; D Program of China Formation mechanism of Ant-arctic krill fishery and key technologies for efficient utilization of re-sources (2018YFC1406806) : Antarctic krill high value product creation and industrialization demonstration.</t>
  </si>
  <si>
    <t>10.1016/j.lwt.2021.112756</t>
  </si>
  <si>
    <t>WX9TT</t>
  </si>
  <si>
    <t>WOS:000718931800005</t>
  </si>
  <si>
    <t>Halfter, S; Cavan, EL; Butterworth, P; Swadling, KM; Boyd, PW</t>
  </si>
  <si>
    <t>Halfter, Svenja; Cavan, Emma L.; Butterworth, Philip; Swadling, Kerrie M.; Boyd, Philip W.</t>
  </si>
  <si>
    <t>Sinking dead-How zooplankton carcasses contribute to particulate organic carbon flux in the subantarctic Southern Ocean</t>
  </si>
  <si>
    <t>LIMNOLOGY AND OCEANOGRAPHY</t>
  </si>
  <si>
    <t>NEOCALANUS-TONSUS; MARINE SNOW; NONCONSUMPTIVE MORTALITY; COPEPOD CARCASSES; CHESAPEAKE BAY; FECAL PELLETS; RIVER ESTUARY; NEW-ZEALAND; VELOCITY; WATERS</t>
  </si>
  <si>
    <t>Zooplankton carcasses are an important, yet understudied, pathway of the biological gravitational pump. To understand their contribution to the downward carbon flux in the subantarctic, carcasses of the copepod Neocalanus tonsus were analyzed for carbon content, microbial remineralization rates, and sinking velocities. In addition, the sensitivity of carcass flux to varying mortality, microbial turnover, and sinking velocity rates was analyzed and compared to carbon flux measurements from sediment traps. Microbial decomposition rates (between 0.02 and 0.16 d(-1)) were comparable to those of marine snow, highlighting the importance of carcasses as microbial hotspots. High sinking velocities (730 +/- 182 m d(-1)) suggest that particulate organic carbon flux to the deep ocean is substantial. Carcass flux is sensitive to a change in sinking velocity but appears less sensitive to fluctuations in microbial decomposition rate. More research on zooplankton mortality and the factors that influence carcass sinking through the water column is needed to quantify the carcass-mediated carbon export and enable their inclusion in marine ecosystem and biogeochemical models.</t>
  </si>
  <si>
    <t>[Halfter, Svenja; Butterworth, Philip; Swadling, Kerrie M.; Boyd, Philip W.] Univ Tasmania, Inst Marine &amp; Antarctic Studies, Hobart, Tas, Australia; [Cavan, Emma L.] Imperial Coll London, London, England; [Swadling, Kerrie M.; Boyd, Philip W.] Univ Tasmania, Australian Antarctic Program Partnership, Hobart, Tas, Australia</t>
  </si>
  <si>
    <t>University of Tasmania; Imperial College London; University of Tasmania</t>
  </si>
  <si>
    <t>Halfter, S (corresponding author), Univ Tasmania, Inst Marine &amp; Antarctic Studies, Hobart, Tas, Australia.</t>
  </si>
  <si>
    <t>svenja.halfter@utas.edu.au</t>
  </si>
  <si>
    <t>Cavan, Emma/AFY-2671-2022; Halfter, Svenja/AGW-5810-2022; Boyd, Philip/J-7624-2014</t>
  </si>
  <si>
    <t>Halfter, Svenja/0000-0002-0480-0350; cavan, emma/0000-0003-1099-6705; Swadling, Kerrie/0000-0002-7620-841X; Boyd, Philip/0000-0001-7850-1911</t>
  </si>
  <si>
    <t>Laureate Fellowship of the Australian Research Council [FL160100131]</t>
  </si>
  <si>
    <t>Laureate Fellowship of the Australian Research Council(Australian Research Council)</t>
  </si>
  <si>
    <t>We thank the associate editor and two anonymous reviewers for their constructive comments on the manuscript. We also thank the CSIRO Marine National Facility (MNF) for sea time on RV Investigator, support personnel, scientific equipment, and data management during and after IN2018_V04. Also, thanks to Dr Sarah Andrew (UNC, USA), who filtered and measured Chl a of the water column on board and Dr Thomas Rodemann (CSL, UTAS, Australia), who performed the CHN analyses. This work was funded by a Laureate Fellowship of the Australian Research Council to PB (FL160100131). Australia's Integrated Marine Observing System (IMOS) is enabled by the National Collaborative Research Infrastructure Strategy (NCRIS). It is operated by a consortium of institutions as an unincorporated joint venture, with the University of Tasmania as Lead Agent.</t>
  </si>
  <si>
    <t>0024-3590</t>
  </si>
  <si>
    <t>1939-5590</t>
  </si>
  <si>
    <t>LIMNOL OCEANOGR</t>
  </si>
  <si>
    <t>Limnol. Oceanogr.</t>
  </si>
  <si>
    <t>10.1002/lno.11971</t>
  </si>
  <si>
    <t>Limnology; Oceanography</t>
  </si>
  <si>
    <t>YH6FX</t>
  </si>
  <si>
    <t>WOS:000715220000001</t>
  </si>
  <si>
    <t>Demirel-Floyd, C; Soreghan, GS; Madden, MEE</t>
  </si>
  <si>
    <t>Demirel-Floyd, Cansu; Soreghan, Gerilyn S.; Madden, Megan E. Elwood</t>
  </si>
  <si>
    <t>Cyanobacterial weathering in warming periglacial sediments: Implications for nutrient cycling and potential biosignatures</t>
  </si>
  <si>
    <t>PERMAFROST AND PERIGLACIAL PROCESSES</t>
  </si>
  <si>
    <t>Antarctic dry valleys; biosignature; cyanobacteria; glacial; Mars; silicate weathering</t>
  </si>
  <si>
    <t>BET SURFACE-AREA; ROSS SEA REGION; TRANSANTARCTIC MOUNTAINS; MICROBIAL ECOSYSTEMS; STREAM SEDIMENTS; VICTORIA LAND; DIVERSITY; SOILS; ICE; PERMAFROST</t>
  </si>
  <si>
    <t>The cryosphere hosts a widespread microbial community, yet microbial influences on silicate weathering have been historically neglected in cold-arid deserts. Here we investigate bioweathering by a cold-tolerant cyanobacteria (Leptolyngbya glacialis) via laboratory experiments using glaciofluvial drift sediments at 12 degrees C, analogous to predicted future permafrost surface temperatures. Our results show threefold enhanced Si weathering rates in pre-weathered, mixed-lithology Antarctic biotic reactors compared to abiotic controls, indicating the significant influence of microbial life on weathering. Although biotic and abiotic weathering rates are similar in Icelandic sediments, neo-formed clay and Fe-(oxy)hydroxide minerals observed in association with biofilms in biotic reactors are common on Icelandic mafic minerals, similar to features observed in unprocessed Antarctic drifts. This suggests that microbes enhance weathering in systems where they must scavenge for nutrients that are not easily liberated via abiotic pathways; potential biosignatures may form in nutrient-rich systems as well. In both sediment types we also observed up to fourfold higher bicarbonate concentrations in biotic reactors relative to abiotic reactors, indicating that, as warming occurs, psychrotolerant biota will enhance bicarbonate flux to the oceans, thus stimulating carbonate deposition and providing a negative feedback to increasing atmospheric CO2.</t>
  </si>
  <si>
    <t>[Demirel-Floyd, Cansu; Soreghan, Gerilyn S.; Madden, Megan E. Elwood] Univ Oklahoma, Sch Geosci, 100 E Boyd St, Norman, OK 73019 USA</t>
  </si>
  <si>
    <t>University of Oklahoma System; University of Oklahoma - Norman</t>
  </si>
  <si>
    <t>Demirel-Floyd, C (corresponding author), Univ Oklahoma, Sch Geosci, 100 E Boyd St, Norman, OK 73019 USA.</t>
  </si>
  <si>
    <t>cansu.demirel@ou.edu</t>
  </si>
  <si>
    <t>; Elwood Madden, Megan/C-3381-2009</t>
  </si>
  <si>
    <t>Soreghan, Gerilyn/0000-0001-6925-5675; Demirel-Floyd, Cansu/0000-0002-5329-6058; Elwood Madden, Megan/0000-0002-6735-4554</t>
  </si>
  <si>
    <t>National Science Foundation (NSF) [1543344]</t>
  </si>
  <si>
    <t>National Science Foundation (NSF)(National Science Foundation (NSF)National Research Foundation of Korea)</t>
  </si>
  <si>
    <t>National Science Foundation (NSF), Grant/Award Number: 1543344</t>
  </si>
  <si>
    <t>1045-6740</t>
  </si>
  <si>
    <t>1099-1530</t>
  </si>
  <si>
    <t>PERMAFROST PERIGLAC</t>
  </si>
  <si>
    <t>Permafrost Periglacial Process.</t>
  </si>
  <si>
    <t>10.1002/ppp.2133</t>
  </si>
  <si>
    <t>Geography, Physical; Geology</t>
  </si>
  <si>
    <t>YN6PV</t>
  </si>
  <si>
    <t>WOS:000715072100001</t>
  </si>
  <si>
    <t>Abbott, PM; Niemeier, U; Timmreck, C; Riede, F; McConnell, JR; Severi, M; Fischer, H; Svensson, A; Toohey, M; Reinig, F; Sigl, M</t>
  </si>
  <si>
    <t>Abbott, P. M.; Niemeier, U.; Timmreck, C.; Riede, F.; McConnell, J. R.; Severi, M.; Fischer, H.; Svensson, A.; Toohey, M.; Reinig, F.; Sigl, M.</t>
  </si>
  <si>
    <t>Volcanic climate forcing preceding the inception of the Younger Dryas: Implications for tracing the Laacher See eruption</t>
  </si>
  <si>
    <t>Ice cores; Sulphate; Volcanic radiative forcing; Younger Dryas; Laacher See eruption</t>
  </si>
  <si>
    <t>ANTARCTIC ICE-CORES; WAIS DIVIDE; GREENLAND; RECORD; CIRCULATION; SULFUR; OCEAN; SYNCHRONIZATION; CHRONOLOGY; SULFATE</t>
  </si>
  <si>
    <t>Climatic warming from the last glacial maximum to the current interglacial period was punctuated by a similar to 1300 years long cold period, commonly referred to as the Younger Dryas (YD). Several hypotheses have been proposed for the mechanism triggering the abrupt inception of the YD, including freshwater forcing, an extra-terrestrial impact, and aerosols from volcanic eruptions. Here, we use synchronised sulphate and sulphur records from both Greenland and Antarctic ice cores to reconstruct volcanic forcing between 13,200-12,800 a BPGICC05 (years before 1950 CE on the Greenland Ice Core Chronology 2005; GICC05). This continuous reconstruction of stratospheric sulphur injections highlights a -110-year cluster of four major bipolar volcanic signals alongside several smaller events just prior to the YD inception. The cumulative Northern Hemisphere aerosol burden and radiative forcing from this cluster exceeds the most volcanically active periods during the Common Era, which experienced notable multidecadal scale cooling commonly attributed to volcanic effects. The Laacher See eruption (LSE), recently redated to 13,006 +/- 9 cal a BP, falls within our time window of study and has been proposed as a trigger for the YD but a direct volcanic imprint for the LSE in the Greenland ice cores has thus far proved elusive. Comparison of simulated sulphate deposition for mid- and high-sulphur LSE-type emission scenarios to the ice-core estimated sulphate deposition and interhemispheric asymmetry ratios allows several signals between 13,025 and 12,975 a BPGICC05 to be proposed as plausible candidates for the LSE. The magnitude and persistence of volcanic forcing directly preceding the YD inception highlights the need to consider stratospheric sulphur injections and their radiative forcing in future analyses and climate model experiments used to explore the mechanisms that triggered this or similar abrupt cooling events. (C) 2021 The Authors. Published by Elsevier Ltd.</t>
  </si>
  <si>
    <t>[Abbott, P. M.; Fischer, H.; Sigl, M.] Univ Bern, Phys Inst, Climate &amp; Environm Phys, Bern, Switzerland; [Abbott, P. M.; Fischer, H.; Sigl, M.] Univ Bern, Oeschger Ctr Climate Change Res, Bern, Switzerland; [Niemeier, U.; Timmreck, C.] Max Planck Inst Meteorol, Atmosphere Earth Syst, Hamburg, Germany; [Riede, F.] Aarhus Univ, Dept Archaeol &amp; Heritage Studies, Hojbjerg, Denmark; [McConnell, J. R.] Nevada Syst Higher Educ, Desert Res Inst, Reno, NV USA; [Severi, M.] Univ Florence, Dept Chem Ugo Schiff, Florence, Italy; [Svensson, A.] Univ Copenhagen, Niels Bohr Inst, Phys Ice Climate &amp; Earth, Copenhagen, Denmark; [Toohey, M.] Univ Saskatchewan, Inst Space &amp; Atmospher Studies, Saskatoon, SK, Canada; [Reinig, F.] Johannes Gutenberg Univ Mainz, Dept Geog, Mainz, Germany</t>
  </si>
  <si>
    <t>University of Bern; University of Bern; Max Planck Society; Aarhus University; Nevada System of Higher Education (NSHE); Desert Research Institute NSHE; University of Florence; University of Copenhagen; Niels Bohr Institute; University of Saskatchewan; Johannes Gutenberg University of Mainz</t>
  </si>
  <si>
    <t>Abbott, PM (corresponding author), Univ Bern, Phys Inst, Climate &amp; Environm Phys, Bern, Switzerland.;Abbott, PM (corresponding author), Univ Bern, Oeschger Ctr Climate Change Res, Bern, Switzerland.</t>
  </si>
  <si>
    <t>peter.abbott@climate.unibe.ch</t>
  </si>
  <si>
    <t>Abbott, Peter M/B-6769-2013; Severi, Mirko/J-2508-2012; Svensson, Anders/A-2643-2010; Toohey, Matthew/AAL-1896-2021; Riede, Felix/C-1767-2008; Fischer, Hubertus/A-1211-2014</t>
  </si>
  <si>
    <t>Svensson, Anders/0000-0002-4364-6085; Toohey, Matthew/0000-0002-7070-405X; Riede, Felix/0000-0002-4879-7157; Fischer, Hubertus/0000-0002-2787-4221; Sigl, Michael/0000-0002-9028-9703</t>
  </si>
  <si>
    <t>European Research Council under the European Union's Horizon 2020 research and innovation programme [820047, 817564]; Deutsche Forschungsgemeinschaft (DFG) [FOR2820, 398006378]; Deutsches Klimarechenzentrum (DKRZ) [bb1093]; U.S. National Science Foundation [1925417]; University of Bern</t>
  </si>
  <si>
    <t>European Research Council under the European Union's Horizon 2020 research and innovation programme(European Research Council (ERC)); Deutsche Forschungsgemeinschaft (DFG)(German Research Foundation (DFG)); Deutsches Klimarechenzentrum (DKRZ); U.S. National Science Foundation(National Science Foundation (NSF)); University of Bern</t>
  </si>
  <si>
    <t>PA and MSi received funding from the European Research Council under the European Union's Horizon 2020 research and innovation programme (grant agreement no. 820047). UN and CT are supported by the Deutsche Forschungsgemeinschaft (DFG) Research Unit FOR2820 VolImpact (grant agreement no. 398006378). This work used resources of the Deutsches Klimarechenzentrum (DKRZ) granted by its Scientific Steering Committee (WLA) under project ID bb1093. FRi received funding from the European Research Council (ERC) under the European Union's Horizon 2020 research and innovation programme (grant agreement No. 817564). JRM received support from the U.S. National Science Foundation (grant No. 1925417). The University of Bern gratefully acknowledges the long-term financial support of ice-core studies by the Swiss National Science Foundation. We thank two anonymous reviewers for their comments that have helped to improve the manuscript.</t>
  </si>
  <si>
    <t>10.1016/j.quascirev.2021.107260</t>
  </si>
  <si>
    <t>WOS:000723190100005</t>
  </si>
  <si>
    <t>Mancilla, A</t>
  </si>
  <si>
    <t>Mancilla, Alejandra</t>
  </si>
  <si>
    <t>From Sovereignty to Guardianship in Ecoregions</t>
  </si>
  <si>
    <t>JOURNAL OF APPLIED PHILOSOPHY</t>
  </si>
  <si>
    <t>ANTARCTICA</t>
  </si>
  <si>
    <t>Recent scientific studies suggest that the destabilisation of the earth's climate and biodiversity loss are not separate, but interdependent phenomena. In this context, some have proposed the creation of a 'Global Safety Net' of ecoregions that should be preserved to stop further biodiversity loss, preventing at the same time the growth of CO2 emissions produced by deforestation and allowing natural carbon removal. In this article, I suggest that a first step to achieve this might be to replace permanent sovereignty over natural resources in these areas with permanent guardianship. I propose to take some inspiration from a model that has already been implemented over an entire continent with a fair degree of success. In 1959, the Antarctic Treaty froze the sovereign claims of seven countries over Antarctica. However, these countries plus 47 others today have been remarkably successful at jointly preserving the continent for peace, science, and the protection of the environment, especially since the signature of the Environmental Protocol in 1991. After outlining some principles that could give form to a Global Environmental Protocol for Ecoregions, I address a series of objections and offer some concluding remarks.</t>
  </si>
  <si>
    <t>[Mancilla, Alejandra] Univ Oslo, Fac Humanities, Inst Philosophy Class Hist Art &amp; Ideas, Blindernveien 31, N-0313 Oslo, Norway</t>
  </si>
  <si>
    <t>University of Oslo</t>
  </si>
  <si>
    <t>Mancilla, A (corresponding author), Univ Oslo, Fac Humanities, Inst Philosophy Class Hist Art &amp; Ideas, Blindernveien 31, N-0313 Oslo, Norway.</t>
  </si>
  <si>
    <t>alejandra.mancilla@ifikk.uio.no</t>
  </si>
  <si>
    <t>Polar Programme of the Research Council of Norway [14446]; European Research Council (ERC) under the European Union's Horizon 2020 Research and Innovation Programme [948964]; European Research Council (ERC) [948964] Funding Source: European Research Council (ERC)</t>
  </si>
  <si>
    <t>Polar Programme of the Research Council of Norway; European Research Council (ERC) under the European Union's Horizon 2020 Research and Innovation Programme(European Research Council (ERC)); European Research Council (ERC)(European Research Council (ERC)Spanish Government)</t>
  </si>
  <si>
    <t>This work was supported by the Polar Programme of the Research Council of Norway (grant no. 14446), and the European Research Council (ERC) under the European Union's Horizon 2020 Research and Innovation Programme (grant no. 948964). For illuminating discussions, I am grateful to Peder Roberts, Julia Jabour, Cara Nine, Margaret Moore, my students at FIL2390/4390 Environmental Philosophy at the University of Oslo, and audiences at the University of Oslo, Nordic Network of Political Theory, Norwegian Practical Philosophy Network, University of Waterloo, and Queen's University Belfast. For their perspicuous written feedback on previous versions, I thank Andreas FOllesdal, Yelena Yermakova, Megan Blomfield, Carlos Joly, Oda Davanger, and two anonymous referees. Thanks to Fabian Stenhaug for research assistance.</t>
  </si>
  <si>
    <t>0264-3758</t>
  </si>
  <si>
    <t>1468-5930</t>
  </si>
  <si>
    <t>J APPL PHILOS</t>
  </si>
  <si>
    <t>J. Appl. Philos.</t>
  </si>
  <si>
    <t>AUG</t>
  </si>
  <si>
    <t>10.1111/japp.12561</t>
  </si>
  <si>
    <t>Ethics; Philosophy</t>
  </si>
  <si>
    <t>Social Science Citation Index (SSCI); Arts &amp; Humanities Citation Index (A&amp;HCI)</t>
  </si>
  <si>
    <t>Social Sciences - Other Topics; Philosophy</t>
  </si>
  <si>
    <t>O1VK2</t>
  </si>
  <si>
    <t>WOS:000714943500001</t>
  </si>
  <si>
    <t>Alexander, CMO; Nilges, MJ; Cody, GD; Herd, CDK</t>
  </si>
  <si>
    <t>Alexander, C. M. O'D; Nilges, M. J.; Cody, G. D.; Herd, C. D. K.</t>
  </si>
  <si>
    <t>Are radicals responsible for the variable deuterium enrichments in chondritic insoluble organic material?</t>
  </si>
  <si>
    <t>Chondrite; Insoluble organic material; Electron paramagnetic resonance; Radicals</t>
  </si>
  <si>
    <t>TAGISH LAKE METEORITE; MURCHISON METEORITE; PRIMITIVE METEORITES; MATTER; ORGUEIL; PARTICLES; CARBON; EVOLUTION; ORIGIN; HYDROGEN</t>
  </si>
  <si>
    <t>The insoluble organic material (IOM) in primitive chondritic meteorites is very enriched in D (up to delta D = 3500% in bulk). Based largely on a series of electron paramagnetic resonance (EPR) studies of IOM from three meteorites (Orgueil, Murchison and Tagish Lake), it has been suggested that these enrichments are the result of exchange with H2D+ in the solar nebula and that exchange with radicals in the IOM was particularly facile so that they are enormously enriched in D (dD &gt; 95000%). To try to test whether radicals are largely responsible for the D enrichments in IOM, we have used EPR to measure the radical concentrations (spins/g) and g-factors of 18 IOM separates from C1-2 chondrites of varying petrologic type and chemical group that have a much wider range of H isotopic compositions (dD = 600-3500%) than in previous studies. We confirm the previous studies findings that IOM exhibits non-Curie law behavior and that it does not completely saturate even at microwave excitation powers of 200 mW. We also have obtained similar g-factor values. However, our IOM samples typically exhibit a lower and more limited range of spin concentrations, and smaller deviations from Curie law behavior than in previous studies. Nor do we observe correlations between bulk dD and either spins/g or non-Curie law behavior that would be expected if exchange between H2D+ and radicals, as previously proposed, was the cause of the D-enrichments in IOM. Indeed, in general the radical concentrations and the degree of non-Curie law behavior do not seem to correlate with any of the measured IOM properties, with chondrite group or parent body history (e.g., degree of aqueous alteration). The only exceptions are the IOM in four Tagish Lake lithologies whose spin concentrations increase with increasing degree of thermal processing as indicated by decreasing H/C and dD, and increasing aromaticity. (C) 2021 Elsevier Ltd. All rights reserved.</t>
  </si>
  <si>
    <t>[Alexander, C. M. O'D; Cody, G. D.] Carnegie Inst Sci, Earth &amp; Planets Lab, 5241 Broad Branch Rd NW, Washington, DC 20015 USA; [Nilges, M. J.] Univ Illinois, Sch Chem Sci, EPR Lab, 505 S Mathews Ave, Urbana, IL 61801 USA; [Herd, C. D. K.] Univ Alberta, Dept Earth &amp; Atmospher Sci, Edmonton, AB T6G 2E3, Canada</t>
  </si>
  <si>
    <t>Carnegie Institution for Science; University of Illinois System; University of Illinois Urbana-Champaign; University of Alberta</t>
  </si>
  <si>
    <t>Alexander, CMO (corresponding author), Carnegie Inst Sci, Earth &amp; Planets Lab, 5241 Broad Branch Rd NW, Washington, DC 20015 USA.</t>
  </si>
  <si>
    <t>calexander@carnegiescience.edu; mjnilges@illinois.edu; gcody@carnegiescience.edu; herd@ualberta.ca</t>
  </si>
  <si>
    <t>Herd, Christopher/IYJ-9105-2023; Alexander, Conel M. O'D./N-7533-2013</t>
  </si>
  <si>
    <t>Alexander, Conel M. O'D./0000-0002-8558-1427</t>
  </si>
  <si>
    <t>NSF; NASA; NASA Astrobiology grant [NNA09DA81A]; NASA Cosmochemistry grant [NNX11AG67G]</t>
  </si>
  <si>
    <t>NSF(National Science Foundation (NSF)); NASA(National Aeronautics &amp; Space Administration (NASA)); NASA Astrobiology grant; NASA Cosmochemistry grant</t>
  </si>
  <si>
    <t>The authors are grateful to three anonymous reviewers whose comments and suggestions helped significantly improve this paper. For supplying the many samples, the authors would like to thank NASA's Johnson Space Center, the Meteorite Working Group, the British Museum of Natural History, the National Museum of Natural History in Washington D.C., the Center for Meteorite Studies at Arizona State University, and the University of Alberta Meteorite Collection. US Antarctic meteorite samples are recovered by the Antarctic Search for Meteorites (ANSMET) program, which has been funded by the NSF and NASA, and characterized and curated by the Department of Mineral Sciences of the Smithsonian Institution and the Astromaterials Curation Office at NASA Johnson Space Center. This work was partially funded by NASA Astrobiology grant NNA09DA81A (CA and GC) and NASA Cosmochemistry grant NNX11AG67G (CA).</t>
  </si>
  <si>
    <t>10.1016/j.gca.2021.10.007</t>
  </si>
  <si>
    <t>WX4JF</t>
  </si>
  <si>
    <t>WOS:000718563300009</t>
  </si>
  <si>
    <t>Zakharova, Y; Bashenkhaeva, M; Galachyants, Y; Petrova, D; Tomberg, I; Marchenkov, A; Kopyrina, L; Likhoshway, Y</t>
  </si>
  <si>
    <t>Zakharova, Yulia; Bashenkhaeva, Maria; Galachyants, Yuri; Petrova, Darya; Tomberg, Irina; Marchenkov, Artyom; Kopyrina, Liubov; Likhoshway, Yelena</t>
  </si>
  <si>
    <t>Variability of Microbial Communities in Two Long-Term Ice-Covered Freshwater Lakes in the Subarctic Region of Yakutia, Russia</t>
  </si>
  <si>
    <t>MICROBIAL ECOLOGY</t>
  </si>
  <si>
    <t>Subarctic freshwater lakes; Ice-covered period; Microbial communities; Cultivable bacteria; 16S rRNA sequences</t>
  </si>
  <si>
    <t>MARITIME ANTARCTIC LAKE; BACTERIAL COMMUNITIES; ULTRAOLIGOTROPHIC LAKE; NORTHERN-HEMISPHERE; SEASONAL-CHANGES; DIVERSITY; WINTER; COLD; MICROORGANISMS; ECOLOGY</t>
  </si>
  <si>
    <t>Although under-ice microbial communities are subject to a cold environment, low concentrations of nutrients, and a lack of light, they nevertheless take an active part in biogeochemical cycles. However, we still lack an understanding of how high their diversity is and how these communities are distributed during the long-term ice-cover period. Here, we assessed for the first time the composition and distribution of microbial communities during the ice-cover period in two subarctic lakes (Labynkyr and Vorota) located in the area of the lowest temperature in the Northern Hemisphere. The diversity distribution and abundance of main bacterial taxa as well as the composition of microalgae varied by time and habitat. The 16S rRNA gene sequencing method revealed, in general, a high diversity of bacterial communities where Proteobacteria (similar to 45%) and Actinobacteria (similar to 21%) prevailed. There were significant differences between the communities of the lakes: Chthoniobacteraceae, Moraxellaceae, and Pirellulaceae were abundant in Lake Labynkyr, while Cyanobiaceae, Oligoflexales, Ilumatobacteraceae, and Methylacidiphilaceae were more abundant in Lake Vorota. The most abundant families were evenly distributed in April, May, and June their contribution was different in different habitats. In April, Moraxellaceae and Ilumatobacteraceae were the most abundant in the water column, while Sphingomonadaceae was abundant both in water column and on the ice bottom. In May, the abundance of Comamonadaceae increased and reached the maximum in June, while Cyanobiaceae, Oxalobacteraceae, and Pirellulaceae followed. We found a correlation of the structure of bacterial communities with snow thickness, pH, N-min concentration, and conductivity. We isolated psychrophilic heterotrophic bacteria both from dominating and minor taxa of the communities studied. This allowed for specifying their ecological function in the under-ice communities. These findings will advance our knowledge of the under-ice microbial life.</t>
  </si>
  <si>
    <t>[Zakharova, Yulia; Bashenkhaeva, Maria; Galachyants, Yuri; Petrova, Darya; Tomberg, Irina; Marchenkov, Artyom; Likhoshway, Yelena] Russian Acad Sci, Limnol Inst, Siberian Branch, 3 Ulan Batorskaya St, Irkutsk 664033, Russia; [Kopyrina, Liubov] Russian Acad Sci, Inst Biol Problems Cryolithozone, Siberian Branch, 41 Lenin Ave, Yakutsk 677980, Russia</t>
  </si>
  <si>
    <t>Irkutsk Science Centre of the Russian Academy of Sciences; Russian Academy of Sciences; Limnological Institute SB RAS; Russian Academy of Sciences; Institute for Biological Problems of Cryolithozone</t>
  </si>
  <si>
    <t>Bashenkhaeva, M (corresponding author), Russian Acad Sci, Limnol Inst, Siberian Branch, 3 Ulan Batorskaya St, Irkutsk 664033, Russia.</t>
  </si>
  <si>
    <t>maria.bashenkhaeva@gmail.com</t>
  </si>
  <si>
    <t>Bashenkhaeva, Maria Victorovna/J-4640-2018; Galachyants, Yuri P/J-4633-2018; Likhoshway, Yelena V./J-4496-2018; Marchenkov, Artyom/J-4652-2018</t>
  </si>
  <si>
    <t>Likhoshway, Yelena V./0000-0002-2432-9260; Petrova, Darya/0000-0002-5594-504X; Kopyrina, Liubov Innokentievna/0000-0002-0374-3323; Marchenkov, Artyom/0000-0002-4820-9394</t>
  </si>
  <si>
    <t>State Assignments of the Institute for Biological Problems of Cryolithozone [0297-20210023, 21-121012190038-0]; Limnological Institute [0279-2021-0008, 121032300186-9]; Siberian Branch of the Russian Academy of Sciences</t>
  </si>
  <si>
    <t>State Assignments of the Institute for Biological Problems of Cryolithozone; Limnological Institute; Siberian Branch of the Russian Academy of Sciences(Russian Academy of Sciences)</t>
  </si>
  <si>
    <t>The work was supported by the State Assignments of the Institute for Biological Problems of Cryolithozone, (No. 0297-20210023, 21-121012190038-0; expeditions) and of the Limnological Institute (No. 0279-2021-0008, 121032300186-9; analysis) of the Siberian Branch of the Russian Academy of Sciences. The microscopy studies were done in the Electron Microscopy Center of the Shared Research Facilities Ultramicroanalysis of Limnological Institute (https ://www.lin.irk.ru/copp/).</t>
  </si>
  <si>
    <t>0095-3628</t>
  </si>
  <si>
    <t>1432-184X</t>
  </si>
  <si>
    <t>MICROB ECOL</t>
  </si>
  <si>
    <t>Microb. Ecol.</t>
  </si>
  <si>
    <t>10.1007/s00248-021-01912-7</t>
  </si>
  <si>
    <t>Ecology; Marine &amp; Freshwater Biology; Microbiology</t>
  </si>
  <si>
    <t>Environmental Sciences &amp; Ecology; Marine &amp; Freshwater Biology; Microbiology</t>
  </si>
  <si>
    <t>7B0SS</t>
  </si>
  <si>
    <t>WOS:000714999300001</t>
  </si>
  <si>
    <t>Tovar-Sánchez, A; Román, A; Roque-Atienza, D; Navarro, G</t>
  </si>
  <si>
    <t>Tovar-Sanchez, Antonio; Roman, Alejandro; Roque-Atienza, David; Navarro, Gabriel</t>
  </si>
  <si>
    <t>Applications of unmanned aerial vehicles in Antarctic environmental research</t>
  </si>
  <si>
    <t>DECEPTION ISLAND</t>
  </si>
  <si>
    <t>Antarctica plays a fundamental role in the Earth's climate, oceanic circulation and global ecosystem. It is a priority and a scientific challenge to understand its functioning and responses under different scenarios of global warming. However, extreme environmental conditions, seasonality and isolation hampers the efforts to achieve a comprehensive understanding of the physical, biological, chemical and geological processes taking place in Antarctica. Here we present unmanned aerial vehicles (UAVs) as feasible, rapid and accurate tools for environmental and wildlife research in Antarctica. UAV surveys were carried out on Deception Island (South Shetland Islands) using visible, multispectral and thermal sensors, and a water sampling device to develop precise thematic ecological maps, detect anomalous thermal zones, identify and census wildlife, build 3D images of geometrically complex geological formations, and sample dissolved chemicals (&lt; 0.22 mu m) waters from inaccessible or protected areas.</t>
  </si>
  <si>
    <t>[Tovar-Sanchez, Antonio; Roman, Alejandro; Roque-Atienza, David; Navarro, Gabriel] ICMAN CSIC, Inst Marine Sci Andalusia, Campus Rio San Pedro, Cadiz 11510, Spain</t>
  </si>
  <si>
    <t>Consejo Superior de Investigaciones Cientificas (CSIC); CSIC - Instituto de Ciencias Marinas de Andalucia (ICMAN)</t>
  </si>
  <si>
    <t>Tovar-Sánchez, A (corresponding author), ICMAN CSIC, Inst Marine Sci Andalusia, Campus Rio San Pedro, Cadiz 11510, Spain.</t>
  </si>
  <si>
    <t>a.tovar@csic.es</t>
  </si>
  <si>
    <t>Tovar-Sánchez, Antonio/B-8003-2010; Navarro, Gabriel/AAA-9528-2020; Román, Alejandro/IQX-1825-2023</t>
  </si>
  <si>
    <t>Navarro, Gabriel/0000-0002-8919-0060; Roman, Alejandro/0000-0002-8868-9302; Tovar-Sanchez, Antonio/0000-0003-4375-1982</t>
  </si>
  <si>
    <t>Spanish Government [RTI2018-098048-BI00, EQC2018-004275-P, EQC2019-005721]; Spanish FPU Grant [FPU19/04557]</t>
  </si>
  <si>
    <t>Spanish Government(Spanish Government); Spanish FPU Grant(Spanish Government)</t>
  </si>
  <si>
    <t>This research has been funded by the Spanish Government projects PiMetAn (ref. RTI2018-098048-BI00), EQC2018-004275-P and EQC2019-005721. A. Roman is supported by the Spanish FPU Grant (Ref: FPU19/04557). This research is part of the POLARCSIC research initiatives. We warmly thank the military staff of the Spanish Antarctic Base Gabriel de Castilla, the crew of the Sarmiento de Gamboa oceanographic vessel and the Marine Technology Unit (UTM-CSIC) for their logistic support, without which the XXXIV Spanish Antarctic campaign and this research would not have been possible. We also thank Antonio Moreno and Dronetools for their ongoing support with the UAV operations. We thank Martha B. Dunbar, from the Institute of Marine Science of Andalusia, Spanish National Research Council (ICMAN-CSIC), for the English language edits.</t>
  </si>
  <si>
    <t>NOV 5</t>
  </si>
  <si>
    <t>10.1038/s41598-021-01228-z</t>
  </si>
  <si>
    <t>WS1VT</t>
  </si>
  <si>
    <t>WOS:000714977900020</t>
  </si>
  <si>
    <t>McMahon, CR; Roquet, F; Baudel, S; Belbeoch, M; Bestley, S; Blight, C; Boehme, L; Carse, F; Costa, DP; Fedak, MA; Guinet, C; Harcourt, R; Heslop, E; Hindell, MA; Hoenner, X; Holland, K; Holland, M; Jaine, FRA; du Dot, TJ; Jonsen, I; Keates, TR; Kovacs, KM; Labrousse, S; Lovell, P; Lydersen, C; March, D; Mazloff, M; McKinzie, MK; Muelbert, MMC; O'Brien, K; Phillips, L; Portela, E; Pye, J; Rintoul, S; Sato, K; Sequeira, AMM; Simmons, SE; Tsontos, VM; Turpin, V; van Wijk, E; Vo, D; Wege, M; Whoriskey, FG; Wilson, K; Woodward, B</t>
  </si>
  <si>
    <t>McMahon, Clive R.; Roquet, Fabien; Baudel, Sophie; Belbeoch, Mathieu; Bestley, Sophie; Blight, Clint; Boehme, Lars; Carse, Fiona; Costa, Daniel P.; Fedak, Michael A.; Guinet, Christophe; Harcourt, Robert; Heslop, Emma; Hindell, Mark A.; Hoenner, Xavier; Holland, Kim; Holland, Mellinda; Jaine, Fabrice R. A.; du Dot, Tiphaine Jeanniard; Jonsen, Ian; Keates, Theresa R.; Kovacs, Kit M.; Labrousse, Sara; Lovell, Philip; Lydersen, Christian; March, David; Mazloff, Matthew; McKinzie, Megan K.; Muelbert, Monica M. C.; O'Brien, Kevin; Phillips, Lachlan; Portela, Esther; Pye, Jonathan; Rintoul, Stephen; Sato, Katsufumi; Sequeira, Ana M. M.; Simmons, Samantha E.; Tsontos, Vardis M.; Turpin, Victor; van Wijk, Esmee; Vo, Danny; Wege, Mia; Whoriskey, Frederick Gilbert; Wilson, Kenady; Woodward, Bill</t>
  </si>
  <si>
    <t>Animal Borne Ocean Sensors - AniBOS - An Essential Component of the Global Ocean Observing System</t>
  </si>
  <si>
    <t>animal behavior; climate change; Essential Ocean Variables (EOVs); marine animals; physical oceanography</t>
  </si>
  <si>
    <t>SOUTHERN ELEPHANT SEALS; FORAGING BEHAVIOR; MARINE MAMMALS; SATELLITE TRACKING; DIVING BEHAVIOR; ICE PRODUCTION; SHELF; TEMPERATURE; VARIABILITY; TELEMETRY</t>
  </si>
  <si>
    <t>Marine animals equipped with biological and physical electronic sensors have produced long-term data streams on key marine environmental variables, hydrography, animal behavior and ecology. These data are an essential component of the Global Ocean Observing System (GOOS). The Animal Borne Ocean Sensors (AniBOS) network aims to coordinate the long-term collection and delivery of marine data streams, providing a complementary capability to other GOOS networks that monitor Essential Ocean Variables (EOVs), essential climate variables (ECVs) and essential biodiversity variables (EBVs). AniBOS augments observations of temperature and salinity within the upper ocean, in areas that are under-sampled, providing information that is urgently needed for an improved understanding of climate and ocean variability and for forecasting. Additionally, measurements of chlorophyll fluorescence and dissolved oxygen concentrations are emerging. The observations AniBOS provides are used widely across the research, modeling and operational oceanographic communities. High latitude, shallow coastal shelves and tropical seas have historically been sampled poorly with traditional observing platforms for many reasons including sea ice presence, limited satellite coverage and logistical costs. Animal-borne sensors are helping to fill that gap by collecting and transmitting in near real time an average of 500 temperature-salinity-depth profiles per animal annually and, when instruments are recovered (similar to 30% of instruments deployed annually, n = 103 +/- 34), up to 1,000 profiles per month in these regions. Increased observations from under-sampled regions greatly improve the accuracy and confidence in estimates of ocean state and improve studies of climate variability by delivering data that refine climate prediction estimates at regional and global scales. The GOOS Observations Coordination Group (OCG) reviews, advises on and coordinates activities across the global ocean observing networks to strengthen the effective implementation of the system. AniBOS was formally recognized in 2020 as a GOOS network. This improves our ability to observe the ocean's structure and animals that live in them more comprehensively, concomitantly improving our understanding of global ocean and climate processes for societal benefit consistent with the UN Sustainability Goals 13 and 14: Climate and Life below Water. Working within the GOOS OCG framework ensures that AniBOS is an essential component of an integrated Global Ocean Observing System.</t>
  </si>
  <si>
    <t>[McMahon, Clive R.] Sydney Inst Marine Sci, IMOS Anim Tagging, Mosman, NSW, Australia; [Roquet, Fabien] Univ Gothenburg, Dept Marine Sci, Gothenburg, Sweden; [Baudel, Sophie] CLS, Ramonville St Agne, France; [Belbeoch, Mathieu; Turpin, Victor] OceanOPS, Plouzane, France; [Bestley, Sophie; Hindell, Mark A.] Univ Tasmania, Inst Marine &amp; Antarctic Studies, Hobart, Tas, Australia; [Bestley, Sophie; Hindell, Mark A.; van Wijk, Esmee] Univ Tasmania, Inst Marine &amp; Antarctic Studies, Australian Antarctic Program Partnership, Hobart, Tas, Australia; [Blight, Clint; Fedak, Michael A.; Lovell, Philip] Univ St Andrews, Sea Mammal Res Unit SMRU Instrumentat, Scottish Oceans Inst, St Andrews, Fife, Scotland; [Boehme, Lars] Scottish Oceans Inst, St Andrews, Fife, Scotland; [Carse, Fiona] Met Off, Exeter, Devon, England; [Costa, Daniel P.] Univ Calif Santa Cruz, Dept Ecol &amp; Evolutionary Biol, Santa Cruz, CA USA; [Guinet, Christophe; du Dot, Tiphaine Jeanniard] La Rochelle Univ, Ctr Etud Biokigiqtes ChN UMR 7372, CNRS, Villiers En Bois, France; [Harcourt, Robert; Jaine, Fabrice R. A.; Jonsen, Ian] Macquarie Univ, Dept Biol Sci, N Ryde, NSW, Australia; [Heslop, Emma] UNESCO, Global Ocean Observing Syst GOOS, Intergovt Oceanog Commiss IOC, Paris, France; [Hoenner, Xavier; Rintoul, Stephen; van Wijk, Esmee] CSIRO, CSIRO Oceans &amp; Atmosphere, Hobart, Tas, Australia; [Holland, Kim] Univ Hawaii Manoa, Hawaii Inst Marine Biol, Honolulu, HI USA; [Holland, Mellinda; Vo, Danny; Wilson, Kenady] Wildlife Comp, Redmond, WA USA; [Jaine, Fabrice R. A.] Sydney Inst Marine Sci, Integrated Marine Observing Syst IMOS Anim Tracki, Mosman, NSW, Australia; [Keates, Theresa R.] Univ Calif Santa Cruz, Dept Ocean Sci, Santa Cruz, CA USA; [Kovacs, Kit M.; Lydersen, Christian] Norwegian Polar Res Inst, Fram Ctr, Tromso, Norway; [Labrousse, Sara] Sorbonne Univ, UPMC Univ, Paris, France; [March, David] Univ Exeter, Coll Life &amp; Environm Sci, Ctr Ecol &amp; Conservat, Penryn, England; [March, David] Univ Barcelona, Fac Biol, Dept Biol Evolut Ecol &amp; Ciencies Ambientals, Barcelona, Spain; [March, David] Univ Barcelona, Fac Biol, Inst Recerca Biodiversitat IRBio, Barcelona, Spain; [Mazloff, Matthew] Univ Calif San Diego, Scripps Inst Oceanog, CASPO, La Jolla, CA USA; [McKinzie, Megan K.] Monterey Bay Aquarium Res Inst MBARI, Moss Landing, CA USA; [McKinzie, Megan K.; Woodward, Bill] US Integrated Ocean Observing Syst, Silver Spring, MD USA; [Muelbert, Monica M. C.] Univ Fed Sao Paulo, Inst Mar, Santos, SP, Brazil; [O'Brien, Kevin] Univ Washington, Cooperat Inst Climate Ocean &amp; Ecosyst Studies, Seattle, WA USA; [O'Brien, Kevin] Pacific Marine Environm Lab, Seattle, WA USA; [Portela, Esther] Univ Brest, CNRS, Lab Oceanog Phys &amp; Spatiale LOPS, IRD,Ifremer, Piouzane, France; [Pye, Jonathan; Whoriskey, Frederick Gilbert] Dalhousie Univ, Ocean Tracking Network, Halifax, NS, Canada; [Rintoul, Stephen] Ctr Southern Hemisphere Oceans Res, Hobart, Tas, Australia; [Phillips, Lachlan; Sato, Katsufumi] Univ Tokyo, Atmosphere &amp; Ocean Res Inst, Kashiwa, Chiba, Japan; [Sequeira, Ana M. M.] Univ Western Australia, Oceans Inst, Crawley, WA, Australia; [Sequeira, Ana M. M.] Univ Western Australia, Sch Biol Sci, Crawley, WA, Australia; [Simmons, Samantha E.] US Marine Mammal Commiss, Bethesda, MD USA; [Tsontos, Vardis M.] CALTECH, NASA Jet Prop Lab, Pasadena, CA USA; [Wege, Mia] Univ Pretoria, Dept Zool &amp; Entomol, Hatfield, South Africa</t>
  </si>
  <si>
    <t>Sydney Institute of Marine Science; University of Gothenburg; University of Tasmania; University of Tasmania; University of St Andrews; University of St Andrews; Met Office - UK; University of California System; University of California Santa Cruz; Centre National de la Recherche Scientifique (CNRS); Macquarie University; Commonwealth Scientific &amp; Industrial Research Organisation (CSIRO); University of Hawaii System; University of Hawaii Manoa; Sydney Institute of Marine Science; University of California System; University of California Santa Cruz; Norwegian Polar Institute; Sorbonne Universite; University of Exeter; University of Barcelona; University of Barcelona; University of California System; University of California San Diego; Scripps Institution of Oceanography; Monterey Bay Aquarium Research Institute; Universidade Federal de Sao Paulo (UNIFESP); University of Washington; University of Washington Seattle; National Oceanic Atmospheric Admin (NOAA) - USA; Universite de Bretagne Occidentale; Institut de Recherche pour le Developpement (IRD); Ifremer; Centre National de la Recherche Scientifique (CNRS); Dalhousie University; University of Tokyo; University of Western Australia; University of Western Australia; National Aeronautics &amp; Space Administration (NASA); NASA Jet Propulsion Laboratory (JPL); California Institute of Technology; University of Pretoria</t>
  </si>
  <si>
    <t>McMahon, CR (corresponding author), Sydney Inst Marine Sci, IMOS Anim Tagging, Mosman, NSW, Australia.</t>
  </si>
  <si>
    <t>clive.mcmahon@utas.edu.au</t>
  </si>
  <si>
    <t>March, David/G-6489-2014; McMahon, Clive R/D-5713-2013; Jaine, Fabrice/D-1622-2016; Sequeira, Ana M M/AAE-9741-2021; Holland, Kim/ABH-1490-2021; Hindell, Mark A/K-1131-2013; Wege, Mia/B-1103-2016; Hoenner, Xavier/N-7422-2014; Boehme, Lars/B-6567-2009; Fedak, Michael/B-3987-2009</t>
  </si>
  <si>
    <t>March, David/0000-0002-6118-761X; McMahon, Clive R/0000-0001-5241-8917; Jaine, Fabrice/0000-0002-9304-5034; Sequeira, Ana M M/0000-0001-6906-799X; Wege, Mia/0000-0002-9022-3069; Blight, Clint/0000-0002-3481-7428; Hoenner, Xavier/0000-0001-5811-1166; van Wijk, Esmee/0000-0002-9375-4383; Jeanniard-du-Dot, Tiphaine/0000-0003-1985-8325; Carse, Fiona/0000-0002-7556-2046; Labrousse, Sara/0000-0002-8099-3254; TSONTOS, Vardis Maximilian/0000-0002-1723-0860; Harcourt, Robert/0000-0003-4666-2934; Boehme, Lars/0000-0003-3513-6816; O'Brien, Kevin/0000-0003-4167-3028; Fedak, Michael/0000-0002-9569-1128; Jonsen, Ian/0000-0001-5423-6076</t>
  </si>
  <si>
    <t>NERC [NE/P021379/1, NE/S006591/1, NE/P005721/1] Funding Source: UKRI</t>
  </si>
  <si>
    <t>10.3389/fmars.2021.751840</t>
  </si>
  <si>
    <t>XC0SH</t>
  </si>
  <si>
    <t>WOS:000721730600001</t>
  </si>
  <si>
    <t>Cherbunina, MY; Karaevskaya, ES; Vasil'chuk, YK; Tananaev, NI; Shmelev, DG; Budantseva, NA; Merkel, AY; Rakitin, AL; Mardanov, AV; Brouchkov, AV; Bulat, SA</t>
  </si>
  <si>
    <t>Cherbunina, M. Yu; Karaevskaya, E. S.; Vasil'chuk, Yu K.; Tananaev, N., I; Shmelev, D. G.; Budantseva, N. A.; Merkel, A. Y.; Rakitin, A. L.; Mardanov, A., V; Brouchkov, A., V; Bulat, S. A.</t>
  </si>
  <si>
    <t>Microbial and Geochemical Evidence of Permafrost Formation at Mamontova Gora and Syrdakh, Central Yakutia</t>
  </si>
  <si>
    <t>ice comlex; yedoma; Central Yakutia; microbial community; stable water isotopes; hydrochemistry; ancient DNA</t>
  </si>
  <si>
    <t>HOLOCENE ICE WEDGES; STABLE WATER ISOTOPES; EASTERN SIBERIA; ANCIENT PERMAFROST; CLIMATE-CHANGE; LYAKHOVSKY ISLAND; NORTHEAST SIBERIA; LATE PLEISTOCENE; LAPTEV SEA; DYNAMICS</t>
  </si>
  <si>
    <t>Biotracers marking the geologic history and permafrost evolution in Central Yakutia, including Yedoma Ice Complex (IC) deposits, were identified in a multiproxy analysis of water chemistry, isotopic signatures, and microbial datasets. The key study sections were the Mamontova Gora and Syrdakh exposures, well covered in the literature. In the Mamontova Gora section, two distinct IC strata with massive ice wedges were described and sampled, the upper and lower IC strata, while previously published studies focused only on the lower IC horizon. Our results suggest that these two IC horizons differ in water origin of wedge ice and in their cryogenic evolution, evidenced by the differences in their chemistry, water isotopic signatures and the microbial community compositions. Microbial community similarity between ground ice and host deposits is shown to be a proxy for syngenetic deposition and freezing. High community similarity indicates syngenetic formation of ice wedges and host deposits of the lower IC horizon at the Mamontova Gora exposure. The upper IC horizon in this exposure has much lower similarity metrics between ice wedge and host sediments, and we suggest epigenetic ice wedge development in this stratum. We found a certain correspondence between the water origin and the degree of evaporative transformation in ice wedges and the microbial community composition, notably, the presence of Chloroflexia bacteria, represented by Gitt-GS-136 and KD4-96 classes. These bacteria are absent at the ice wedges of lower IC stratum at Mamontova Gora originating from snowmelt, but are abundant in the Syrdakh ice wedges, where the meltwater underwent evaporative isotopical fractionation. Minor evaporative transformation of water in the upper IC horizon of Mamontova Gora, whose ice wedges formed by meltwater that was additionally fractionated corresponds with moderate abundance of these classes in its bacterial community.</t>
  </si>
  <si>
    <t>[Cherbunina, M. Yu; Shmelev, D. G.; Brouchkov, A., V] Lomonosov Moscow State Univ, Fac Geol, Moscow, Russia; [Karaevskaya, E. S.] Arctic &amp; Antarctic Res Inst AARI, St Petersburg, Russia; [Vasil'chuk, Yu K.; Budantseva, N. A.] Lomonosov Moscow State Univ, Fac Geog, Moscow, Russia; [Tananaev, N., I] Russian Acad Sci, Siberian Branch, Melnikov Permafrost Inst, Yakutsk, Russia; [Merkel, A. Y.] Russian Acad Sci, Res Ctr Biotechnol, Winogradsky Inst Microbiol, Moscow, Russia; [Rakitin, A. L.; Mardanov, A., V] Russian Acad Sci, Res Ctr Biotechnol, Inst Bioengn, Moscow, Russia; [Bulat, S. A.] Kurchatov Inst, Petersburg Nucl Phys Inst, Gatchina, Russia; [Bulat, S. A.] Ural Fed Univ, Inst Phys &amp; Technol, Ekaterinburg, Russia</t>
  </si>
  <si>
    <t>Lomonosov Moscow State University; Arctic &amp; Antarctic Research Institute; Lomonosov Moscow State University; Melnikov Permafrost Institute, Siberian Branch of the RAS; Russian Academy of Sciences; Research Center of Biotechnology RAS; Russian Academy of Sciences; Russian Academy of Sciences; Research Center of Biotechnology RAS; National Research Centre - Kurchatov Institute; Petersburg Nuclear Physics Institute; Ural Federal University</t>
  </si>
  <si>
    <t>Cherbunina, MY (corresponding author), Lomonosov Moscow State Univ, Fac Geol, Moscow, Russia.</t>
  </si>
  <si>
    <t>cherbuninamariya@gmail.com</t>
  </si>
  <si>
    <t>Merkel, Alexander/AAG-7908-2019; Tananaev, Nikita/J-3471-2012; Brouchkov, Anatoli/AAZ-1509-2020; Rakitin, Andrey/F-8148-2016; Mardanov, Andrey/S-2294-2016</t>
  </si>
  <si>
    <t>Merkel, Alexander/0000-0002-6089-9500; Tananaev, Nikita/0000-0003-2997-0169; Rakitin, Andrey/0000-0002-9178-6912; Mardanov, Andrey/0000-0002-8245-8757</t>
  </si>
  <si>
    <t>10.3389/feart.2021.739365</t>
  </si>
  <si>
    <t>XB0VK</t>
  </si>
  <si>
    <t>WOS:000721054200001</t>
  </si>
  <si>
    <t>Yang, J; Xiao, CD; Liu, JP; Li, ST; Qin, DH</t>
  </si>
  <si>
    <t>Yang, Jiao; Xiao, Cunde; Liu, Jiping; Li, Shutong; Qin, Dahe</t>
  </si>
  <si>
    <t>Variability of Antarctic sea ice extent over the past 200 years</t>
  </si>
  <si>
    <t>SCIENCE BULLETIN</t>
  </si>
  <si>
    <t>Antarctic; Sea ice; Ice core; Southern Annular Mode; Interdecadal Pacific Oscillation</t>
  </si>
  <si>
    <t>SOUTHERN ANNULAR MODE; METHANESULFONIC-ACID; OCEAN; CLIMATE; TRENDS; CORE; DRIVERS; IMPACTS; DECLINE; RECORD</t>
  </si>
  <si>
    <t>While Arctic sea ice has been decreasing in recent decades that is largely due to anthropogenic forcing, the extent of Antarctic sea ice showed a positive trend during 1979-2015, followed by an abrupt decrease. The shortness of the satellite record limits our ability to quantify the possible contribution of anthropogenic forcing and internal variability to the observed Antarctic sea ice variability. In this study, ice core and fast ice records with annual resolution from six sites are used to reconstruct the annualresolved northernmost latitude of sea ice edge (NLSIE) for different sectors of the Southern Ocean, including the Weddell Sea (WS), Bellingshausen Sea (BS), Amundsen Sea (AS), Ross Sea (RS), and the Indian and western Pacific Ocean (IndWPac). The linear trends of the NLSIE are analyzed for each sector for the past 100-200 years and found to be -0.08 degrees, -0.17 degrees, +0.07 degrees, +0.02 degrees, and -0.03 degrees per decade (&gt;95% confidence level) for the WS, BS, AS, RS, and IndWPac, respectively. For the entire Antarctic, our composite NLSIE shows a decreasing trend (-0.03 degrees per decade, 99% confidence level) during the 20th century, with a rapid decline in the mid-1950s. It was not until the early 1980s that the observed increasing trend occurred. A comparison with major climate indices shows that the long-term linear trends in all five sectors are largely dominated by the changes in the Southern Annular Mode (SAM). The multi-decadal variability in WS, BS, and AS is dominated by the Interdecadal Pacific Oscillation, whereas that in the IndWPac and RS is dominated by the SAM. (c) 2021 Science China Press. Published by Elsevier B.V. and Science China Press. All rights reserved.</t>
  </si>
  <si>
    <t>[Yang, Jiao; Li, Shutong; Qin, Dahe] Chinese Acad Sci, Northwest Inst Ecoenvironm &amp; Resources, State Key Lab Cryospher Sci, Lanzhou 730000, Peoples R China; [Xiao, Cunde] Beijing Normal Univ, State Key Lab Earth Surface Proc &amp; Resource Ecol, Beijing 100875, Peoples R China; [Liu, Jiping] SUNY Albany, Dept Atmospher &amp; Environm Sci, Albany, NY 12222 USA; [Li, Shutong] Univ Chinese Acad Sci, Coll Resources &amp; Environm, Beijing 100049, Peoples R China</t>
  </si>
  <si>
    <t>Chinese Academy of Sciences; Beijing Normal University; State University of New York (SUNY) System; State University of New York (SUNY) Albany; Chinese Academy of Sciences; University of Chinese Academy of Sciences, CAS</t>
  </si>
  <si>
    <t>Qin, DH (corresponding author), Chinese Acad Sci, Northwest Inst Ecoenvironm &amp; Resources, State Key Lab Cryospher Sci, Lanzhou 730000, Peoples R China.;Xiao, CD (corresponding author), Beijing Normal Univ, State Key Lab Earth Surface Proc &amp; Resource Ecol, Beijing 100875, Peoples R China.</t>
  </si>
  <si>
    <t>cdxiao@bnu.edu.cn; qdh@cma.gov.cn</t>
  </si>
  <si>
    <t>Yang, Jiao/JTV-6688-2023</t>
  </si>
  <si>
    <t>Strategic Priority Research Program of the Chinese Academy of Sciences [XDA19070103]; National Key Research &amp; Development Program of China [2018YFA0605901]; State Key Laboratory of Cryospheric Science [SKLCS-ZZ-2021]; National Natural Science Foundation of China [42071086, 41425003, 41941009]</t>
  </si>
  <si>
    <t>Strategic Priority Research Program of the Chinese Academy of Sciences(Chinese Academy of Sciences); National Key Research &amp; Development Program of China; State Key Laboratory of Cryospheric Science; National Natural Science Foundation of China(National Natural Science Foundation of China (NSFC))</t>
  </si>
  <si>
    <t>This work was supported by the Strategic Priority Research Program of the Chinese Academy of Sciences (XDA19070103) , the National Key Research &amp; Development Program of China (2018YFA0605901) , the State Key Laboratory of Cryospheric Science (SKLCS-ZZ-2021) , and the National Natural Science Foundation of China (42071086, 41425003, 41941009) . The authors are indebted to Elizabeth R. Thomas from British Antarctic Survey and Mark Curran from University of Tasmania for providing the Ferrigno and Law Dome MSA data. We gratefully acknowledge the other contributors who supplied the proxy data used in this study.</t>
  </si>
  <si>
    <t>2095-9273</t>
  </si>
  <si>
    <t>2095-9281</t>
  </si>
  <si>
    <t>SCI BULL</t>
  </si>
  <si>
    <t>Sci. Bull.</t>
  </si>
  <si>
    <t>10.1016/j.scib.2021.07.028</t>
  </si>
  <si>
    <t>WW4SG</t>
  </si>
  <si>
    <t>WOS:000717907700010</t>
  </si>
  <si>
    <t>Bradley, AT; Hewitt, IJ; Vella, D</t>
  </si>
  <si>
    <t>Bradley, Alexander T.; Hewitt, Ian J.; Vella, Dominic</t>
  </si>
  <si>
    <t>Droplet trapping in bendotaxis caused by contact angle hysteresis</t>
  </si>
  <si>
    <t>PHYSICAL REVIEW FLUIDS</t>
  </si>
  <si>
    <t>SURFACES; BUBBLES</t>
  </si>
  <si>
    <t>Passive droplet transport mechanisms, in which continuous external energy input is not required for motion, have received significant attention in recent years. Experimental studies of such mechanisms often ignore, or use careful treatments to minimize, contact angle hysteresis, which can impede droplet motion, or even arrest it completely. Here, we consider the effect of contact angle hysteresis on bendotaxis, a mechanism in which droplets spontaneously deform an elastic channel via capillary pressure and thereby move. We seek to understand when contact angle hysteresis prevents bendotaxis. We supplement a previous mathematical model of the dynamics of bendotaxis with a simple model of contact angle hysteresis, and show that this model predicts droplet trapping when hysteresis is sufficiently strong. By identifying the equilibrium configurations adopted by these trapped droplets and assessing their linear stability, we uncover a sensitive dependence of bendotaxis on contact angle hysteresis and develop criteria to describe when droplets will be trapped.</t>
  </si>
  <si>
    <t>[Bradley, Alexander T.; Hewitt, Ian J.; Vella, Dominic] Univ Oxford, Math Inst, Woodstock Rd, Oxford OX2 6GG, England; [Bradley, Alexander T.] British Antarctic Survey, Cambridge, England</t>
  </si>
  <si>
    <t>University of Oxford; UK Research &amp; Innovation (UKRI); Natural Environment Research Council (NERC); NERC British Antarctic Survey</t>
  </si>
  <si>
    <t>Vella, D (corresponding author), Univ Oxford, Math Inst, Woodstock Rd, Oxford OX2 6GG, England.</t>
  </si>
  <si>
    <t>dominic.vella@maths.ox.ac.uk</t>
  </si>
  <si>
    <t>Bradley, Alex/GRO-6619-2022; Vella, Dominic/A-9070-2008</t>
  </si>
  <si>
    <t>Hewitt, Ian/0000-0002-9167-6481; Bradley, Alexander/0000-0001-8381-5317</t>
  </si>
  <si>
    <t>European Research Council (ERC) under the European Union [637334]; Leverhulme Trust</t>
  </si>
  <si>
    <t>European Research Council (ERC) under the European Union(European Research Council (ERC)); Leverhulme Trust(Leverhulme Trust)</t>
  </si>
  <si>
    <t>This publication is based in part upon work supported by the European Research Council (ERC) under the European Union's Horizon 2020 research and innovation program (Grant agreement No. 637334, GADGET to D.V.) , and the Leverhulme Trust (D.V.) .</t>
  </si>
  <si>
    <t>2469-990X</t>
  </si>
  <si>
    <t>PHYS REV FLUIDS</t>
  </si>
  <si>
    <t>Phys. Rev. Fluids</t>
  </si>
  <si>
    <t>10.1103/PhysRevFluids.6.114003</t>
  </si>
  <si>
    <t>Physics, Fluids &amp; Plasmas</t>
  </si>
  <si>
    <t>Physics</t>
  </si>
  <si>
    <t>WW7XI</t>
  </si>
  <si>
    <t>Green Submitted, Green Published</t>
  </si>
  <si>
    <t>WOS:000718124000001</t>
  </si>
  <si>
    <t>Giribet, G; Sheridan, K; Baker, CM; Painting, C; Holwelle, GI; Sirvid, PJ; Hormiga, G</t>
  </si>
  <si>
    <t>Giribet, Gonzalo; Sheridan, Kate; Baker, Caitlin M.; Painting, Christina; Holwelle, Gregory, I; Sirvid, Phil J.; Hormiga, Gustavo</t>
  </si>
  <si>
    <t>A molecular phylogeny of the circum-Antarctic Opiliones family Neopilionidae</t>
  </si>
  <si>
    <t>INVERTEBRATE SYSTEMATICS</t>
  </si>
  <si>
    <t>Australia; biogeography; Enantiobuninae; Eupnoi; Gondwana; New Caledonia; New Zealand; Oligocene drowning; South America; vicariance; Zealandia</t>
  </si>
  <si>
    <t>HARVESTMEN ARACHNIDA OPILIONES; MULTIPLE SEQUENCE ALIGNMENT; NEW-ZEALAND; NEW-CALEDONIA; MONOSCUTIDAE ARACHNIDA; ORDER OPILIONES; 1ST RECORD; IQ-TREE; GENUS; CYPHOPHTHALMI</t>
  </si>
  <si>
    <t>The Opiliones family Neopilionidac is restricted to the terranes of the former temperate Gondwana: South America, Africa, Australia, New Caledonia and New Zealand. Despite decades of morphological study of this unique fauna, it has been difficult reconciling the classic species of the group (some described over a century ago) with recent cladistic morphological work and previous molecular work. Here we attempted to investigate the pattern and timing of diversification of Neopilionidae by sampling across the distribution range of the family and sequencing three markers commonly used in Sanger-based approaches (18S rRNA, 28S rRNA and cytochrome-c oxidase subunit I). We recovered a well-supported and stable Glade including Ballarra (an Australian ballarrine) and the Enantiobuninae from South America, Australia, New Caledonia and New Zealand, but excluding Vibone (a ballarrine from South Africa). We further found a division between West and East Gondwana, with the South American Thrasychirus/Thrasvchiroides always being sister group to an Australian-Zealandian (i.e. Australia + New Zealand + New Caledonia) Glade. Resolution of the Australian-Zealandian taxa was analysis-dependent, but some analyses found Martensopsalis, from New Caledonia, as the sister group to an Australian New Zealand Glade. Likewise, the species from New Zealand formed a Glade in some analyses, but Mangatangi often came out as a separate lineage from the remaining species. However, the Australian taxa never constituted a monophyletic group, with Ballarra always segregating from the remaining Australian species, which in turn constituted 1-3 clades, depending on the analysis. Our results identify several generic inconsistencies, including the possibility of Thrasychiroides nested within Thrasychirus, Forsteropsalis being paraphyletic with respect to Pantopsalis, and multiple lineages of Megalopsalis in Australia. In addition, the New Zealand Megalopsalis need generic reassignment: Megalopsalis triascuta will require its own genus and M. turneri is here transferred to Forsteropsalis, as Forsteropsalis turneri (Marples, 1944), comb. nov.</t>
  </si>
  <si>
    <t>[Giribet, Gonzalo; Sheridan, Kate; Baker, Caitlin M.] Harvard Univ, Museum Comparat Zool, Dept Organism &amp; Evolutionary Biol, 26 Oxford St, Cambridge, MA 02138 USA; [Painting, Christina] Univ Waikato, Te Aka Matuatua Sch Sci, Hamilton 3261, New Zealand; [Holwelle, Gregory, I] Univ Auckland, Sch Biol Sci, Auckland 1010, New Zealand; [Sirvid, Phil J.] Museum New Zealand Papa Tongarewa, POB 467, Wellington 6140, New Zealand; [Hormiga, Gustavo] George Washington Univ, Dept Biol, Bell Hall,2029 G St NW, Washington, DC 20052 USA; [Baker, Caitlin M.] Univ Madison Wisconsin, Dept Integrat Biol, 430 Lincoln Dr, Madison, WI 53706 USA</t>
  </si>
  <si>
    <t>Harvard University; University of Waikato; University of Auckland; George Washington University</t>
  </si>
  <si>
    <t>Giribet, G (corresponding author), Harvard Univ, Museum Comparat Zool, Dept Organism &amp; Evolutionary Biol, 26 Oxford St, Cambridge, MA 02138 USA.</t>
  </si>
  <si>
    <t>ggiribet@g.harvard.edu</t>
  </si>
  <si>
    <t>Painting, Chrissie/IXN-5718-2023; Giribet, Gonzalo/P-1086-2015</t>
  </si>
  <si>
    <t>Giribet, Gonzalo/0000-0002-5467-8429; Sheridan, Kate/0000-0001-5065-3956; Sirvid, Phil/0000-0003-1501-6534; Hormiga, Gustavo/0000-0002-0046-1822; Baker, Caitlin/0000-0002-9782-4959; Painting, Christina/0000-0003-0701-2648</t>
  </si>
  <si>
    <t>MCZ; NSF [DEB-1754278, DEB-1457539, DEB-1754289]; Marsden grant [15-UOA- 241]</t>
  </si>
  <si>
    <t>MCZ; NSF(National Science Foundation (NSF)); Marsden grant(Royal Society of New ZealandMarsden Fund (NZ))</t>
  </si>
  <si>
    <t>Field work to New Zealand was funded by multiple Putnam Expedition Grants from the MCZ to G. Giribet. Field work to Chile in 2014 and to New Caledonia in 2018 was funded by a Putnam Expedition Grant from the MCZ to G. Giribet and C. M. Baker respectively. This research was supported by NSF Grants DEB-1754278 and DEB-1457539 to G. Giribet and DEB-1754289 to G. Hormiga. G. I. Holwell and C. J. Painting were supported by a Marsden grant (15-UOA- 241).</t>
  </si>
  <si>
    <t>1445-5226</t>
  </si>
  <si>
    <t>1447-2600</t>
  </si>
  <si>
    <t>INVERTEBR SYST</t>
  </si>
  <si>
    <t>Invertebr. Syst.</t>
  </si>
  <si>
    <t>10.1071/IS21012</t>
  </si>
  <si>
    <t>Evolutionary Biology; Zoology</t>
  </si>
  <si>
    <t>XO8NK</t>
  </si>
  <si>
    <t>WOS:000714556200001</t>
  </si>
  <si>
    <t>Li, L; Luo, YM; Kienast, M; Qi, D; Tjiputra, J</t>
  </si>
  <si>
    <t>Li, Lan; Luo, Yiming; Kienast, Markus; Qi, Di; Tjiputra, Jerry</t>
  </si>
  <si>
    <t>On the sedimentary carbonate accumulation and dissolution in Western Pacific marginal basins</t>
  </si>
  <si>
    <t>SOUTH-CHINA-SEA; OCEAN BIOGEOCHEMISTRY; EAST/JAPAN SEA; CIRCULATION; SYSTEM; SHELF; RATES; CO2; PALEOCEANOGRAPHY; PHYTOPLANKTON</t>
  </si>
  <si>
    <t>The critical role of marginal seas in the global carbon cycle and their response to climate and circulation changes are not well understood. In this study, we used long-term archives of sedimentary CaCO3 data and a conceptual model to systematically determine the spatial and vertical features of the sediment carbonate system in the marginal seas along the Western Pacific Ocean. Our results show that the northward-flowing Antarctic Bottom Water and Lower Circumpolar Deep Water produced shallower calcium carbonate preservation depths as they moved north and became more carbonate-undersaturated. This suggests that the carbonate chemistry in the deep Western Pacific marginal sea basins is mostly governed by the global ocean thermohaline circulation. In contrast, the carbonate system in the deep Japan/East Sea is unique, with limited sedimentary carbonate accumulation due to weak calcification and its internal overturning circulation. Despite differences in the hydrological and ecological settings, the sedimentary calcium carbonate profiles in the Tasman Sea and South Fiji Basin are comparable to those in the Atlantic and Pacific Oceans, reflecting the remarkable influence of open-ocean carbonate chemistry.</t>
  </si>
  <si>
    <t>[Li, Lan; Luo, Yiming] Sun Yat Sen Univ, Sch Marine Sci, Zhuhai, Guangdong, Peoples R China; [Li, Lan; Luo, Yiming] Southern Marine Sci &amp; Engn Guangdong Lab, Zhuhai, Guangdong, Peoples R China; [Luo, Yiming] Guangdong Prov Key Lab Marine Resources &amp; Coastal, Guangzhou, Peoples R China; [Kienast, Markus] Dalhousie Univ, Dept Oceanog, Halifax, NS, Canada; [Qi, Di] Jimei Univ, Coll Harbor &amp; Coastal Engn, Polar &amp; Marine Res Inst, Xiamen, Peoples R China; [Tjiputra, Jerry] NORCE Climate, Bergen, Norway; [Tjiputra, Jerry] Bjerknes Ctr Climate Res, Bergen, Norway</t>
  </si>
  <si>
    <t>Sun Yat Sen University; Southern Marine Science &amp; Engineering Guangdong Laboratory; Sun Yat Sen University; Dalhousie University; Jimei University; Norwegian Research Centre (NORCE); Bjerknes Centre for Climate Research</t>
  </si>
  <si>
    <t>Luo, YM (corresponding author), Sun Yat Sen Univ, Sch Marine Sci, Zhuhai, Guangdong, Peoples R China.;Luo, YM (corresponding author), Southern Marine Sci &amp; Engn Guangdong Lab, Zhuhai, Guangdong, Peoples R China.;Luo, YM (corresponding author), Guangdong Prov Key Lab Marine Resources &amp; Coastal, Guangzhou, Peoples R China.</t>
  </si>
  <si>
    <t>Tjiputra, Jerry/AAB-5896-2022</t>
  </si>
  <si>
    <t>luo, yiming/0000-0003-2792-0678; Tjiputra, Jerry/0000-0002-4600-2453</t>
  </si>
  <si>
    <t>National Science Foundation of China [42006006, 41976031, 41976192, 41706205]; National Key Research and Development Program of China [2019YFE0114800]; China Postdoctoral Science Foundation [2019M653149]; Guangdong Basic and Applied Basic Research Foundation [2020A1515010503]; Open Foundation of Key Laboratory of Global Change and Marine-Atmospheric Chemistry, MNR [GCMAC1803, GCMAC1906]; Innovation Group Project of Southern Marine Science and Engineering Guangdong Laboratory (Zhuhai) [311020005]; State Key Laboratory of Marine Geology, Tongji University [VF201810, MGK1908]; Open Foundation of Key Laboratory of Submarine Geosciences, MNR [KLSG1904]; Research Council of Norway [275268]</t>
  </si>
  <si>
    <t>National Science Foundation of China(National Natural Science Foundation of China (NSFC)); National Key Research and Development Program of China; China Postdoctoral Science Foundation(China Postdoctoral Science Foundation); Guangdong Basic and Applied Basic Research Foundation; Open Foundation of Key Laboratory of Global Change and Marine-Atmospheric Chemistry, MNR; Innovation Group Project of Southern Marine Science and Engineering Guangdong Laboratory (Zhuhai); State Key Laboratory of Marine Geology, Tongji University; Open Foundation of Key Laboratory of Submarine Geosciences, MNR; Research Council of Norway(Research Council of Norway)</t>
  </si>
  <si>
    <t>This research was supported by the National Science Foundation of China (42006006, 41976031, 41976192, and 41706205), National Key Research and Development Program of China (2019YFE0114800), China Postdoctoral Science Foundation (2019M653149), Guangdong Basic and Applied Basic Research Foundation (2020A1515010503), grant from the Open Foundation of Key Laboratory of Global Change and Marine-Atmospheric Chemistry, MNR (GCMAC1803 and GCMAC1906), and the Innovation Group Project of Southern Marine Science and Engineering Guangdong Laboratory (Zhuhai) (311020005). Y.L. acknowledges support from the State Key Laboratory of Marine Geology, Tongji University (VF201810 and MGK1908), and grant from the Open Foundation of Key Laboratory of Submarine Geosciences, MNR (KLSG1904). J.T. acknowledges support from the Research Council of Norway (Project No. 275268).</t>
  </si>
  <si>
    <t>10.1002/lno.11972</t>
  </si>
  <si>
    <t>WOS:000714538300001</t>
  </si>
  <si>
    <t>Heaton, TJ; Bard, E; Ramsey, CB; Butzin, M; Köhler, P; Muscheler, R; Reimer, PJ; Wacker, L</t>
  </si>
  <si>
    <t>Heaton, T. J.; Bard, E.; Ramsey, C. Bronk; Butzin, M.; Koehler, P.; Muscheler, R.; Reimer, P. J.; Wacker, L.</t>
  </si>
  <si>
    <t>Radiocarbon: A key tracer for studying Earth's dynamo, climate system, carbon cycle, and Sun</t>
  </si>
  <si>
    <t>SCIENCE</t>
  </si>
  <si>
    <t>GEOMAGNETIC-FIELD INTENSITY; CORE WD2014 CHRONOLOGY; GREENLAND ICE-CORE; LAST 60,000 YEARS; ANTARCTIC ICE; SOLAR IRRADIANCE; MAGNETIC-FIELD; MULTI-PROXY; TREE-RINGS; C-14</t>
  </si>
  <si>
    <t>Radiocarbon (C-14), as a consequence of its production in the atmosphere and subsequent dispersal through the carbon cycle, is a key tracer for studying the Earth system. Knowledge of past C-14 levels improves our understanding of climate processes, the Sun, the geodynamo, and the carbon cycle. Recently updated radiocarbon calibration curves (IntCal20, SHCal20, and Marine20) provide unprecedented accuracy in our estimates of C-14 levels back to the limit of the C-14 technique (similar to 55,000 years ago). Such improved detail creates new opportunities to probe the Earth and climate system more reliably and at finer scale. We summarize the advances that have underpinned this revised set of radiocarbon calibration curves, survey the broad scientific landscape where additional detail on past C-14 provides insight, and identify open challenges for the future.</t>
  </si>
  <si>
    <t>[Heaton, T. J.] Univ Sheffield, Sch Math &amp; Stat, Sheffield S3 7RH, S Yorkshire, England; [Bard, E.] Aix Marseille Univ, Coll France, INRAE, CEREGE,CNRS,IRD, Technopole Arbois BP 80, F-13545 Aix En Provence 4, France; [Ramsey, C. Bronk] Univ Oxford, Res Lab Archaeol &amp; Hist Art, Oxford OX1 3TG, England; [Butzin, M.; Koehler, P.] Alfred Wegener Inst, Helmholtz Zentrum Polar &amp; Meeresforsch AWI, D-27515 Bremerhaven, Germany; [Muscheler, R.] Lund Univ, Dept Geol, Quaternary Sci, S-22362 Lund, Sweden; [Reimer, P. J.] Queens Univ, CHRONO Ctr Climate Environm &amp; Chronol, Sch Nat &amp; Built Environm, Belfast BT7 1NN, Antrim, North Ireland; [Wacker, L.] Swiss Fed Inst Technol, Lab Ion Beam Phys, CH-8093 Zurich, Switzerland</t>
  </si>
  <si>
    <t>University of Sheffield; Aix-Marseille Universite; Centre National de la Recherche Scientifique (CNRS); Institut de Recherche pour le Developpement (IRD); Universite PSL; College de France; INRAE; University of Oxford; Helmholtz Association; Alfred Wegener Institute, Helmholtz Centre for Polar &amp; Marine Research; Lund University; Queens University Belfast; Swiss Federal Institutes of Technology Domain; ETH Zurich</t>
  </si>
  <si>
    <t>Heaton, TJ (corresponding author), Univ Sheffield, Sch Math &amp; Stat, Sheffield S3 7RH, S Yorkshire, England.</t>
  </si>
  <si>
    <t>t.heaton@shef.ac.uk</t>
  </si>
  <si>
    <t>Heaton, Tim/AAF-5132-2022; Heaton, Timothy J/AFJ-8295-2022; Köhler, Peter/F-7293-2010; Bronk Ramsey, Christopher/A-3277-2012</t>
  </si>
  <si>
    <t>Heaton, Timothy J/0000-0002-9994-142X; Köhler, Peter/0000-0003-0904-8484; Bard, Edouard/0000-0002-7237-8622; Muscheler, Raimund/0000-0003-2772-3631; Butzin, Martin/0000-0002-9275-7304; Reimer, Paula/0000-0001-9238-2146; Bronk Ramsey, Christopher/0000-0002-8641-9309; Wacker, Lukas/0000-0002-8215-2678</t>
  </si>
  <si>
    <t>Leverhulme Trust [RF-2019-140\9]; EQUIPEX ASTER-CEREGE; ANR CARBOTRYDH; German Federal Ministry of Education and Research (BMBF) [01LP1919A]; Swedish Research Council [DNR2013-8421, DNR2018-05469]; Natural Environment Research Council (NERC), National Environmental Isotope Facility (NEIF); UKRI Natural Environment Research Council [NE/M004619/1]; NERC [NE/M003434/1] Funding Source: UKRI</t>
  </si>
  <si>
    <t>Leverhulme Trust(Leverhulme Trust); EQUIPEX ASTER-CEREGE; ANR CARBOTRYDH(Agence Nationale de la Recherche (ANR)); German Federal Ministry of Education and Research (BMBF)(Federal Ministry of Education &amp; Research (BMBF)); Swedish Research Council(Swedish Research Council); Natural Environment Research Council (NERC), National Environmental Isotope Facility (NEIF)(UK Research &amp; Innovation (UKRI)Natural Environment Research Council (NERC)); UKRI Natural Environment Research Council(UK Research &amp; Innovation (UKRI)Natural Environment Research Council (NERC)); NERC(UK Research &amp; Innovation (UKRI)Natural Environment Research Council (NERC))</t>
  </si>
  <si>
    <t>Supported by Leverhulme Trust Fellowship RF-2019-140\9 (T.J.H.); EQUIPEX ASTER-CEREGE and ANR CARBOTRYDH (E.B.); the German Federal Ministry of Education and Research (BMBF) as a Research for Sustainability initiative (FONA) through the PalMod project (grant 01LP1919A) (M.B., P.K.); Swedish Research Council grants DNR2013-8421 and DNR2018-05469 (R.M.); the Natural Environment Research Council (NERC) as part of the National Environmental Isotope Facility (NEIF) (C.B.R.); and UKRI Natural Environment Research Council grant NE/M004619/1 (P.J.R.).</t>
  </si>
  <si>
    <t>AMER ASSOC ADVANCEMENT SCIENCE</t>
  </si>
  <si>
    <t>1200 NEW YORK AVE, NW, WASHINGTON, DC 20005 USA</t>
  </si>
  <si>
    <t>0036-8075</t>
  </si>
  <si>
    <t>1095-9203</t>
  </si>
  <si>
    <t>Science</t>
  </si>
  <si>
    <t>eabd7096</t>
  </si>
  <si>
    <t>10.1126/science.abd7096</t>
  </si>
  <si>
    <t>WS1MC</t>
  </si>
  <si>
    <t>Green Accepted, Green Published, Green Submitted</t>
  </si>
  <si>
    <t>WOS:000714952000025</t>
  </si>
  <si>
    <t>Chignell, SM; Myers, ME; Howkins, A; Fountain, AG</t>
  </si>
  <si>
    <t>Chignell, Stephen M.; Myers, Madeline E.; Howkins, Adrian; Fountain, Andrew G.</t>
  </si>
  <si>
    <t>Research sites get closer to field camps over time: Informing environmental management through a geospatial analysis of science in the McMurdo Dry Valleys, Antarctica</t>
  </si>
  <si>
    <t>GLOBALIZATION; CONTAMINATION; DIVERSITY; PATTERNS; REGION; SOIL</t>
  </si>
  <si>
    <t>As in many parts of the world, the management of environmental science research in Antarctica relies on cost-benefit analysis of negative environmental impact versus positive scientific gain. Several studies have examined the environmental impact of Antarctic field camps, but very little work looks at how the placement of these camps influences scientific research. In this study, we integrate bibliometrics, geospatial analysis, and historical research to understand the relationship between field camp placement and scientific production in the McMurdo Dry Valleys of East Antarctica. Our analysis of the scientific corpus from 1907-2016 shows that, on average, research sites have become less dispersed and closer to field camps over time. Scientific output does not necessarily correspond to the number of field camps, and constructing a field camp does not always lead to a subsequent increase in research in the local area. Our results underscore the need to consider the complex historical and spatial relationships between field camps and research sites in environmental management decision-making in Antarctica and other protected areas.</t>
  </si>
  <si>
    <t>[Chignell, Stephen M.] Univ British Columbia, Inst Resources Environm &amp; Sustainabil, Vancouver, BC, Canada; [Myers, Madeline E.] Louisiana State Univ, Dept Geol &amp; Geophys, Baton Rouge, LA 70803 USA; [Howkins, Adrian] Univ Bristol, Dept Hist, Bristol, Avon, England; [Fountain, Andrew G.] Portland State Univ, Dept Geol, Portland, OR 97207 USA; [Fountain, Andrew G.] Portland State Univ, Dept Geog, Portland, OR 97207 USA; [Myers, Madeline E.] Queens Univ, Dept Geog &amp; Planning, Kingston, ON, Canada</t>
  </si>
  <si>
    <t>University of British Columbia; Louisiana State University System; Louisiana State University; University of Bristol; Portland State University; Portland State University; Queens University - Canada</t>
  </si>
  <si>
    <t>Chignell, SM (corresponding author), Univ British Columbia, Inst Resources Environm &amp; Sustainabil, Vancouver, BC, Canada.</t>
  </si>
  <si>
    <t>steve.chignell@ubc.ca</t>
  </si>
  <si>
    <t>Chignell, Stephen/0000-0002-8277-4338</t>
  </si>
  <si>
    <t>NOV 4</t>
  </si>
  <si>
    <t>e0257950</t>
  </si>
  <si>
    <t>10.1371/journal.pone.0257950</t>
  </si>
  <si>
    <t>YY9AG</t>
  </si>
  <si>
    <t>WOS:000755077100019</t>
  </si>
  <si>
    <t>Yun, S; Lee, WS; Dziak, RP; Roche, L; Matsumoto, H; Lau, TK; Sremba, A; Mellinger, DK; Haxel, JH; Kang, SG; Hong, JK; Park, Y</t>
  </si>
  <si>
    <t>Yun, Sukyoung; Lee, Won Sang; Dziak, Robert P.; Roche, Lauren; Matsumoto, Haruyoshi; Lau, Tai-Kwan; Sremba, Angela; Mellinger, David K.; Haxel, Joseph H.; Kang, Seung-Goo; Hong, Jong Kuk; Park, Yongcheol</t>
  </si>
  <si>
    <t>Quantifying Soundscapes in the Ross Sea, Antarctica Using Long-Term Autonomous Hydroacoustic Monitoring Systems</t>
  </si>
  <si>
    <t>passive acoustic monitoring; Southern Ocean; cryogenic signals; air-sea interaction; biodiversity; Marine Protected Area</t>
  </si>
  <si>
    <t>AMBIENT NOISE; ACOUSTIC PRESENCE; BEAUFORT SEA; ICE; OCEAN; UNDERWATER; BLUE; VARIABILITY; ATLANTIC; TRENDS</t>
  </si>
  <si>
    <t>Deployment of long-term, continuously recording passive-acoustic sensors in the ocean can provide insights into sound sources related to ocean dynamics, air-sea interactions, and biologic and human activities, all which contribute to shaping ocean soundscapes. In the polar regions, the changing ocean climate likely contributes to seasonal and long-term variation in cryogenic sounds, adding to the complexity of these soundscapes. The Korea Polar Research Institute and the U.S. National Oceanic and Atmospheric Administration have jointly operated two arrays of autonomous underwater hydrophones in the Southern Ocean, one in the Terra Nova Bay Polynya (TNBP) during December 2015-January 2019 and the other in the Balleny Islands (BI) region during January 2015-March 2016, to monitor changes in ocean soundscapes. In the BI region, we found distinct seasonal variations in the cryogenic signals that were attributed to collisions and thermal/mechanical fracturing of the surface sea ice. This is consistent with sea-ice patterns due to annual freeze-thaw cycles, which are not clearly observed in TNBP, where frequent blowing out of sea ice by katabatic winds and icequakes from nearby ice shelves generate strong noise even in austral winters. Another advantage of passive acoustic recordings is that they provide opportunities to measure biodiversity from classifying spectral characteristics of marine mammals: we identified 1. Leopard seals (Hydrurga leptonyx; 200-400 Hz), most abundant in the BI region and TNBP in December; 2. Antarctic blue whales (Balaenoptera musculus; distinctive vocalization at 18 and 27 Hz), strong signals in austral winter and fall in the BI region and TNBP; 3. Fin whales (B. physalus; fundamental frequency in the 15-28 Hz and overtones at 80 and 90 Hz), maximum presence in the BI region during the austral summer and spring months; 4. Antarctic minke whales (B. bonaerensis; 100-200 Hz), strongest signals from June to August in the BI region; 5. Humpback whales in TNBP; 6. Unidentified whales (long-duration downsweeping from 75 to 62 Hz), detected in TNBP. Long-term soundscape monitoring can help understand the spatiotemporal changes in the Southern Ocean and cryosphere and provide a means of assessing the status and trends of biodiversity in the Ross Sea Region Marine Protected Area.</t>
  </si>
  <si>
    <t>[Yun, Sukyoung; Lee, Won Sang] Korea Polar Res Inst, Div Glacial Environm Res, Incheon, South Korea; [Dziak, Robert P.; Matsumoto, Haruyoshi; Lau, Tai-Kwan; Sremba, Angela; Mellinger, David K.] NOAA, Pacific Marine Environm Lab, Newport, OR USA; [Roche, Lauren; Matsumoto, Haruyoshi; Lau, Tai-Kwan; Sremba, Angela; Mellinger, David K.] Oregon State Univ, Cooperat Inst Marine Ecosyst &amp; Resources Studies, Newport, OR USA; [Haxel, Joseph H.] Pacific Northwest Natl Lab, Sequim, WA USA; [Kang, Seung-Goo; Hong, Jong Kuk; Park, Yongcheol] Korea Polar Res Inst, Div Polar Earth Syst Sci, Incheon, South Korea</t>
  </si>
  <si>
    <t>Korea Polar Research Institute (KOPRI); National Oceanic Atmospheric Admin (NOAA) - USA; Oregon State University; United States Department of Energy (DOE); Pacific Northwest National Laboratory; Korea Polar Research Institute (KOPRI)</t>
  </si>
  <si>
    <t>Yun, S (corresponding author), Korea Polar Res Inst, Div Glacial Environm Res, Incheon, South Korea.</t>
  </si>
  <si>
    <t>yun@kopri.re.kr</t>
  </si>
  <si>
    <t>Kang, Seung-Goo/0000-0001-6532-3482</t>
  </si>
  <si>
    <t>10.3389/fmars.2021.703411</t>
  </si>
  <si>
    <t>WZ5ZY</t>
  </si>
  <si>
    <t>WOS:000720046100001</t>
  </si>
  <si>
    <t>Snopkova, K; Dufkova, K; Chamrad, I; Lenobel, R; Cejkova, D; Kosina, M; Hrala, M; Hola, V; Sedlacek, I; Smajs, D</t>
  </si>
  <si>
    <t>Snopkova, Katerina; Dufkova, Kristyna; Chamrad, Ivo; Lenobel, Rene; Cejkova, Darina; Kosina, Marcel; Hrala, Matej; Hola, Veronika; Sedlacek, Ivo; Smajs, David</t>
  </si>
  <si>
    <t>Pyocin-mediated antagonistic interactions in Pseudomonas spp. isolated in James Ross Island, Antarctica</t>
  </si>
  <si>
    <t>PLASMID-LIKE PROPHAGE; PSYCHROTROPHIC BACTERIUM; ANTIBACTERIAL PROTEINS; SP NOV.; SEQUENCE; PLANT; PHAGE; AERUGINOSA; GENOME; MICROORGANISMS</t>
  </si>
  <si>
    <t>Interactions within bacterial communities are frequently mediated by the production of antimicrobial agents. Despite the increasing interest in research of new antimicrobials, studies describing antagonistic interactions among cold-adapted microorganisms are still rare. Our study assessed the antimicrobial interactions of 36 Antarctic Pseudomonas spp. and described the genetic background of these interactions in selected strains. The overall bacteriocinogeny was greater compared to mesophilic Pseudomonas non-aeruginosa species. R-type tailocins were detected on transmission electron micrographs in 16 strains (44.4%); phylogenetic analysis of the corresponding gene clusters revealed that the P. prosekii CCM 8878 tailocin was related to the Rp3 group, whereas the tailocin in Pseudomonas sp. CCM 8880 to the Rp4 group. Soluble antimicrobials were produced by eight strains (22.-2%); gene mining found pyocin L homologues in the genomes of P. prosekii CCM 8881 and CCM 8879 and pyocin S9-like homologues in P. prosekii CCM 8881 and Pseudomonas sp. CCM 8880. Analysis of secretomes confirmed the production of all S- and L-type pyocin genes. Our results suggest that bacteriocin-based inhibition plays an important role in interactions among Antarctic soil bacteria, and these native, cold-adapted microorganisms could be a promising source of new antimicrobials.</t>
  </si>
  <si>
    <t>[Snopkova, Katerina; Dufkova, Kristyna; Hrala, Matej; Smajs, David] Masaryk Univ, Fac Med, Dept Biol, Kamenice 753-5, Brno 62500, Czech Republic; [Chamrad, Ivo; Lenobel, Rene] Palacky Univ, Fac Sci, Lab Growth Regulators, Slechtitelu 241-27, Olomouc 77900, Czech Republic; [Chamrad, Ivo; Lenobel, Rene] Czech Acad Sci, Inst Expt Bot, Slechtitelu 241-27, Olomouc 77900, Czech Republic; [Cejkova, Darina] Vet Res Inst, Hudcova 296-70, Brno 62100, Czech Republic; [Kosina, Marcel; Sedlacek, Ivo] Masaryk Univ, Fac Sci, Dept Expt Biol, Czech Collect Microorganisms, Kamenice 753-5, Brno 62500, Czech Republic; [Hola, Veronika] Masaryk Univ, Inst Microbiol, Fac Med, Pekarska 664-53, Brno 65691, Czech Republic; [Hola, Veronika] St Annes Univ Hosp Brno, Pekarska 664-53, Brno 65691, Czech Republic</t>
  </si>
  <si>
    <t>Masaryk University Brno; Palacky University Olomouc; Czech Academy of Sciences; Institute of Experimental Botany of the Czech Academy of Sciences; Czech Veterinary Research Institute; Masaryk University Brno; Masaryk University Brno; St Anne's University Hospital Brno (FNUSA-ICRC)</t>
  </si>
  <si>
    <t>Smajs, D (corresponding author), Masaryk Univ, Fac Med, Dept Biol, Kamenice 753-5, Brno 62500, Czech Republic.</t>
  </si>
  <si>
    <t>dsmajs@med.muni.cz</t>
  </si>
  <si>
    <t>Snopkova, Katerina/AGF-0056-2022; Hola, Veronika/J-5014-2014; CHAMRÁD, Ivo/AAT-2972-2021; Sedlacek, Ivo/IWU-8828-2023</t>
  </si>
  <si>
    <t>Snopkova, Katerina/0000-0001-5067-2022; Hola, Veronika/0000-0002-3169-7483; CHAMRÁD, Ivo/0000-0003-3812-6314; Lenobel, Rene/0000-0001-7387-0056; Sedlacek, Ivo/0000-0003-1717-187X; Cejkova, Darina/0000-0002-6989-6330; Dufkova, Kristyna/0000-0003-1254-8973</t>
  </si>
  <si>
    <t>Ministry of Education, Youth and Sports, Czech Republic [LM2015078, LM2015091]; Ministry of Agriculture of the Czech Republic [RVO0518]</t>
  </si>
  <si>
    <t>Ministry of Education, Youth and Sports, Czech Republic(Ministry of Education, Youth &amp; Sports - Czech RepublicCzech Republic Government); Ministry of Agriculture of the Czech Republic(Ministry of Agriculture, Czech Republic)</t>
  </si>
  <si>
    <t>Transmission electron microscopy was performed at the Department of Histology and Embryology, Masaryk University, Brno, with the assistance of Ladislav Ilkovics and Dobromila Klemov ~a. The map in Fig. 5 was created by Dr. Filip Hrb~ac.ek from the Department of Geography, Masaryk University, Brno. The authors are grateful to Lucie Dost~alov~a for her help with all proteomics experiments. The authors thank the scientific infrastructure of the J. G. Mendel Czech Antarctic Station (LM2015078 CzechPolar2 supported by the Ministry of Education, Youth and Sports, Czech Republic) and the Core Facility Genomics of CEITEC supported by the NCMG research infrastructure (LM2015091 funded by Ministry of Education, Youth and Sports, Czech Republic) for their support in obtaining the scientific data presented in this paper. D.C.. was supported by project RVO0518 from the Ministry of Agriculture of the Czech Republic.</t>
  </si>
  <si>
    <t>10.1111/1462-2920.15809</t>
  </si>
  <si>
    <t>0H4RM</t>
  </si>
  <si>
    <t>WOS:000714374200001</t>
  </si>
  <si>
    <t>Savoca, MS; Czapanskiy, MF; Kahane-Rapport, SR; Gough, WT; Fahlbusch, JA; Bierlich, KC; Segre, PS; Di Clemente, J; Penry, GS; Wiley, DN; Calambokidis, J; Nowacek, DP; Johnston, DW; Pyenson, ND; Friedlaender, AS; Hazen, EL; Goldbogen, JA</t>
  </si>
  <si>
    <t>Savoca, Matthew S.; Czapanskiy, Max F.; Kahane-Rapport, Shirel R.; Gough, William T.; Fahlbusch, James A.; Bierlich, K. C.; Segre, Paolo S.; Di Clemente, Jacopo; Penry, Gwenith S.; Wiley, David N.; Calambokidis, John; Nowacek, Douglas P.; Johnston, David W.; Pyenson, Nicholas D.; Friedlaender, Ari S.; Hazen, Elliott L.; Goldbogen, Jeremy A.</t>
  </si>
  <si>
    <t>Baleen whale prey consumption based on high-resolution foraging measurements</t>
  </si>
  <si>
    <t>NATURE</t>
  </si>
  <si>
    <t>ATLANTIC RIGHT WHALES; FEEDING RATES; ANTARCTIC KRILL; MARINE MAMMALS; BLUE WHALES; IRON FERTILIZATION; FOOD-CONSUMPTION; SOUTHERN SECTOR; HUMPBACK WHALES; METABOLIC-RATE</t>
  </si>
  <si>
    <t>A combination of 3D whale locations and acoustic measurements of prey density is used here to show that whales' consumption of krill is several times larger than often thought. Baleen whales influence their ecosystems through immense prey consumption and nutrient recycling(1-3). It is difficult to accurately gauge the magnitude of their current or historic ecosystem role without measuring feeding rates and prey consumed. To date, prey consumption of the largest species has been estimated using metabolic models(3-9) based on extrapolations that lack empirical validation. Here, we used tags deployed on seven baleen whale (Mysticeti) species (n = 321 tag deployments) in conjunction with acoustic measurements of prey density to calculate prey consumption at daily to annual scales from the Atlantic, Pacific, and Southern Oceans. Our results suggest that previous studies(3-9) have underestimated baleen whale prey consumption by threefold or more in some ecosystems. In the Southern Ocean alone, we calculate that pre-whaling populations of mysticetes annually consumed 430 million tonnes of Antarctic krill (Euphausia superba), twice the current estimated total biomass of E. superba(10), and more than twice the global catch of marine fisheries today(11). Larger whale populations may have supported higher productivity in large marine regions through enhanced nutrient recycling: our findings suggest mysticetes recycled 1.2 x 10(4) tonnes iron yr(-1) in the Southern Ocean before whaling compared to 1.2 x 10(3) tonnes iron yr(-1) recycled by whales today. The recovery of baleen whales and their nutrient recycling services(2,3,7) could augment productivity and restore ecosystem function lost during 20th century whaling(12,13).</t>
  </si>
  <si>
    <t>[Savoca, Matthew S.; Czapanskiy, Max F.; Kahane-Rapport, Shirel R.; Gough, William T.; Fahlbusch, James A.; Segre, Paolo S.; Hazen, Elliott L.; Goldbogen, Jeremy A.] Stanford Univ, Hopkins Marine Stn, Stanford, CA 94305 USA; [Fahlbusch, James A.; Calambokidis, John] Cascadia Res Collect, Olympia, WA USA; [Bierlich, K. C.; Nowacek, Douglas P.; Johnston, David W.] Duke Univ, Marine Lab, Beaufort, NC 28516 USA; [Bierlich, K. C.] Oregon State Univ, Hatfield Marine Sci Ctr, Marine Mammal Inst, Newport, OR USA; [Di Clemente, Jacopo] Univ Copenhagen, Dept Biol, Copenhagen, Denmark; [Di Clemente, Jacopo] Univ Southern Denmark, Dept Biol, Odense, Denmark; [Di Clemente, Jacopo] Aarhus Univ, Dept Biosci, Aarhus, Denmark; [Penry, Gwenith S.] Nelson Mandela Univ, Inst Coastal &amp; Marine Res, Port Elizabeth, South Africa; [Wiley, David N.] Natl Ocean Serv, Stellwagen Bank Natl Marine Sanctuary, NOAA, Scituate, MA USA; [Pyenson, Nicholas D.] Natl Museum Nat Hist, Dept Paleobiol, Washington, DC USA; [Pyenson, Nicholas D.] Burke Museum Nat Hist &amp; Culture, Dept Paleontol &amp; Geol, Seattle, WA USA; [Friedlaender, Ari S.; Hazen, Elliott L.] Univ Calif Santa Cruz, Long Marine Lab, Santa Cruz, CA 95064 USA; [Hazen, Elliott L.] Southwest Fisheries Sci Ctr, Environm Res Div, NOAA, Monterey, CA USA</t>
  </si>
  <si>
    <t>Stanford University; Duke University; Oregon State University; University of Copenhagen; University of Southern Denmark; Aarhus University; Nelson Mandela University; National Oceanic Atmospheric Admin (NOAA) - USA; National Ocean Service, NOAA; Smithsonian Institution; Smithsonian National Museum of Natural History; University of California System; University of California Santa Cruz; National Oceanic Atmospheric Admin (NOAA) - USA</t>
  </si>
  <si>
    <t>Savoca, MS (corresponding author), Stanford Univ, Hopkins Marine Stn, Stanford, CA 94305 USA.</t>
  </si>
  <si>
    <t>msavoca@stanford.edu</t>
  </si>
  <si>
    <t>Penry, Gwenith/GYV-1357-2022; Hazen, Elliott/G-4149-2014; Savoca, Matthew/K-3677-2019; Segre, Paolo S/A-7865-2011; Czapanskiy, Max/HLX-2992-2023</t>
  </si>
  <si>
    <t>Hazen, Elliott/0000-0002-0412-7178; Fahlbusch, James/0000-0001-9275-013X; Goldbogen, Jeremy/0000-0002-4170-7294; Savoca, Matthew/0000-0002-7318-4977; Johnston, David/0000-0003-2424-036X; Gough, William/0000-0003-2701-5299; Czapanskiy, Max/0000-0002-6302-905X; Pyenson, Nicholas/0000-0003-4678-5782</t>
  </si>
  <si>
    <t>0028-0836</t>
  </si>
  <si>
    <t>1476-4687</t>
  </si>
  <si>
    <t>Nature</t>
  </si>
  <si>
    <t>10.1038/s41586-021-03991-5</t>
  </si>
  <si>
    <t>WR3QA</t>
  </si>
  <si>
    <t>WOS:000714417400018</t>
  </si>
  <si>
    <t>Dei Cas, M; Ottolenghi, S; Morano, C; Rinaldo, R; Roda, G; Chiumello, D; Centanni, S; Samaja, M; Paroni, R</t>
  </si>
  <si>
    <t>Dei Cas, Michele; Ottolenghi, Sara; Morano, Camillo; Rinaldo, Rocco; Roda, Gabriella; Chiumello, Davide; Centanni, Stefano; Samaja, Michele; Paroni, Rita</t>
  </si>
  <si>
    <t>Link between serum lipid signature and prognostic factors in COVID-19 patients</t>
  </si>
  <si>
    <t>ACID SPHINGOMYELINASE; DYSREGULATION</t>
  </si>
  <si>
    <t>Although the serum lipidome is markedly affected by COVID-19, two unresolved issues remain: how the severity of the disease affects the level and the composition of serum lipids and whether serum lipidome analysis may identify specific lipids impairment linked to the patients' outcome. Sera from 49 COVID-19 patients were analyzed by untargeted lipidomics. Patients were clustered according to: inflammation (C-reactive protein), hypoxia (Horowitz Index), coagulation state (D-dimer), kidney function (creatinine) and age. COVID-19 patients exhibited remarkable and distinctive dyslipidemia for each prognostic factor associated with reduced defense against oxidative stress. When patients were clustered by outcome (7 days), a peculiar lipidome signature was detected with an overall increase of 29 lipid species, including-among others-four ceramide and three sulfatide species, univocally related to this analysis. Considering the lipids that were affected by all the prognostic factors, we found one sphingomyelin related to inflammation and viral infection of the respiratory tract and two sphingomyelins, that are independently related to patients' age, and they appear as candidate biomarkers to monitor disease progression and severity. Although preliminary and needing validation, this report pioneers the translation of lipidome signatures to link the effects of five critical clinical prognostic factors with the patients' outcomes.</t>
  </si>
  <si>
    <t>[Dei Cas, Michele; Ottolenghi, Sara; Rinaldo, Rocco; Chiumello, Davide; Centanni, Stefano; Samaja, Michele; Paroni, Rita] Univ Milan, Dept Hlth Sci, Via A Rudini 8, Milan, Italy; [Morano, Camillo; Roda, Gabriella] Univ Milan, Dept Pharmaceut Sci, Milan, Italy; [Rinaldo, Rocco; Centanni, Stefano] ASST Santi Paolo &amp; Carlo, Resp Unit, San Paolo Univ Hosp, Milan, Italy; [Chiumello, Davide] ASST Santi Paolo &amp; Carlo, Dept Anesthesia &amp; Intens Care, San Paolo Univ Hosp, Milan, Italy</t>
  </si>
  <si>
    <t>University of Milan; University of Milan</t>
  </si>
  <si>
    <t>Paroni, R (corresponding author), Univ Milan, Dept Hlth Sci, Via A Rudini 8, Milan, Italy.</t>
  </si>
  <si>
    <t>rita.paroni@unimi.it</t>
  </si>
  <si>
    <t>Morano, Camillo/ABB-5426-2021; chiumello, davide/JDW-4119-2023; Samaja, Michele/N-3499-2013; Ottolenghi, Sara/AAC-6146-2020; Rinaldo, Rocco Francesco/HIR-5424-2022; Dei Cas, Michele/AAO-2132-2020; PARONI, RITA/C-2955-2012</t>
  </si>
  <si>
    <t>Morano, Camillo/0000-0003-0352-2819; Samaja, Michele/0000-0002-0705-340X; Ottolenghi, Sara/0000-0003-2988-0593; Rinaldo, Rocco Francesco/0000-0003-3999-5298; Dei Cas, Michele/0000-0001-7359-8558; PARONI, RITA/0000-0002-3186-8860</t>
  </si>
  <si>
    <t>Dipartimento di Scienze della Salute, Universita degli Studi di Milano; Ministero dell'Istruzione, dell'Universita e della Ricerca [1314 PNRA18_00071F]</t>
  </si>
  <si>
    <t>Dipartimento di Scienze della Salute, Universita degli Studi di Milano; Ministero dell'Istruzione, dell'Universita e della Ricerca(Ministry of Education, Universities and Research (MIUR))</t>
  </si>
  <si>
    <t>This research was funded by Dipartimento di Scienze della Salute, Universita degli Studi di Milano (Piano di Sostegno alla Ricerca LINEA 2: Dotazione annuale per attivita istituzionali with a project entitled Iron handling in patients exposed to acute and chronic hypoxia-FeOx) and Ministero dell'Istruzione, dell'Universita e della Ricerca (Programma Nazionale di Ricerca in Antartide. Bando PNRA 25 maggio 2018, n. 1314 PNRA18_00071F with a project entitled Concorde Impact of the Antarctic environments on human homeostasis, psychology, physiology and immunity).</t>
  </si>
  <si>
    <t>10.1038/s41598-021-00755-z</t>
  </si>
  <si>
    <t>WR7UL</t>
  </si>
  <si>
    <t>WOS:000714702000037</t>
  </si>
  <si>
    <t>Powell, EM; Pan, LD; Hoggard, MJ; Latychev, K; Gomez, N; Austermann, J; Mitrovica, JX</t>
  </si>
  <si>
    <t>Powell, Evelyn M.; Pan, Linda; Hoggard, Mark J.; Latychev, Konstantin; Gomez, Natalya; Austermann, Jacqueline; Mitrovica, Jerry X.</t>
  </si>
  <si>
    <t>The impact of 3-D Earth structure on far-field sea level following interglacial West Antarctic Ice Sheet collapse</t>
  </si>
  <si>
    <t>Interglacial(s); Sea-level change; Antarctica; Global; Data treatment; Data analysis; Numerical modeling; Dynamics of lithosphere and mantle; Rheology</t>
  </si>
  <si>
    <t>GLACIAL ISOSTATIC-ADJUSTMENT; VELOCITY MODEL; UPPER-MANTLE; BENEATH; TEMPERATURE; LITHOSPHERE; SENSITIVITY; VOLUMES; BERMUDA; RECORD</t>
  </si>
  <si>
    <t>Prior to inferring ice sheet stability from past interglacial sea-level records, these records must first be corrected for the contaminating effects of glacial isostatic adjustment (GIA). Typical GIA corrections, however, neglect variability in the signal that may be introduced by Earth's 3-D rheological structure. We predict sea-level changes due to a collapse of the West Antarctic Ice Sheet (WAIS) over an idealized 6 kyr-duration interglacial using four viscoelastic Earth models. Two of these are 3-D viscosity models inferred from seismic tomography. The third is a 1-D (i.e., depth varying) viscosity model that is equivalent to the spherically averaged background viscosity profile adopted in both 3-D Earth models. The fourth is a 1-D model that has a higher upper mantle viscosity but still falls within the class of models inferred from independent global GIA studies. We find that the discrepancy between 3-D and 1-D Earth model calculations of sea level in the far field of the melt zone is of order 0.3 m or less, with the 1-D Earth models producing higher sea level than the 3-D simulations. This value is 10% of the global mean sea-level (GMSL) rise associated with modeled ice sheet collapse by the end of the model interglacial (similar to 3 m) and a similar fraction of far-field sea-level changes. However, the value is a significantly larger fraction (similar to 60%) of the geographically variable (i.e., non-GMSL) component of the far-field sea-level signal due to GIA associated with modeled WAIS collapse (+/- 0.5 m). Neglecting lateral variations in Earth structure in modeling the response to excess melting of WAIS during the interglacial compounds any error introduced by neglecting such structure in predictions of interglacial sea-level change driven by the preceding glacial cycle. (C) 2021 Published by Elsevier Ltd.</t>
  </si>
  <si>
    <t>[Powell, Evelyn M.; Pan, Linda; Hoggard, Mark J.; Latychev, Konstantin; Mitrovica, Jerry X.] Harvard Univ, Dept Earth &amp; Planetary Sci, 20 Oxford St, Cambridge, MA 02138 USA; [Hoggard, Mark J.] Australian Natl Univ, Res Sch Earth Sci, Canberra, ACT, Australia; [Gomez, Natalya] McGill Univ, Dept Earth &amp; Planetary Sci, Montreal, PQ, Canada; [Austermann, Jacqueline] Columbia Univ, Dept Earth &amp; Environm Sci, New York, NY 10027 USA</t>
  </si>
  <si>
    <t>Harvard University; Australian National University; McGill University; Columbia University</t>
  </si>
  <si>
    <t>Powell, EM (corresponding author), Dept Earth &amp; Planetary Sci, 20 Oxford St, Cambridge, MA 02138 USA.</t>
  </si>
  <si>
    <t>evelynpowell@g.harvard.edu</t>
  </si>
  <si>
    <t>Hoggard, Mark/AAZ-6207-2021</t>
  </si>
  <si>
    <t>Hoggard, Mark/0000-0003-4310-3862; Powell, Evelyn/0000-0001-7661-5878; Austermann, Jacqueline/0000-0003-3754-5082</t>
  </si>
  <si>
    <t>NSF [DGE1144152, DGE1745303, OCE-1702684, OCE 18-41888]; Fonds de Recherche du QuebeceNature et technologies; Star-Friedman Challenge; NASA [NNX17AE17G]; Geoscience Australia's Exploring for the Future research program; Harvard University; Natural Sciences and Engineering Research Council of Canada; Canada Research Chairs program; NASA [1002858, NNX17AE17G] Funding Source: Federal RePORTER</t>
  </si>
  <si>
    <t>NSF(National Science Foundation (NSF)); Fonds de Recherche du QuebeceNature et technologies; Star-Friedman Challenge; NASA(National Aeronautics &amp; Space Administration (NASA)); Geoscience Australia's Exploring for the Future research program; Harvard University; Natural Sciences and Engineering Research Council of Canada(Natural Sciences and Engineering Research Council of Canada (NSERC)CGIAR); Canada Research Chairs program(Canada Research Chairs); NASA(National Aeronautics &amp; Space Administration (NASA))</t>
  </si>
  <si>
    <t>This material is based upon work supported by the NSF Graduate Research Fellowship Grants DGE1144152 and DGE1745303 [E.M.P.], Fonds de Recherche du QuebeceNature et technologies [L.P.], Star-Friedman Challenge [L.P. and K.L.], NASA grant NNX17AE17G [J.X.M., E.M.P., and M.J.H.], NSF grant OCE-1702684 [J.X.M.], Geoscience Australia's Exploring for the Future research program [M.J.H.], Harvard University [E.M.P., L.P., M.J.H., K.L., and J.X.M.], Natural Sciences and Engineering Research Council of Canada [L.P. and N.G.], Canada Research Chairs program [N.G.], and NSF grant OCE 18-41888 [J.A.].</t>
  </si>
  <si>
    <t>10.1016/j.quascirev.2021.107256</t>
  </si>
  <si>
    <t>XE1ND</t>
  </si>
  <si>
    <t>WOS:000723161400006</t>
  </si>
  <si>
    <t>Zhang, GY; You, C; Wei, HP; Sun, TZ; Yang, BY</t>
  </si>
  <si>
    <t>Zhang, Guiyong; You, Chuang; Wei, Haipeng; Sun, Tiezhi; Yang, Biye</t>
  </si>
  <si>
    <t>Experimental study on the effects of brash ice on the water-exit dynamics of an underwater vehicle</t>
  </si>
  <si>
    <t>APPLIED OCEAN RESEARCH</t>
  </si>
  <si>
    <t>Water-exit; Experiment; Hydrodynamics; Brash ice</t>
  </si>
  <si>
    <t>LARGE-EDDY SIMULATION; FREE-SURFACE; INTERFACE; MOTION; ENTRY; BODY; FLOW</t>
  </si>
  <si>
    <t>To investigate the impact of brash ice on the dynamics of the water exit of an axisymmetric vehicle, an experimental study was conducted on the water exit of an axisymmetric vehicle in brash ice using a water tank, launching system, control system, data acquisition system, and high-speed camera system. The brash ice zone was modeled using actual observational data from the Antarctic marginal ice zone off Wilkes Land in late winter. Brash ice was created from polypropylene material, and the influence of brash ice on the dynamics of the waterexit of the vehicle is analyzed. The results show that the collapse of bubbles during water-exit of a vehicle in the presence of brash ice creates a state of eruption, which splashes upward from the shoulder to the center of the vehicle, and the underwater cavities undergo shrinkage and shedding. The effects of brash ice on the magnitude of the force and moment on the vehicle during the process are diverse and operate in different directions. The overall deflection angle is greater than that under ice-free conditions. As water-exit speed increases, the splash time becomes earlier, and the extent of the splash becomes more dispersive. In addition, pressure falls as the vehicle approaches the water surface, and the extent and magnitude of pressure fluctuation during the whole water-exit process becomes more severe.</t>
  </si>
  <si>
    <t>[Zhang, Guiyong; You, Chuang; Sun, Tiezhi; Yang, Biye] Dalian Univ Technol, Sch Naval Architecture, State Key Lab Struct Anal Ind Equipment, Dalian 116024, Peoples R China; [Zhang, Guiyong] Collaborat Innovat Ctr Adv Ship &amp; Deep Sea Explor, Shanghai 200240, Peoples R China; [Wei, Haipeng] Beijing Inst Astronaut Syst Engn, Beijing 100076, Peoples R China</t>
  </si>
  <si>
    <t>Dalian University of Technology; Collaborative Innovation Center for Advanced Ship &amp; Deep Sea Exploration</t>
  </si>
  <si>
    <t>Sun, TZ (corresponding author), Dalian Univ Technol, Sch Naval Architecture, State Key Lab Struct Anal Ind Equipment, Dalian 116024, Peoples R China.</t>
  </si>
  <si>
    <t>suntiezhi@dlut.edu.cn</t>
  </si>
  <si>
    <t>You, Chuang/0000-0001-9117-9701</t>
  </si>
  <si>
    <t>National Natural Science Foundation of China [52061135107, 51709042, 51639003]; High-tech Ship Research Project of Ministry of Industry and Information Technology of China [2017-614]; Fundamental Research Funds for the Central Universities [DUT20TD108, DUT20LAB308, DUT21LK25]; Natural Science Foundation of Liaoning Province of China [2020MS106]; Liao Ning Revitalization Talents Program [XLYC1908027]</t>
  </si>
  <si>
    <t>National Natural Science Foundation of China(National Natural Science Foundation of China (NSFC)); High-tech Ship Research Project of Ministry of Industry and Information Technology of China; Fundamental Research Funds for the Central Universities(Fundamental Research Funds for the Central Universities); Natural Science Foundation of Liaoning Province of China(Natural Science Foundation of Liaoning Province); Liao Ning Revitalization Talents Program</t>
  </si>
  <si>
    <t>This work was supported by the National Natural Science Foundation of China (52061135107, 51709042, and 51639003) , the High-tech Ship Research Project of Ministry of Industry and Information Technology of China (2017-614) , the Fundamental Research Funds for the Central Universities (DUT20TD108, DUT20LAB308, and DUT21LK25) , the Natural Science Foundation of Liaoning Province of China (2020MS106) , the Liao Ning Revitalization Talents Program (XLYC1908027) , and the computation support of the Supercomputing Center of Dalian University of Technology.</t>
  </si>
  <si>
    <t>0141-1187</t>
  </si>
  <si>
    <t>1879-1549</t>
  </si>
  <si>
    <t>APPL OCEAN RES</t>
  </si>
  <si>
    <t>Appl. Ocean Res.</t>
  </si>
  <si>
    <t>10.1016/j.apor.2021.102948</t>
  </si>
  <si>
    <t>Engineering, Ocean; Oceanography</t>
  </si>
  <si>
    <t>Engineering; Oceanography</t>
  </si>
  <si>
    <t>XC4JK</t>
  </si>
  <si>
    <t>WOS:000721980800003</t>
  </si>
  <si>
    <t>Fraser, AD; Massom, RA; Handcock, MS; Reid, P; Ohshima, KI; Raphael, MN; Cartwright, J; Klekociuk, AR; Wang, ZH; Porter-Smith, R</t>
  </si>
  <si>
    <t>Fraser, Alexander D.; Massom, Robert A.; Handcock, Mark S.; Reid, Phillip; Ohshima, Kay, I; Raphael, Marilyn N.; Cartwright, Jessica; Klekociuk, Andrew R.; Wang, Zhaohui; Porter-Smith, Richard</t>
  </si>
  <si>
    <t>Eighteen-year record of circum-Antarctic landfast-sea-ice distribution allows detailed baseline characterisation and reveals trends and variability</t>
  </si>
  <si>
    <t>LUTZOW-HOLM BAY; EAST ANTARCTICA; INTERANNUAL VARIABILITY; MCMURDO SOUND; WEDDELL SEA; LONG-TERM; POLYNYA; DYNAMICS; BREAKUP; ADELIE</t>
  </si>
  <si>
    <t>Landfast sea ice (fast ice) is an important though poorly understood component of the cryosphere on the Antarctic continental shelf, where it plays a key role in atmosphere-ocean-ice-sheet interaction and coupled ecological and biogeochemical processes. Here, we present a first in-depth baseline analysis of variability and change in circum-Antarctic fast-ice distribution (including its relationship to bathymetry), based on a new high-resolution satellite-derived time series for the period 2000 to 2018. This reveals (a) an overall trend of -882 +/- 824 km(2) yr(-1) (-0.19 +/- 0.18 % yr(-1)) and (b) eight distinct regions in terms of fast-ice coverage and modes of formation. Of these, four exhibit positive trends over the 18-year period and four negative. Positive trends are seen in East Antarctica and in the Bellingshausen Sea, with this region claiming the largest positive trend of +1198 +/- 359 km(2) yr(-1) (+1.10 +/- 0.35 % yr(-1)). The four negative trends predominantly occur in West Antarctica, with the largest negative trend of -1206 +/- 277 km(2) yr(-1) (-1.78 +/- 0.41 % yr(-1)) occurring in the Victoria and Oates Land region in the western Ross Sea. All trends are significant. This new baseline analysis represents a significant advance in our knowledge of the current state of both the global cryosphere and the complex Antarctic coastal system, which are vulnerable to climate variability and change. It will also inform a wide range of other studies.</t>
  </si>
  <si>
    <t>[Fraser, Alexander D.; Massom, Robert A.; Reid, Phillip; Klekociuk, Andrew R.; Porter-Smith, Richard] Univ Tasmania, Inst Marine &amp; Antarctic Studies, Australian Antarctic Program Partnership, Hobart, Tas 7001, Australia; [Massom, Robert A.; Klekociuk, Andrew R.] Australian Antarctic Div, Channel Highway, Kingston, Tas 7050, Australia; [Handcock, Mark S.] Univ Calif Los Angeles, Dept Geog, Los Angeles, CA 90095 USA; [Reid, Phillip] Bur Meteorol, 111 Macquarie St, Hobart, Tas 7000, Australia; [Ohshima, Kay, I] Hokkaido Univ, Inst Low Temp Sci, Sapporo, Hokkaido 0600819, Japan; [Raphael, Marilyn N.] Univ Calif Los Angeles, Dept Stat, Los Angeles, CA 90095 USA; [Cartwright, Jessica] Spire Global Inc, Glasgow G3 8JU, Lanark, Scotland; [Wang, Zhaohui] Univ Tasmania, Inst Marine &amp; Antarctic Studies, Hobart, Tas 7001, Australia</t>
  </si>
  <si>
    <t>University of Tasmania; Australian Antarctic Division; University of California System; University of California Los Angeles; Bureau of Meteorology - Australia; Hokkaido University; University of California System; University of California Los Angeles; University of Tasmania</t>
  </si>
  <si>
    <t>Fraser, AD (corresponding author), Univ Tasmania, Inst Marine &amp; Antarctic Studies, Australian Antarctic Program Partnership, Hobart, Tas 7001, Australia.</t>
  </si>
  <si>
    <t>alexander.fraser@utas.edu.au</t>
  </si>
  <si>
    <t>Ohshima, Kay I/D-6909-2012; Fraser, Alexander/AFO-7186-2022; Handcock, Mark S./AAY-3318-2021; Klekociuk, Andrew/A-4498-2015</t>
  </si>
  <si>
    <t>Fraser, Alexander/0000-0003-1924-0015; Handcock, Mark S./0000-0002-9985-2785; Klekociuk, Andrew/0000-0003-3335-0034; Wang, Zhaohui/0000-0001-8730-9024; Cartwright, Jessica/0000-0002-7569-9974</t>
  </si>
  <si>
    <t>Australian Government as part of the Antarctic Science Collaboration Initiative program [ASCI000002]; Australian Research Council's Special Research Initiative for Antarctic Gateway Partnership [SR140300001, 4116]; National eResearch Collaboration Tools and Resources (NeCTAR) project; Grants-in-Aid for Scientific Research [20H05707] Funding Source: KAKEN</t>
  </si>
  <si>
    <t>Australian Government as part of the Antarctic Science Collaboration Initiative program(Australian Government); Australian Research Council's Special Research Initiative for Antarctic Gateway Partnership(Australian Research Council); National eResearch Collaboration Tools and Resources (NeCTAR) project; Grants-in-Aid for Scientific Research(Ministry of Education, Culture, Sports, Science and Technology, Japan (MEXT)Japan Society for the Promotion of ScienceGrants-in-Aid for Scientific Research (KAKENHI))</t>
  </si>
  <si>
    <t>This project received grant funding from the Australian Government as part of the Antarctic Science Collaboration Initiative program and contributes to Project 6 of the Australian Antarctic Program Partnership (project ID ASCI000002). This work was supported by the Australian Research Council's Special Research Initiative for Antarctic Gateway Partnership (project ID SR140300001) and contributes to Australian Antarctic Science Project 4116. Computation and storage facilities were provided by the National eResearch Collaboration Tools and Resources (NeCTAR) project.</t>
  </si>
  <si>
    <t>NOV 3</t>
  </si>
  <si>
    <t>10.5194/tc-15-5061-2021</t>
  </si>
  <si>
    <t>WT3VY</t>
  </si>
  <si>
    <t>Green Submitted, Green Accepted, gold</t>
  </si>
  <si>
    <t>WOS:000715797000001</t>
  </si>
  <si>
    <t>Zhang, CZ; Shi, CJ; Zhang, H; Yu, K; Wang, YY; Jiang, J; Kan, GF</t>
  </si>
  <si>
    <t>Zhang, Chuanzhou; Shi, Cuijuan; Zhang, Hong; Yu, Kai; Wang, Yingying; Jiang, Jie; Kan, Guangfeng</t>
  </si>
  <si>
    <t>Metabolomics reveals the mechanism of Antarctic yeast Rhodotorula mucliaginosa AN5 to cope with cadmium stress</t>
  </si>
  <si>
    <t>BIOMETALS</t>
  </si>
  <si>
    <t>Heavy metal pollution; GC-MS; Metabolomics; Rhodotorula mucilaginosa; Adaptive resistance</t>
  </si>
  <si>
    <t>HEAVY-METAL POLLUTION; AMINO-ACID; PROTEIN; METABOLISM; STRATEGIES; SPERMIDINE; SEDIMENTS; TOXICITY; BAY</t>
  </si>
  <si>
    <t>Heavy metal pollution in Antarctica has far exceeded expectations. Antarctic yeast is widely present in polar marine environment. The mechanisms of metabolomics effect of heavy metal on polar yeast have not been reported previously. In this study, gas chromatography-mass spectrometry (GC-MS) wascarried out to performed the metabolite profiling analysis of Antarctic sea-ice yeast Rhodotorula mucilaginosa AN5 exposed to different cadmium (Cd) stresses of 5 mM (HM5), 10 mM (HM10) and 20 mM (HM20), respectively. Metabolic profile analysis showed that the composition and contents of cellular metabolites have been altered by cadmium. 93 different metabolites were identified altogether, among which 23, 58 and 81 different metabolites were found in HM5, HM10 and HM20 group respectively. MetaboAnalyst analysis showed that in HM5, HM10 and HM20 groups, 12, 24 and 31 metabolic pathways were involved in the stress of cadmium to R. mucilaginosa, respectively. By contrasting with Kyoto Encyclopedia of Genes and Genomes database, we discovered that exposure of yeast AN5 to Cd stress resulted in profound biochemical changes including amino acids, organic acids and saccharides. These results will supply a nonnegligible basis of studying the adaptive resistance mechanism of Antarctic yeast Rhodotorula mucilaginosa to heavy metal. [GRAPHICS] .</t>
  </si>
  <si>
    <t>[Zhang, Chuanzhou; Shi, Cuijuan; Zhang, Hong; Yu, Kai; Jiang, Jie; Kan, Guangfeng] Harbin Inst Technol Weihai, Sch Marine Sci &amp; Technol, Weihai 264209, Shandong, Peoples R China; [Wang, Yingying] Harbin Inst Technol Weihai, Sch Sci, Weihai 264209, Shandong, Peoples R China; [Jiang, Jie] Harbin Inst Technol, Sch Environm, Harbin 150090, Heilongjiang, Peoples R China</t>
  </si>
  <si>
    <t>Harbin Institute of Technology; Harbin Institute of Technology; Harbin Institute of Technology</t>
  </si>
  <si>
    <t>Kan, GF (corresponding author), Harbin Inst Technol Weihai, Sch Marine Sci &amp; Technol, Weihai 264209, Shandong, Peoples R China.</t>
  </si>
  <si>
    <t>gfkan@hit.edu.cn</t>
  </si>
  <si>
    <t>wang, yi/HOF-6668-2023; Wang, Ying/HJI-2509-2023; Wang, Yingying/HOA-6227-2023; wang, yan/GSE-6489-2022; wang, yingying/GRS-3058-2022; wang, yan/JBJ-7462-2023; wang, yingying/JCE-4984-2023; wang, yi/GVT-8516-2022</t>
  </si>
  <si>
    <t>kan, Guangfeng/0000-0002-5357-7204</t>
  </si>
  <si>
    <t>Key Technologies R &amp; D Program of Shandong [2019GHY112047]</t>
  </si>
  <si>
    <t>Key Technologies R &amp; D Program of Shandong</t>
  </si>
  <si>
    <t>This work was supported by the Key Technologies R &amp; D Program of Shandong [2019GHY112047].</t>
  </si>
  <si>
    <t>0966-0844</t>
  </si>
  <si>
    <t>1572-8773</t>
  </si>
  <si>
    <t>Biometals</t>
  </si>
  <si>
    <t>10.1007/s10534-021-00350-9</t>
  </si>
  <si>
    <t>Biochemistry &amp; Molecular Biology</t>
  </si>
  <si>
    <t>YS2LY</t>
  </si>
  <si>
    <t>WOS:000714319900001</t>
  </si>
  <si>
    <t>Sidor, CA; Kulik, ZT; Huttenlocker, AK</t>
  </si>
  <si>
    <t>Sidor, Christian A.; Kulik, Zoe T.; Huttenlocker, Adam K.</t>
  </si>
  <si>
    <t>A new bauriamorph therocephalian adds a novel component to the Lower Triassic tetrapod assemblage of the Fremouw Formation (Transantarctic Basin) of Antarctica</t>
  </si>
  <si>
    <t>JOURNAL OF VERTEBRATE PALEONTOLOGY</t>
  </si>
  <si>
    <t>SOUTH-AFRICA; KAROO BASIN; THERAPSIDA THEROCEPHALIA; ZONE; EXTINCTION; BOUNDARY; FAUNA; BIOSTRATIGRAPHY; EUTHERIODONTIA; CLASSIFICATION</t>
  </si>
  <si>
    <t>The Fremouw Formation (Transantarctic Basin) of Antarctica preserves an exceptional fossil record of tetrapods from the beginning of the Mesozoic at high paleolatitude. Many of these fossils can be identified to species that also occur in the much richer Lystrosaurus declivis Assemblage Zone of South Africa's Karoo Basin, but endemic species also occur. A third category of Antarctic fossils includes those that can only be broadly classified or lack sufficient diagnostic features for a synapomorphy-based identification. Therocephalians are a prime example of the last category, with Akidognathidae indet., Baurioidea indet., and cf. Ericiolacerta parva, currently recognized from the lower Fremouw Formation. Here we describe the most complete skull for an Antarctic therocephalian discovered to date. Notictoides absens, gen. et sp. nov., preserves a unique dental formula, a large intranarial portion of the septomaxilla, two bony excrescences along the rostral margin of the lacrimal, and a complete secondary palate formed by the maxilla. These features, in combination with a sagittal crest with a slit-like parietal foramen, a long, low dentary, and reduced upper and lower antecanine tooth count, suggest a relatively derived position for N. absens within baurioids. Indeed, the results of an updated cladistic analysis unite N. absens with the clade including Nothogomphodon, Ordosiodon, and Bauriidae. More broadly, the discovery of a third endemic species in the Lower Triassic rocks of the Fremouw Formation suggests that diversification in the wake of the Permian-Triassic mass extinction was likely more geographically complex than currently appreciated.</t>
  </si>
  <si>
    <t>[Sidor, Christian A.; Kulik, Zoe T.] Univ Washington, Dept Biol, Seattle, WA 98185 USA; [Sidor, Christian A.; Kulik, Zoe T.] Univ Washington, Burke Museum, Seattle, WA 98185 USA; [Huttenlocker, Adam K.] Univ Southern Calif, Dept Integrat Anat Sci, Los Angeles, CA 90033 USA; [Huttenlocker, Adam K.] Nat Hist Museum Los Angeles Cty, Los Angeles, CA 90007 USA</t>
  </si>
  <si>
    <t>University of Washington; University of Washington Seattle; University of Washington; University of Washington Seattle; University of Southern California</t>
  </si>
  <si>
    <t>Sidor, CA (corresponding author), Univ Washington, Dept Biol, Seattle, WA 98185 USA.;Sidor, CA (corresponding author), Univ Washington, Burke Museum, Seattle, WA 98185 USA.</t>
  </si>
  <si>
    <t>casidor@uw.edu; zkulik@uw.edu; ahuttenlocker@gmail.com</t>
  </si>
  <si>
    <t>Kulik, Zoe/0000-0003-0789-5380; Sidor, Christian/0000-0003-0742-4829; Huttenlocker, Adam/0000-0002-7335-3208</t>
  </si>
  <si>
    <t>NSF [ANT-1341304]</t>
  </si>
  <si>
    <t>We thank J. McIntosh for discovering the specimen and the rest of the team (P. Braddock, P. Makovicky, A. Shinya, N. Smith, R. Smith, N. Tabor, M. Whitney, and C. Woolley) for collaboration and companionship during the 2017-18 field season. We thank A. Shinya for her exceptional preparation of a very difficult specimen and C. Shin for her illustrations. We thank M. Norell, R. O'Leary, and C. Mehling for arranging for AMNH FARB 9525 to be scanned at the AMNH and J. Sean Yeung for scanning UWBM VP 117466 at the University of Washington. This research was supported by NSF ANT-1341304 (to C.A.S.). Logistical support in Antarctica was provided by the National Science Foundation through the U.S. Antarctic Program. Finally, we thank C. Kammerer and an anonymous reviewer for their helpful edits and suggestions.</t>
  </si>
  <si>
    <t>TAYLOR &amp; FRANCIS INC</t>
  </si>
  <si>
    <t>PHILADELPHIA</t>
  </si>
  <si>
    <t>530 WALNUT STREET, STE 850, PHILADELPHIA, PA 19106 USA</t>
  </si>
  <si>
    <t>0272-4634</t>
  </si>
  <si>
    <t>1937-2809</t>
  </si>
  <si>
    <t>J VERTEBR PALEONTOL</t>
  </si>
  <si>
    <t>J. Vertebr. Paleontol.</t>
  </si>
  <si>
    <t>NOV 2</t>
  </si>
  <si>
    <t>10.1080/02724634.2021.2081510</t>
  </si>
  <si>
    <t>3O0NQ</t>
  </si>
  <si>
    <t>WOS:000827009300001</t>
  </si>
  <si>
    <t>Tanarro, LM; Palacios, D; Fernández-Fernández, JM; Andrés, N; Oliva, M; Rodríguez-Mena, M; Schimmelpfennig, I; Brynjólfsson, S; Sæmundsson, T; Zamorano, JJ; Ubeda, J</t>
  </si>
  <si>
    <t>Tanarro, Luis M.; Palacios, David; Fernandez-Fernandez, Jose M.; Andres, Nuria; Oliva, Marc; Rodriguez-Mena, Manuel; Schimmelpfennig, Irene; Brynjolfsson, Skafti; Saemundsson, Thorsteinn; Zamorano, Jose J.; Ubeda, Jose</t>
  </si>
  <si>
    <t>Origins of the divergent evolution of mountain glaciers during deglaciation: Hofsdalur cirques, Northern Iceland</t>
  </si>
  <si>
    <t>Iceland; Hofsdalur; Trollaskagi peninsula; Glacial evolution; Debris-covered glaciers; Rock glaciers; Younger dryas; Holocene; Holocene thermal maximum</t>
  </si>
  <si>
    <t>DEBRIS-COVERED GLACIERS; STRUCTURE-FROM-MOTION; AGE DATING SHD; EQUILIBRIUM-LINE ALTITUDES; MONT-BLANC MASSIF; SCHMIDT-HAMMER; ROCK GLACIERS; HOLOCENE CLIMATE; ICE-AGE; EXPOSURE AGES</t>
  </si>
  <si>
    <t>The aim of this work is to study the process of transformation of debris-free mountain glaciers into debris-covered glaciers and rock glaciers, and to examine the factors driving diverging evolution in similar glacial systems. The study area is the Hofsdalur valley, in the Trollaskagi peninsula (northern Iceland), where several cirques host a great diversity of glaciers and rock glaciers as well as various glacial landforms. Four adjacent cirques have been analysed through a multidisciplinary approach: geomorphological analysis, boulder surface displacement tracking, quantification of recent glacier changes, three dimensional palaeoglacier reconstruction, equilibrium-line altitude calculations and relative and direct dating methods applied to surface boulders. Dating methods included in situ Cl-36 cosmic-ray exposure dating, Schmidt hammer weathering measurements and lichenometric dating. The results confirm that glaciers in Hofsdalur followed an evolution pattern similar to that observed in other cirques in the Trollaskagi peninsula. During the Younger Dryas (12.9-11.7 ka) many of those cirques hosted debris-free glaciers, whose retreat started in the early Holocene. Distinct retreat dynamics and cirque floor elevation conditioned the subsequent glacial evolution. In some Trollaskagi cirques, the ice completely covered the headwalls, which consequently did not supply debris onto the glacier surface, which remained debris-free. In most of these cirques, however, glacier retreat enhanced paraglacial processes and the ice-free cirque walls generated a high debris supply onto the glacier surface. As a result, the glaciers evolved towards debris-covered glaciers or rock glaciers, depending on the local topographical setting. In the lower cirques they collapsed immediately after their formation. At higher altitudes, above the lower permafrost limit, these ice-cored landforms have survived until the present day, but they have been stagnant since the Holocene Thermal Maximum, while the heads of these cirques have hosted debris-free glaciers during the Late Holocene. (C) 2021 The Authors. Published by Elsevier Ltd.</t>
  </si>
  <si>
    <t>[Tanarro, Luis M.; Palacios, David; Andres, Nuria; Rodriguez-Mena, Manuel; Ubeda, Jose] Univ Complutense Madrid, High Mt Phys Geog Res Grp, Dept Geog, Madrid 28040, Spain; [Fernandez-Fernandez, Jose M.] Univ Lisbon, Ctr Estudos Geog CEG, Inst Geog &amp; Ordenamento Terr IGOT, Lisbon, Portugal; [Oliva, Marc] Univ Barcelona, Dept Geog, Barcelona, Spain; [Schimmelpfennig, Irene] Aix Marseille Univ, Coll France, INRAE, CNRS,IRD,UM 34 CEREGE, Technopole Environm Arbois Mediterranee,BP 80, F-13545 Aix En Provence, France; [Brynjolfsson, Skafti] Iceland Inst Nat Hist, Akureyri, Iceland; [Saemundsson, Thorsteinn] Univ Iceland, Fac Life &amp; Environm Sci, Reykjavik, Iceland; [Zamorano, Jose J.] Univ Nacl Autonoma Mexico, Inst Geog, Mexico City, DF, Mexico</t>
  </si>
  <si>
    <t>Complutense University of Madrid; Universidade de Lisboa; University of Barcelona; Centre National de la Recherche Scientifique (CNRS); Institut de Recherche pour le Developpement (IRD); Aix-Marseille Universite; Universite PSL; College de France; INRAE; University of Iceland; Universidad Nacional Autonoma de Mexico</t>
  </si>
  <si>
    <t>Tanarro, LM (corresponding author), Univ Complutense Madrid, High Mt Phys Geog Res Grp, Dept Geog, Madrid 28040, Spain.</t>
  </si>
  <si>
    <t>pace@ghis.ucm.es</t>
  </si>
  <si>
    <t>Ubeda, Jose/H-4179-2015; Fernández-Fernández, Jose M./H-5801-2017; PALACIOS, DAVID/H-3737-2015; Andres, Nuria/C-7146-2015; Oliva, Marc/K-5423-2014; Tanarro, Luis M./H-3381-2015</t>
  </si>
  <si>
    <t>Ubeda, Jose/0000-0003-1304-9607; Andres, Nuria/0000-0002-4362-1195; Oliva, Marc/0000-0001-6521-6388; Tanarro, Luis M./0000-0003-0871-7711</t>
  </si>
  <si>
    <t>Santander Bank-UCM Projects [PR108/20-20]; Nils Mobility Program (EEA GRANTS); NUNANTAR project (Fundacao para a Ciencia e a Tecnologia, Portugal) [02/SAICT/2017e32002]; Ramon y Cajal Program [RYC-2015-17597]; Research Group ANTALP (Antarctic, Arctic, Alpine Environments) -Government of Catalonia [2017-SGR-1102]; INSU; CNRS; ANR</t>
  </si>
  <si>
    <t>Santander Bank-UCM Projects; Nils Mobility Program (EEA GRANTS); NUNANTAR project (Fundacao para a Ciencia e a Tecnologia, Portugal); Ramon y Cajal Program(Spanish Government); Research Group ANTALP (Antarctic, Arctic, Alpine Environments) -Government of Catalonia; INSU(Centre National de la Recherche Scientifique (CNRS)); CNRS(Centre National de la Recherche Scientifique (CNRS)); ANR(Agence Nationale de la Recherche (ANR))</t>
  </si>
  <si>
    <t>This paper was funded by the project PR108/20-20 (Santander Bank-UCM Projects) and Nils Mobility Program (EEA GRANTS), and with the help of the High Mountain Physical Geography Research Group (Universidad Complutense de Madrid). We thank the Icelandic Association for Search and Rescue, the Icelandic Institute of Natural History, the Holar University College, David Palacios Jr. and Maria Palacios for their support in the field. Jose M. Fernandez-Fernandez is funded by a postdoctoral grant supported by the NUNANTAR project (02/SAICT/2017e32002; Fundacao para a Ciencia e a Tecnologia, Portugal). Marc Oliva is supported by the Ramon y Cajal Program (RYC-2015-17597) and by the Research Group ANTALP (Antarctic, Arctic, Alpine Environments; 2017-SGR-1102) funded by the Government of Catalonia. The ASTER national facility (CEREGE, Aix en Provence, France) is supported by the INSU, CNRS and the ANR through the Projets thematiques d'excellence program for the Equipements d'excellence ASTER-CEREGE action and IRD. We thank the comments and suggestions of Dr. Ian S. Evans and anonymous reviewer, which have considerably improved the quality of the manuscript.</t>
  </si>
  <si>
    <t>10.1016/j.quascirev.2021.107248</t>
  </si>
  <si>
    <t>WQ3BF</t>
  </si>
  <si>
    <t>WOS:000713693500007</t>
  </si>
  <si>
    <t>King, MV; Gales, JA; Laberg, JS; McKay, RM; De Santis, L; Kulhanek, DK; Hosegood, PJ; Morris, A</t>
  </si>
  <si>
    <t>King, Maxine, V; Gales, Jenny A.; Laberg, Jan Sverre; McKay, Robert M.; De Santis, Laura; Kulhanek, Denise K.; Hosegood, Phil J.; Morris, Antony</t>
  </si>
  <si>
    <t>IODP Expedition 374 Scientists</t>
  </si>
  <si>
    <t>Pleistocene depositional environments and links to cryosphere-ocean interactions on the eastern Ross Sea continental slope, Antarctica (IODP Hole U1525A)</t>
  </si>
  <si>
    <t>Eastern Ross Sea; Sedimentary process; Trough-mouth fan; Turbidites; Pleistocene</t>
  </si>
  <si>
    <t>DEBRIS-FLOW DEPOSITS; TROUGH-MOUTH FAN; ICE-SHEET; SEDIMENTARY PROCESSES; GLACIAL HISTORY; DEEP-WATER; PRYDZ BAY; SEISMIC STRATIGRAPHY; LAND MARGIN; WEDDELL SEA</t>
  </si>
  <si>
    <t>The repeated proximity of West Antarctic Ice Sheet (WAIS) ice to the eastern Ross Sea continental shelf break during past ice age cycles has been inferred to directly influence sedimentary processes occurring on the continental slope, such as turbidity current and debris flow activity; thus, the records of these processes can be used to study the past history of the WAIS. Ross Sea slope sediments may additionally provide an archive on the history and interplay of density-driven or geostrophic oceanic bottom currents with ice-sheet-driven depositional mechanisms. We investigate the upper 121 m of Hole U1525A, collected during International Ocean Discovery Program (IODP) Expedition 374 in 2018. Hole U1525A is located on the southwestern external levee of the Hillary Canyon (Ross Sea, Antarctica) and the depositional lobe of the nearby trough-mouth fan. Using core descriptions, grain size analysis, and physical properties datasets, we develop a lithofacies scheme that allows construction of a detailed depositional model and environmental history of past ice sheet-ocean interactions at the eastern Ross Sea continental shelf break/slope since similar to 2.4 Ma. The earliest Pleistocene interval (similar to 2.4- similar to 1.4 Ma) represents a hemipelagic environment dominated by ice-rafting and reworking/deposition by relatively persistent bottom current activity. Finely interlaminated silty muds with ice-rafted debris (IRD) layers are interpreted as contourites. Between similar to 1.4 and similar to 0.8 Ma, geostrophic bottom current activity was weaker and turbiditic processes more common, likely related to the increased proximity of grounded ice at the shelf edge. Silty, normally-graded laminations with sharp bases may be the result of flow-stripped turbidity currents overbanking the canyon levee during periods when ice was grounded at or proximal to the shelf edge. A sandy, IRD- and foraminifera-bearing interval dated to similar to 1.18 Ma potentially reflects warmer oceanographic conditions and a period of stronger Antarctic Slope Current flow. This may have enhanced upwelling of warm Circumpolar Deep Water onto the shelf, leading to large-scale glacial retreat at that time. The thickest interval of turbidite interlamination was deposited after similar to 1 Ma, following the onset of the Mid-Pleistocene Transition, interpreted as a time when most ice sheets grew and glacial periods were longer and more extreme. Sedimentation after similar to 0.8 Ma was dominated by glacigenic debris flow deposition, as the trough mouth fan that dominates the eastern Ross Sea continental slope prograded and expanded over the site. These findings will help to improve estimations of WAIS ice extent in future Ross Sea shelf-based modelling studies, and provide a basis for more detailed analysis of the inception and growth of the WAIS under distinct oceanographic conditions.</t>
  </si>
  <si>
    <t>[King, Maxine, V; Gales, Jenny A.; Hosegood, Phil J.] Univ Plymouth, Sch Marine &amp; Biol Sci, Marine Bldg,James St, Plymouth PL4 8AA, Devon, England; [Laberg, Jan Sverre] UIT Arctic Univ Norway, Dept Geosci, Postboks 6050 Langnes, N-9037 Tromso, Norway; [McKay, Robert M.] Victoria Univ Wellington, Antarctic Res Ctr, POB 600, Wellington 6140, New Zealand; [De Santis, Laura] Natl Inst Oceanog &amp; Appl Geophys OGS, Borgo Grotta Gigante 42-C, I-34010 Sgonico, TS, Italy; [Kulhanek, Denise K.] Christian Albrechts Univ Kiel, Inst Geosci, Ludewig Meyn Str 14, D-24118 Kiel, Germany; [Morris, Antony] Univ Plymouth, Sch Geog Earth &amp; Environm Sci, Plymouth PL4 8AA, Devon, England; [IODP Expedition 374 Scientists] Texas A&amp;M Univ, Int Ocean Discovery Program, 1000 Discovery Dr, College Stn, TX 77845 USA</t>
  </si>
  <si>
    <t>University of Plymouth; UiT The Arctic University of Tromso; Victoria University Wellington; Istituto Nazionale di Oceanografia e di Geofisica Sperimentale; University of Kiel; University of Plymouth; Texas A&amp;M University System; Texas A&amp;M University College Station</t>
  </si>
  <si>
    <t>King, MV (corresponding author), Univ Plymouth, Sch Marine &amp; Biol Sci, Marine Bldg,James St, Plymouth PL4 8AA, Devon, England.</t>
  </si>
  <si>
    <t>maxine.king@plymouth.ac.uk; jenny.gales@plymouth.ac.uk; jan.laberg@uit.no; robert.mckay@vuw.ac.nz; ldesantis@inogs.it; denise.kulhanek@ifg.uni-kiel.de; phil.hosegood@plymouth.ac.uk; antony.morris@plymouth.ac.uk</t>
  </si>
  <si>
    <t>Di Roberto, Alessio/AAH-1595-2019</t>
  </si>
  <si>
    <t>Di Roberto, Alessio/0000-0003-1167-8290; McKay, Robert/0000-0002-5602-6985; Gales, Jenny/0000-0003-4402-5800; Beny, Francois/0000-0002-2322-4299</t>
  </si>
  <si>
    <t>European Consortium for Ocean Research Drilling; Research Council of Norway; Royal Society of New Zealand (New Zealand) TeAparangi Marsden Fund [18-VUW-089]; MBIE (New Zealand) [ANTA1801]; Natural Environment Research Council (United Kingdom) [NE/R018189/1]; Italian Antarctic Research Program (Italy) [PNRA16_00016]; US National Science Foundation (United States) [OCE-1326927, OPP2000995]; NERC [NE/R018189/1] Funding Source: UKRI</t>
  </si>
  <si>
    <t>European Consortium for Ocean Research Drilling; Research Council of Norway(Research Council of Norway); Royal Society of New Zealand (New Zealand) TeAparangi Marsden Fund; MBIE (New Zealand); Natural Environment Research Council (United Kingdom)(UK Research &amp; Innovation (UKRI)Natural Environment Research Council (NERC)); Italian Antarctic Research Program (Italy); US National Science Foundation (United States); NERC(UK Research &amp; Innovation (UKRI)Natural Environment Research Council (NERC))</t>
  </si>
  <si>
    <t>This research used samples and data provided by the International Ocean Discovery Program (IODP). We thank the members of IODP Expedition 374 Science Party and the captain and crew of the JOIDES Resolution. JSL acknowledges the support from European Consortium for Ocean Research Drilling and the Research Council of Norway allowing for his participation on Expedition 374 and the post-cruise work. RMM was funded by the Royal Society of New Zealand (New Zealand) TeAparangi Marsden Fund (grant 18-VUW-089) and the MBIE (New Zealand) funded Antarctic Science Platform (ANTA1801). JG was funded by the Natural Environment Research Council (United Kingdom) (grant NE/R018189/1). LD was funded by the Italian Antarctic Research Program (Italy) PNRA16_00016 project. DKK was funded by US National Science Foundation (United States) (grants OCE-1326927 and OPP2000995). All Expedition 374 shipboard datasets are publicly available via the following link: https://web.iodp.tamu.edu/OVERVIEW/.The multichannel seismic profile reprocessed by Riccardo Geletti (OGS) for the IODP Exp. 374 and used in this work is available at the Antarctic Seismic Data Library System (https://sdls.ogs.trieste.it) under the auspices of the Scientific Committee on Antarctic Research (SCAR) policy.</t>
  </si>
  <si>
    <t>10.1016/j.margeo.2021.106674</t>
  </si>
  <si>
    <t>WQ4YV</t>
  </si>
  <si>
    <t>WOS:000713824700004</t>
  </si>
  <si>
    <t>Thomas, SDA; Jones, DC; Faul, A; Mackie, E; Pauthenet, E</t>
  </si>
  <si>
    <t>Thomas, Simon D. A.; Jones, Daniel C.; Faul, Anita; Mackie, Erik; Pauthenet, Etienne</t>
  </si>
  <si>
    <t>Defining Southern Ocean fronts using unsupervised classification</t>
  </si>
  <si>
    <t>OVERTURNING CIRCULATION; ANTHROPOGENIC CARBON; WATER; MODEL; VARIABILITY; CLOSURE; FLUX; SEA</t>
  </si>
  <si>
    <t>Oceanographic fronts are transitions between thermohaline structures with different characteristics. Such transitions are ubiquitous, and their locations and properties affect how the ocean operates as part of the global climate system. In the Southern Ocean, fronts have classically been defined using a small number of continuous, circumpolar features in sea surface height or dynamic height. Modern observational and theoretical developments are challenging and expanding this traditional framework to accommodate a more complex view of fronts. Here, we present a complementary new approach for calculating fronts using an unsupervised classification method called Gaussian mixture modelling (GMM) and a novel inter-class parameter called the I-metric. The I-metric approach produces a probabilistic view of front location, emphasising the fact that the boundaries between water masses are not uniformly sharp across the entire Southern Ocean. The I-metric approach uses thermohaline information from a range of depth levels, making it more general than approaches that only use near-surface properties. We train the GMM using an observationally constrained state estimate in order to have more uniform spatial and temporal data coverage. The probabilistic boundaries defined by the I-metric roughly coincide with several classically defined fronts, offering a novel view of this structure. The I-metric fronts appear to be relatively sharp in the open ocean and somewhat diffuse near large topographic features, possibly highlighting the importance of topographically induced mixing. For comparison with a more localised method, we also use an edge detection approach for identifying fronts. We find a strong correlation between the edge field of the leading principal component and the zonal velocity; the edge detection method highlights the presence of jets, which are supported by thermal wind balance. This more localised method highlights the complex, multiscale structure of Southern Ocean fronts, complementing and contrasting with the more domain-wide view offered by the I-metric. The Sobel edge detection method may be useful for defining and tracking smaller-scale fronts and jets in model or reanalysis data. The I-metric approach may prove to be a useful method for inter-model comparison, as it uses the thermohaline structure of those models instead of tracking somewhat ad hoc values of sea surface height and/or dynamic height, which can vary considerably between models. In addition, the general I-metric approach allows front definitions to shift with changing temperature and salinity structures, which may be useful for characterising fronts in a changing climate.</t>
  </si>
  <si>
    <t>[Thomas, Simon D. A.; Jones, Daniel C.; Faul, Anita; Mackie, Erik] British Antarctic Survey, NERC, UKRI, Cambridge, England; [Thomas, Simon D. A.] Univ Cambridge, Dept Phys, Cambridge, England; [Mackie, Erik] Univ Cambridge, Cambridge Zero, Cambridge, England; [Pauthenet, Etienne] Sorbonne Univ, UPMC Univ, LOCEAN IPSL, Paris, France</t>
  </si>
  <si>
    <t>UK Research &amp; Innovation (UKRI); Natural Environment Research Council (NERC); NERC British Antarctic Survey; University of Cambridge; University of Cambridge; Museum National d'Histoire Naturelle (MNHN); Sorbonne Universite</t>
  </si>
  <si>
    <t>Thomas, SDA (corresponding author), British Antarctic Survey, NERC, UKRI, Cambridge, England.;Thomas, SDA (corresponding author), Univ Cambridge, Dept Phys, Cambridge, England.</t>
  </si>
  <si>
    <t>sithom@bas.ac.uk</t>
  </si>
  <si>
    <t>Thomas, Simon Donald Alistair/ABE-8823-2021</t>
  </si>
  <si>
    <t>Thomas, Simon Donald Alistair/0000-0001-7911-1659; Jones, Dani/0000-0002-8701-4506; Pauthenet, Etienne/0000-0002-0531-3810</t>
  </si>
  <si>
    <t>Natural Environment Research Council [NE/S007210/1, NE/N018028/1]; UK Research and Innovation [MR/T020822/1, EP/S022961/1]; European Research Council H2020 programme [637770]; EPSRC [EP/S022961/1] Funding Source: UKRI; FLF [MR/T020822/1] Funding Source: UKRI; NERC [bas0100033, bas0100032, NE/S007210/1, NE/N018028/1] Funding Source: UKRI; European Research Council (ERC) [637770] Funding Source: European Research Council (ERC)</t>
  </si>
  <si>
    <t>Natural Environment Research Council(UK Research &amp; Innovation (UKRI)Natural Environment Research Council (NERC)); UK Research and Innovation(UK Research &amp; Innovation (UKRI)); European Research Council H2020 programme(European Research Council (ERC)); EPSRC(UK Research &amp; Innovation (UKRI)Engineering &amp; Physical Sciences Research Council (EPSRC)); FLF; NERC(UK Research &amp; Innovation (UKRI)Natural Environment Research Council (NERC)); European Research Council (ERC)(European Research Council (ERC)Spanish Government)</t>
  </si>
  <si>
    <t>This research has been supported by the Natural Environment Research Council (grant nos. NE/S007210/1 and NE/N018028/1), UK Research and Innovation (grant nos. MR/T020822/1 and EP/S022961/1), and the European Research Council H2020 programme (grant no. 637770; WAPITI).</t>
  </si>
  <si>
    <t>10.5194/os-17-1545-2021</t>
  </si>
  <si>
    <t>WR2ZI</t>
  </si>
  <si>
    <t>WOS:000714373000001</t>
  </si>
  <si>
    <t>Lamont, T; Tutt, GCO; Barlow, RG</t>
  </si>
  <si>
    <t>Lamont, T.; Tutt, G. C. O.; Barlow, R. G.</t>
  </si>
  <si>
    <t>Phytoplankton biomass and photophysiology at the sub-Antarctic Prince Edward Islands ecosystem in the Southern Ocean</t>
  </si>
  <si>
    <t>Chlorophyll a; Mixed layer depth; Nutrients; Active fluorescence; Satellite ocean colour</t>
  </si>
  <si>
    <t>CHLOROPHYLL-A CONCENTRATIONS; IN-SITU; FLUORESCENCE; IRON; ENVIRONMENT; VARIABILITY; COMMUNITIES; VALIDATION; DYNAMICS; FEATURES</t>
  </si>
  <si>
    <t>At the sub-Antarctic Prince Edward Islands (PEIs), a diverse ecosystem is supported by enhanced phytoplankton biomass levels, commonly referred to as the island mass effect. Phytoplankton responses to varied environmental conditions during austral summer (December 2008) and autumn (April-May 2013-2018) cruises were characterised by both surface and subsurface chlorophyll a (chla) maxima. While subsurface chla maxima were generally near the base of the upper mixed layer (zuml) during the summer cruise, such maxima were located well below zuml during autumn cruises. Non-photochemical quenching resulted in severe underestimation of surface in situ chla. Substantially low Fv/Fm and sigma PSII in the surface layers during December 2008 confirmed the photoinhibitory effects of high light exposure during the day and suggested damage to phytoplankton photosystem II reaction centres. Physiological measurements revealed that phytoplankton communities were probably not limited by nitrate or iron. However, some nutrient stress may have resulted from low surface silicates, which showed comparatively more daytime depletion during December 2008 than April-May 2013-2015. While the spatial distribution of in situ phytoplankton biomass during December 2008 was reminiscent of the island mass effect, congruent satellite observations surprisingly revealed that chla in the open ocean surrounding the PEIs was in fact much higher than chla on the island shelf. Our findings suggested that upwelling and retention, and consequent phytoplankton biomass accumulation, usually associated with a Taylor column structure at the PEIs may have been disrupted by enhanced offshore advection stemming from the interaction of mesoscale eddies and fronts with the PEI shelf. However, more detailed investigations are required to properly understand the spatial and temporal variations of phytoplankton biomass and their physiological responses to environmental fluctuations.</t>
  </si>
  <si>
    <t>[Lamont, T.; Tutt, G. C. O.] Dept Forestry Fisheries &amp; Environm, Oceans &amp; Coasts Res Branch, V&amp;A Waterfront, POB 52126, ZA-8002 Cape Town, South Africa; [Lamont, T.; Barlow, R. G.] Bayworld Ctr Res &amp; Educ, 5 Riesling Rd, ZA-7806 Cape Town, South Africa; [Lamont, T.] Univ Cape Town, Oceanog Dept, Private Bag X3, ZA-7701 Rondebosch, South Africa; [Lamont, T.] Univ Cape Town, Marine Res Inst, Private Bag X3, ZA-7701 Rondebosch, South Africa</t>
  </si>
  <si>
    <t>University of Cape Town; University of Cape Town</t>
  </si>
  <si>
    <t>Lamont, T (corresponding author), Dept Forestry Fisheries &amp; Environm, Oceans &amp; Coasts Res, V&amp;A Waterfront, POB 52126, ZA-8000 Cape Town, South Africa.</t>
  </si>
  <si>
    <t>tarron.lamont@gmail.com</t>
  </si>
  <si>
    <t>Oceans &amp; Coasts Research Branch of the South African Department of Forestry, Fisheries, and the Environment (DFFE); South African National Research Foundation (NRF) [129229]; Bayworld Centre for Research and Education (BCRE)</t>
  </si>
  <si>
    <t>Oceans &amp; Coasts Research Branch of the South African Department of Forestry, Fisheries, and the Environment (DFFE); South African National Research Foundation (NRF)(National Research Foundation - South Africa); Bayworld Centre for Research and Education (BCRE)</t>
  </si>
  <si>
    <t>We are grateful to the Oceans &amp; Coasts Research Branch of the South African Department of Forestry, Fisheries, and the Environment (DFFE) , as well as the South African National Research Foundation (NRF grant: 129229) , and the Bayworld Centre for Research and Education (BCRE) for funding support, and administrative and logistical assistance. The authors also wish to express sincere gratitude to all DFFE staff, collab-orators, and students who participated in sample and data collections during the cruises, as well as subsequent sample processing and analysis. In particular, we wish to recognise Mr. Marcel van den Berg (DFFE) for his invaluable discussions with regard to verification of CTD sensor output. All in situ data used in this study are available via the South African Marine Information Management System (MIMS; https://data. ocean.gov.za/) , and satellite data products are available from the Copernicus Marine Environment Monitoring Service (CMEMS; http://m arine.copernicus.eu) .</t>
  </si>
  <si>
    <t>10.1016/j.jmarsys.2021.103669</t>
  </si>
  <si>
    <t>WX9RY</t>
  </si>
  <si>
    <t>WOS:000718927000001</t>
  </si>
  <si>
    <t>Leone, P; Buwaya, J; Alpern, S</t>
  </si>
  <si>
    <t>Leone, Pierre; Buwaya, Julia; Alpern, Steve</t>
  </si>
  <si>
    <t>Search-and-rescue rendezvous</t>
  </si>
  <si>
    <t>EUROPEAN JOURNAL OF OPERATIONAL RESEARCH</t>
  </si>
  <si>
    <t>Linear programming; Rendezvous problem on the line; Search-and-rescue rendezvous</t>
  </si>
  <si>
    <t>MOBILE AGENTS; LINE; PROBABILITY; RESOURCES; TOKENS; BOUNDS</t>
  </si>
  <si>
    <t>We consider a new type of asymmetric rendezvous search problem in which player II needs to give player I a 'gift' which can be in the form of information or material. The gift can either be transfered upon meeting, as in traditional rendezvous, or it can be dropped off by player II at a location he passes, in the hope it will be found by player I. The gift might be a water bottle for a traveller lost in the desert; a supply cache for Captain Scott in the Antarctic; or important information (left as a gift). The common aim of the two players is to minimize the time taken for I to either meet II or find the gift. We find optimal agent paths and drop off times when the search region is a line, the initial distance between the players is known and one or both of the players can leave gifts. A novel and important technique introduced in this paper is the use of families of linear programs to solve this and previous rendezvous problems. Previously, the approach was to guess the answer and then prove it was optimal. Our work has applications to other forms of rendezvous on the line: we can solve the symmetric version (players must use the same strategy) with two gifts and we show that there are no asymmetric solutions to this two gifts problem. We also solve the GiftStart problem, where the gift or gifts must be dropped at the start of the game. Furthermore, we can solve the Minmax version of the game where the objective function is to minimize the maximum rendezvous time. This problem admits variations where players have 0 , 1 or 2 gifts at disposal. In particular, we show that the classical Wait For Mommy strategy is optimal for this setting. (c) 2021 The Author(s). Published by Elsevier B.V. This is an open access article under the CC BY license ( http://creativecommons.org/licenses/by/4.0/ )</t>
  </si>
  <si>
    <t>[Leone, Pierre; Buwaya, Julia] Univ Geneva, Dept Comp Sci, Route Drize 7, CH-1227 Carouge, Switzerland; [Alpern, Steve] Univ Warwick, Warwick Business Sch, Coventry CV4 7AL, W Midlands, England</t>
  </si>
  <si>
    <t>University of Geneva; University of Warwick</t>
  </si>
  <si>
    <t>Leone, P (corresponding author), Univ Geneva, Dept Comp Sci, Route Drize 7, CH-1227 Carouge, Switzerland.</t>
  </si>
  <si>
    <t>Pierre.Leone@unige.ch; Julia.Buwaya@unige.ch; Steve.Alpern@wbs.ac.uk</t>
  </si>
  <si>
    <t>Leone, Pierre/N-6906-2016</t>
  </si>
  <si>
    <t>Leone, Pierre/0000-0002-4514-5380</t>
  </si>
  <si>
    <t>0377-2217</t>
  </si>
  <si>
    <t>1872-6860</t>
  </si>
  <si>
    <t>EUR J OPER RES</t>
  </si>
  <si>
    <t>Eur. J. Oper. Res.</t>
  </si>
  <si>
    <t>MAR 1</t>
  </si>
  <si>
    <t>10.1016/j.ejor.2021.05.009</t>
  </si>
  <si>
    <t>Management; Operations Research &amp; Management Science</t>
  </si>
  <si>
    <t>Business &amp; Economics; Operations Research &amp; Management Science</t>
  </si>
  <si>
    <t>WU2ND</t>
  </si>
  <si>
    <t>Green Submitted, hybrid, Green Published</t>
  </si>
  <si>
    <t>WOS:000716386200013</t>
  </si>
  <si>
    <t>Cvetkovska, M; Zhang, X; Vakulenko, G; Benzaquen, S; Szyszka-Mroz, B; Malczewski, N; Smith, DR; Hüner, NPA</t>
  </si>
  <si>
    <t>Cvetkovska, Marina; Zhang, Xi; Vakulenko, Galyna; Benzaquen, Samuel; Szyszka-Mroz, Beth; Malczewski, Nina; Smith, David R.; Huner, Norman P. A.</t>
  </si>
  <si>
    <t>A constitutive stress response is a result of low temperature growth in the Antarctic green alga Chlamydomonas sp. UWO241</t>
  </si>
  <si>
    <t>PLANT CELL AND ENVIRONMENT</t>
  </si>
  <si>
    <t>cold adaptation; heat stress; metabolism; psychrophile; transcriptome</t>
  </si>
  <si>
    <t>HEAT-SHOCK PROTEINS; GENE-EXPRESSION; MOLECULAR CHAPERONES; COLD-ACCLIMATION; ALPHA-TOCOPHEROL; THERMAL-STRESS; ADAPTATION; TOLERANCE; RAUDENSIS; YEAST</t>
  </si>
  <si>
    <t>The Antarctic green alga Chlamydomonas sp. UWO241 is an obligate psychrophile that thrives in the cold (4-6 degrees C) but is unable to survive at temperatures &gt;= 18 degrees C. Little is known how exposure to heat affects its physiology or whether it mounts a heat stress response in a manner comparable to mesophiles. Here, we dissect the responses of UWO241 to temperature stress by examining its growth, primary metabolome and transcriptome under steady-state low temperature and heat stress conditions. In comparison with Chlamydomonas reinhardtii, UWO241 constitutively accumulates metabolites and proteins commonly considered as stress markers, including soluble sugars, antioxidants, polyamines, and heat shock proteins to ensure efficient protein folding at low temperatures. We propose that this results from life at extreme conditions. A shift from 4 degrees C to a non-permissive temperature of 24 degrees C alters the UWO241 primary metabolome and transcriptome, but growth of UWO241 at higher permissive temperatures (10 and 15 degrees C) does not provide enhanced heat protection. UWO241 also fails to induce the accumulation of HSPs when exposed to heat, suggesting that it has lost the ability to fine-tune its heat stress response. Our work adds to the growing body of research on temperature stress in psychrophiles, many of which are threatened by climate change.</t>
  </si>
  <si>
    <t>[Cvetkovska, Marina; Vakulenko, Galyna; Benzaquen, Samuel] Univ Ottawa, Dept Biol, 30 Marie Curie Pr, Ottawa, ON K1N 6N5, Canada; [Zhang, Xi; Szyszka-Mroz, Beth; Malczewski, Nina; Smith, David R.; Huner, Norman P. A.] Univ Western Ontario, Dept Biol, 1151 Richmond St, London, ON N6A 3K7, Canada; [Zhang, Xi; Szyszka-Mroz, Beth; Malczewski, Nina; Smith, David R.; Huner, Norman P. A.] Univ Western Ontario, Biotron Ctr Expt Climate Change Res, London, ON, Canada</t>
  </si>
  <si>
    <t>University of Ottawa; Western University (University of Western Ontario); Western University (University of Western Ontario)</t>
  </si>
  <si>
    <t>Cvetkovska, M (corresponding author), Univ Ottawa, Dept Biol, 30 Marie Curie Pr, Ottawa, ON K1N 6N5, Canada.;Smith, DR (corresponding author), Univ Western Ontario, Dept Biol, 1151 Richmond St, London, ON N6A 3K7, Canada.</t>
  </si>
  <si>
    <t>mcvetkov@uottawa.ca; dsmith242@uwo.ca</t>
  </si>
  <si>
    <t>Smith, David Roy/L-7910-2015; Zhang, Xi/GLU-4807-2022</t>
  </si>
  <si>
    <t>Smith, David Roy/0000-0001-9560-5210; Zhang, Xi/0000-0003-2821-9066; Cvetkovska, Marina/0000-0002-7080-8203</t>
  </si>
  <si>
    <t>Canada Foundation for Innovation; Canada Research Chairs; Natural Sciences and Engineering Research Council of Canada</t>
  </si>
  <si>
    <t>Canada Foundation for Innovation(Canada Foundation for InnovationCGIARSpanish Government); Canada Research Chairs(Canada Research ChairsCGIAR); Natural Sciences and Engineering Research Council of Canada(Natural Sciences and Engineering Research Council of Canada (NSERC)CGIAR)</t>
  </si>
  <si>
    <t>0140-7791</t>
  </si>
  <si>
    <t>1365-3040</t>
  </si>
  <si>
    <t>PLANT CELL ENVIRON</t>
  </si>
  <si>
    <t>Plant Cell Environ.</t>
  </si>
  <si>
    <t>10.1111/pce.14203</t>
  </si>
  <si>
    <t>Plant Sciences</t>
  </si>
  <si>
    <t>XU6YR</t>
  </si>
  <si>
    <t>WOS:000713546300001</t>
  </si>
  <si>
    <t>Lu, QB</t>
  </si>
  <si>
    <t>Lu, Qing-Bin</t>
  </si>
  <si>
    <t>Fingerprints of the cosmic ray driven mechanism of the ozone hole</t>
  </si>
  <si>
    <t>AIP ADVANCES</t>
  </si>
  <si>
    <t>DISSOCIATIVE ELECTRON-ATTACHMENT; NEGATIVE-ION FORMATION; STRATOSPHERIC OZONE; LARGE ENHANCEMENT; CHEMISTRY; CHLORINE; TRENDS; ICE; DEPLETION; CF2CL2</t>
  </si>
  <si>
    <t>There is long research interest in electron-induced reactions of halogenated molecules. It has been two decades since the cosmic-ray (CR) driven electron-induced reaction (CRE) mechanism for the ozone hole formation was proposed. The derived CRE equation with the stratospheric equivalent chlorine level and CR intensity as the only two variables has well reproduced the observed data of stratospheric O-3 and temperatures over the past 40 years. The CRE predictions of 11-year cyclic variations of the Antarctic O-3 hole and associated stratospheric cooling have also been well confirmed. Measured altitude profiles of the ozone and temperatures in Antarctic ozone holes provide convincing fingerprints of the CRE mechanism. A quantitative estimate indicates that the CRE-produced Cl atoms could completely deplete or even overkill the ozone in the CR-peak polar stratospheric region, consistent with the observed altitude profiles of the severest Antarctic ozone holes. After removing the natural CR effect, the hidden recovery in the Antarctic O-3 hole since 1995 is clearly discovered, while the recovery of O-3 loss at mid-latitudes is being delayed by &gt;10 years. These results have provided strong evidence of the CRE mechanism. If the CR intensity keeps the current rising trend, the Antarctic O-3 hole will return to the 1980 level by 2060, while the returning of the O-3 layer at mid-latitudes to the 1980 level will largely be delayed or will not even occur by the end of this century. The results strongly indicate that the CRE mechanism must be considered as a key factor in evaluating the O-3 hole. (C) 2021 Author(s).</t>
  </si>
  <si>
    <t>[Lu, Qing-Bin] Univ Waterloo, Dept Phys &amp; Astron, 200 Univ Ave West, Waterloo, ON N2L 3G1, Canada; [Lu, Qing-Bin] Univ Waterloo, Dept Biol &amp; Chem, 200 Univ Ave West, Waterloo, ON N2L 3G1, Canada</t>
  </si>
  <si>
    <t>University of Waterloo; University of Waterloo</t>
  </si>
  <si>
    <t>Lu, QB (corresponding author), Univ Waterloo, Dept Phys &amp; Astron, 200 Univ Ave West, Waterloo, ON N2L 3G1, Canada.;Lu, QB (corresponding author), Univ Waterloo, Dept Biol &amp; Chem, 200 Univ Ave West, Waterloo, ON N2L 3G1, Canada.</t>
  </si>
  <si>
    <t>qblu@uwaterloo.ca</t>
  </si>
  <si>
    <t>Natural Science and Engineering Research Council of Canada [RGPIN-05040-2017]</t>
  </si>
  <si>
    <t>Natural Science and Engineering Research Council of Canada(Natural Sciences and Engineering Research Council of Canada (NSERC))</t>
  </si>
  <si>
    <t>The author is greatly indebted to the above Science Teams for making these data available. This work was supported by the Natural Science and Engineering Research Council of Canada (Grant No. RGPIN-05040-2017).</t>
  </si>
  <si>
    <t>AIP Publishing</t>
  </si>
  <si>
    <t>MELVILLE</t>
  </si>
  <si>
    <t>1305 WALT WHITMAN RD, STE 300, MELVILLE, NY 11747-4501 USA</t>
  </si>
  <si>
    <t>2158-3226</t>
  </si>
  <si>
    <t>AIP ADV</t>
  </si>
  <si>
    <t>AIP Adv.</t>
  </si>
  <si>
    <t>NOV 1</t>
  </si>
  <si>
    <t>10.1063/5.0047661</t>
  </si>
  <si>
    <t>Nanoscience &amp; Nanotechnology; Materials Science, Multidisciplinary; Physics, Applied</t>
  </si>
  <si>
    <t>Science &amp; Technology - Other Topics; Materials Science; Physics</t>
  </si>
  <si>
    <t>YZ5JP</t>
  </si>
  <si>
    <t>WOS:000755512800001</t>
  </si>
  <si>
    <t>Ross, CL; French, B; Lester, EK; Wilson, SK; Day, PB; Taylor, MD; Barrett, N</t>
  </si>
  <si>
    <t>Ross, Claire L.; French, Ben; Lester, Emily K.; Wilson, Shaun K.; Day, Paul B.; Taylor, Michael D.; Barrett, Neville</t>
  </si>
  <si>
    <t>Coral Communities on Marginal High-Latitude Reefs in West Australian Marine Parks</t>
  </si>
  <si>
    <t>DIVERSITY-BASEL</t>
  </si>
  <si>
    <t>tropicalization; temperate reefs; climate change; long-term monitoring; seawater temperature</t>
  </si>
  <si>
    <t>ROTTNEST ISLAND; LEEUWIN CURRENT; POCILLOPORA-DAMICORNIS; RANGE SHIFTS; POINT COUNT; TEMPERATURE; RECRUITMENT; GROWTH; FISH; PHOTOSYNTHESIS</t>
  </si>
  <si>
    <t>Many temperate reefs are experiencing a shift towards a greater abundance of tropical species in response to marine heatwaves and long-term ocean warming worldwide. Baseline data for coral communities growing in high-latitude reefs is required to better understand ecosystem changes over time. In this study, we explore spatial and temporal trends in the distribution of coral communities from 1999 to 2019 at 118 reef sites within the five marine parks located in the south-west of Western Australia (WA) between 30 degrees to 35 degrees S. Our estimates of coral cover were generally low (&lt;5%), except for a few sites in Jurien Bay Marine Park and Rottnest Island Marine Reserve where coral cover was 10% to 30%. Interannual changes in genera assemblages were detected but were not consistent over time, whereas significant temporal increases in coral cover estimates were found at the lowest latitude site in Jurien Bay. Coral assemblages were primarily distinguished by Turbinaria spp. at Marmion Marine Park and Ngari Capes Marine Park, and Pocillopora spp. and Dipsastraea spp. at Rottnest Island and Jurien Bay. Our findings suggest that conditions in south-west WA are favorable to the ongoing survival of existing genera and there were minimal signs of expansion in coral cover at most study sites. Coral cover and composition on these reefs may, however, change with ongoing ocean warming and increased occurrence of marine heatwaves. This study provides a valuable benchmark for assessing future changes in coral assemblages and highlights the need for targeted hard-coral surveys to quantify subtle changes in high-latitude coral community assemblages.</t>
  </si>
  <si>
    <t>[Ross, Claire L.; French, Ben; Lester, Emily K.; Wilson, Shaun K.] Dept Biodivers Conservat &amp; Attract, Biodivers &amp; Conservat Sci, Marine Sci Program, Kensington, NSW 6151, Australia; [Wilson, Shaun K.; Taylor, Michael D.] Univ Western Australia, Oceans Inst, Crawly 6009, Australia; [Day, Paul B.; Barrett, Neville] Univ Tasmania, Inst Marine &amp; Antarctic Studies, Hobart, Tas 7001, Australia; [Day, Paul B.] Carijoa Marine Environm Consulting, Rivervale 6103, Australia; [Taylor, Michael D.] Univ Western Australia, Sch Biol Sci, Crawly 6009, Australia</t>
  </si>
  <si>
    <t>University of Western Australia; University of Tasmania; University of Western Australia</t>
  </si>
  <si>
    <t>French, B (corresponding author), Dept Biodivers Conservat &amp; Attract, Biodivers &amp; Conservat Sci, Marine Sci Program, Kensington, NSW 6151, Australia.</t>
  </si>
  <si>
    <t>claire.ross@dbca.wa.gov.au; benfrenchh@gmail.com; elester@aims.gov.au; shaun.wilson@dbca.wa.gov.au; paul@carijoa.com; michael.taylor@research.uwa.edu.au; neville.barrett@utas.edu.au</t>
  </si>
  <si>
    <t>Wilson, Shaun/K-8597-2019; Ross, Claire L/C-7759-2015; Barrett, Neville/J-7593-2014</t>
  </si>
  <si>
    <t>Wilson, Shaun/0000-0002-4590-0948; Ross, Claire/0000-0002-3595-1469; Barrett, Neville/0000-0002-6167-1356; Taylor, Michael/0000-0001-8136-5359</t>
  </si>
  <si>
    <t>ARC grant [LP150100761]; Coastwest; State Natural Resource Management Program (NRM WA); Australian Research Council [LP150100761] Funding Source: Australian Research Council</t>
  </si>
  <si>
    <t>ARC grant(Australian Research Council); Coastwest; State Natural Resource Management Program (NRM WA); Australian Research Council(Australian Research Council)</t>
  </si>
  <si>
    <t>An ARC grant (LP150100761) contributed to surveys in JBMP and NCMP. The Rottnest Island field survey funding was provided by grants from Coastwest and the State Natural Resource Management Program (NRM WA), with long-term support from the Rottnest Island Authority and DBCA marine park monitoring and research funding.</t>
  </si>
  <si>
    <t>MDPI</t>
  </si>
  <si>
    <t>BASEL</t>
  </si>
  <si>
    <t>ST ALBAN-ANLAGE 66, CH-4052 BASEL, SWITZERLAND</t>
  </si>
  <si>
    <t>1424-2818</t>
  </si>
  <si>
    <t>Diversity-Basel</t>
  </si>
  <si>
    <t>10.3390/d13110554</t>
  </si>
  <si>
    <t>1X0LX</t>
  </si>
  <si>
    <t>WOS:000807157000001</t>
  </si>
  <si>
    <t>Gravit, M; Shabunina, D</t>
  </si>
  <si>
    <t>Gravit, Marina; Shabunina, Daria</t>
  </si>
  <si>
    <t>Structural Fire Protection of Steel Structures in Arctic Conditions</t>
  </si>
  <si>
    <t>BUILDINGS</t>
  </si>
  <si>
    <t>steel structure; oil and gas facility; super-thin basalt fiber (STBF); hydrocarbon fire; endothermic mat; cryogenic and fire exposure</t>
  </si>
  <si>
    <t>Most structures in the Arctic and Antarctic for oil and gas production are offshore stations, tankers, modules, steel supporting, and enclosing structures, which need to be protected against both cryogenic spills and fire exposure. Oil and gas industry facilities have products of high flammability and explosiveness, which in the case of ignition make it possible to develop a fire along the hydrocarbon curve, accompanied by a sharp jump in temperature and the formation of excessive pressure. This article discusses possible structural fire protection for metal structures in the Arctic region. Three different structural fireproofing materials are presented using super-thin basalt fiber (STBF) as an example. Tests of steel structures with fire protection are demonstrated, as a result of which the time from the beginning of cryogenic exposure to the limit state of samples is determined, and after the time from the beginning of thermal exposure to the limit state of samples under the hydrocarbon temperature regime is determined. An assessment of various flame retardants with values up to 120 min, which can be used in arctic climate conditions, was carried out. It was found that the most effective coatings are materials prepared on the basis of STBF.</t>
  </si>
  <si>
    <t>[Gravit, Marina; Shabunina, Daria] Peter Great St Petersburg Polytech Univ, Civil Engn Inst, St Petersburg 195251, Russia</t>
  </si>
  <si>
    <t>Peter the Great St. Petersburg Polytechnic University</t>
  </si>
  <si>
    <t>Shabunina, D (corresponding author), Peter Great St Petersburg Polytech Univ, Civil Engn Inst, St Petersburg 195251, Russia.</t>
  </si>
  <si>
    <t>marina.gravit@mail.ru; d.shabunina00@gmail.com</t>
  </si>
  <si>
    <t>Gravit, Marina/AAW-5095-2021; Shabunina, Daria/ABS-9461-2022</t>
  </si>
  <si>
    <t>Gravit, Marina/0000-0003-1071-427X; Shabunina, Daria/0000-0002-6155-060X</t>
  </si>
  <si>
    <t>2075-5309</t>
  </si>
  <si>
    <t>BUILDINGS-BASEL</t>
  </si>
  <si>
    <t>10.3390/buildings11110499</t>
  </si>
  <si>
    <t>Construction &amp; Building Technology; Engineering, Civil</t>
  </si>
  <si>
    <t>Construction &amp; Building Technology; Engineering</t>
  </si>
  <si>
    <t>1X1GT</t>
  </si>
  <si>
    <t>WOS:000807211300001</t>
  </si>
  <si>
    <t>Aublanc, J; Thibaut, P; Guillot, A; Boy, F; Picot, N</t>
  </si>
  <si>
    <t>Aublanc, Jeremie; Thibaut, Pierre; Guillot, Amandine; Boy, Francois; Picot, Nicolas</t>
  </si>
  <si>
    <t>Ice Sheet Topography from a New CryoSat-2 SARIn Processing Chain, and Assessment by Comparison to ICESat-2 over Antarctica</t>
  </si>
  <si>
    <t>REMOTE SENSING</t>
  </si>
  <si>
    <t>radar altimetry; SARIn altimetry; ice sheet remote sensing; Antarctic ice sheet; CryoSat-2; ICESat-2</t>
  </si>
  <si>
    <t>RADAR ALTIMETRY; POLAR ICE; ELEVATION; SURFACE; LAND; PERFORMANCE; ATMOSPHERE; GREENLAND; MODEL; OCEAN</t>
  </si>
  <si>
    <t>In this study, we present a new level-2 processing chain dedicated to the CryoSat-2 Synthetic Aperture Radar Interferometric (SARIn) measurements acquired over ice sheets. Compared to the ESA ground segment processor, it includes revised methods to detect waveform leading edges and perform retracking at the Point of Closest Approach (POCA). CryoSat-2 SARIn mode surface height measurements retrieved from the newly developed processing chain are compared to ICESat-2 surface height measurements extracted from the ATL06 product. About 250,000 space-time nearly coincident observations are identified and examined over the Antarctic ice sheet, and over a one-year period. On average, the median elevation bias between both missions is about 18 cm, with CryoSat-2 underestimating the surface topography compared to ICESat-2. The Median Absolute Deviation (MAD) between CryoSat-2 and ICESat-2 elevation estimates is 46.5 cm. These performances were compared to those obtained with CryoSat-2 SARIn mode elevations from the ESA PDGS level-2 products (ICE Baseline-D processor). The MAD between CryoSat-2 and ICESat-2 elevation estimates is significantly reduced with the new processing developed, by about 42%. The improvement is more substantial over areas closer to the coast, where the topography is more complex and surface slope increases. In terms of perspectives, the impacts of surface roughness and volume scattering on the SARIn mode waveforms have to be further investigated. This is crucial to understand geographical variations of the elevation bias between CryoSat-2 and ICESat-2 and continue enhancing the SARIn mode level-2 processing.</t>
  </si>
  <si>
    <t>[Aublanc, Jeremie; Thibaut, Pierre] Parc Technol Canal, Collecte Localisat Satellites CLS, 11 Rue Hermes, F-31520 Ramonville St Agne, France; [Guillot, Amandine; Boy, Francois; Picot, Nicolas] Ctr Natl Etud Spatiales CNES, 18 Ave Edouard Belin, F-31400 Toulouse, France</t>
  </si>
  <si>
    <t>Aublanc, J (corresponding author), Parc Technol Canal, Collecte Localisat Satellites CLS, 11 Rue Hermes, F-31520 Ramonville St Agne, France.</t>
  </si>
  <si>
    <t>jaublanc@groupcls.com; pthibaut@groupcls.com; amandine.guillot@cnes.fr; francois.boy@cnes.fr; nicolas.picot@cnes.fr</t>
  </si>
  <si>
    <t>Aublanc, Jeremie/0009-0000-3090-8093</t>
  </si>
  <si>
    <t>French Space Agency (CNES)</t>
  </si>
  <si>
    <t>French Space Agency (CNES)(Centre National D'etudes Spatiales)</t>
  </si>
  <si>
    <t>This work was supported by the French Space Agency (CNES).</t>
  </si>
  <si>
    <t>2072-4292</t>
  </si>
  <si>
    <t>REMOTE SENS-BASEL</t>
  </si>
  <si>
    <t>Remote Sens.</t>
  </si>
  <si>
    <t>10.3390/rs13224508</t>
  </si>
  <si>
    <t>Environmental Sciences; Geosciences, Multidisciplinary; Remote Sensing; Imaging Science &amp; Photographic Technology</t>
  </si>
  <si>
    <t>Environmental Sciences &amp; Ecology; Geology; Remote Sensing; Imaging Science &amp; Photographic Technology</t>
  </si>
  <si>
    <t>ZX5TH</t>
  </si>
  <si>
    <t>WOS:000771958500002</t>
  </si>
  <si>
    <t>Chen, XT; Chen, JQ; Cheng, X; Zhu, LZ; Li, B; Li, XL</t>
  </si>
  <si>
    <t>Chen, Xintong; Chen, Jiquan; Cheng, Xiao; Zhu, Lizhong; Li, Bing; Li, Xianglan</t>
  </si>
  <si>
    <t>Retreating Shorelines as an Emerging Threat to Adelie Penguins on Inexpressible Island</t>
  </si>
  <si>
    <t>UAV survey; penguin abundance; colony spatial extent; shoreline; elevation</t>
  </si>
  <si>
    <t>ROSS SEA; CLIMATE-CHANGE; POPULATIONS</t>
  </si>
  <si>
    <t>Long-term observation of penguin abundance and distribution may warn of changes in the Antarctic marine ecosystem and provide support for penguin conservation. We conducted an unmanned aerial vehicle (UAV) survey of the Adelie penguin (Pygoscelis adeliae) colony on Inexpressible Island and obtained aerial images with a resolution of 0.07 m in 2018. We estimated penguin abundance and identified the spatial extent of the penguin colony. A total of 24,497 breeding pairs were found on Inexpressible Island within a colony area of 57,507 m(2). Based on historical images, the colony area expanded by 30,613 m(2) and abundance increased by 4063 pairs between 1983 and 2012. Between 2012 and 2018 penguin abundance further increased by 3314 pairs, although the colony area decreased by 1903 m(2). In general, Adelie penguins bred on Inexpressible Island at an elevation &lt;20 m, and &gt;55% of penguins had territories within 150 m of the shoreline. This suggests that penguins prefer to breed in areas with a low elevation and close to the shoreline. We observed a retreat of the shoreline on Inexpressible Island between 1983 and 2018, especially along the northern coast, which may have played a key role in the expansion of the penguin colony on the northern coast. In sum, it appears that retreating shorelines reshaped penguin distribution on the island and may be an emerging risk factor for penguins. These results highlight the importance of remote sensing techniques for monitoring changes in the Antarctic marine ecosystem and providing reliable data for Antarctic penguin conservation.</t>
  </si>
  <si>
    <t>[Chen, Xintong; Li, Xianglan] Beijing Normal Univ, State Key Lab Remote Sensing Sci, Beijing 100875, Peoples R China; [Chen, Xintong; Li, Xianglan] Beijing Normal Univ, Coll Global Change &amp; Earth Syst Sci, Beijing 100875, Peoples R China; [Chen, Jiquan] Michigan State Univ, Dept Geog Environm &amp; Spatial Sci, E Lansing, MI 48823 USA; [Cheng, Xiao] Sun Yat Sen Univ, Sch Geospatial Engn &amp; Sci, Zhuhai 519000, Peoples R China; [Cheng, Xiao] Southern Marine Sci &amp; Engn Guangdong Lab Zhuhai, Zhuhai 519000, Peoples R China; [Cheng, Xiao; Li, Xianglan] Univ Corp Polar Res, Beijing 100875, Peoples R China; [Zhu, Lizhong] Heilongjiang Bur Surveying &amp; Mapping Geog Informa, Harbin 150081, Peoples R China; [Li, Bing] Heilongjiang Geomat Ctr NASG, Harbin 150081, Peoples R China</t>
  </si>
  <si>
    <t>Beijing Normal University; Beijing Normal University; Michigan State University; Sun Yat Sen University; Southern Marine Science &amp; Engineering Guangdong Laboratory; Southern Marine Science &amp; Engineering Guangdong Laboratory (Zhuhai)</t>
  </si>
  <si>
    <t>Li, XL (corresponding author), Beijing Normal Univ, State Key Lab Remote Sensing Sci, Beijing 100875, Peoples R China.;Li, XL (corresponding author), Beijing Normal Univ, Coll Global Change &amp; Earth Syst Sci, Beijing 100875, Peoples R China.;Li, XL (corresponding author), Univ Corp Polar Res, Beijing 100875, Peoples R China.</t>
  </si>
  <si>
    <t>chenxt@mail.bnu.edu.cn; jqchen@msu.edu; chengxiao9@mail.sysu.edu.cn; zlz@hlsm.mnr.gov.cn; lib@hlsm.mnr.gov.cn; xianglan_li@163.com</t>
  </si>
  <si>
    <t>Chen, Jiquan/D-1955-2009</t>
  </si>
  <si>
    <t>Chen, Jiquan/0000-0003-0761-9458; Cheng, Xiao/0000-0001-6910-6565</t>
  </si>
  <si>
    <t>National Key Research and Development Program of China [2018YFC1406906]</t>
  </si>
  <si>
    <t>National Key Research and Development Program of China</t>
  </si>
  <si>
    <t>This study was supported by the National Key Research and Development Program of China (No. 2018YFC1406906).</t>
  </si>
  <si>
    <t>10.3390/rs13224718</t>
  </si>
  <si>
    <t>WOS:000771958500028</t>
  </si>
  <si>
    <t>Gu, MY; Moore, GWK; Wood, K; Wang, ZM</t>
  </si>
  <si>
    <t>Gu, Mingyi; Moore, G. W. K.; Wood, Kevin; Wang, Zhaomin</t>
  </si>
  <si>
    <t>Planetary Boundary Layer Heights from Cruises in Spring to Autumn Chukchi-Beaufort Sea Compared with ERA5</t>
  </si>
  <si>
    <t>ATMOSPHERE</t>
  </si>
  <si>
    <t>planetary boundary layer heights comparison; icebreaker cruises dataset; Chukchi and Beaufort Seas</t>
  </si>
  <si>
    <t>ARCTIC AMPLIFICATION; ICE; TEMPERATURE; CLOUD; WINTER; VARIABILITY; CLIMATOLOGY; OCEAN</t>
  </si>
  <si>
    <t>The planetary boundary layer height (PBLH) is a diagnostic field related to the effective heat capacity of the lower atmosphere, both stable and convective, and it constrains motion in this layer as well as impacts surface warming. Here, we used radiosonde data from five icebreaker cruises to the Chukchi and Beaufort Seas during both spring and fall to derive PBLH using the bulk Ri method, which were then compared with results from ERA5 reanalysis. The ERA5 PBLH was similar to but slightly lower than the ship observations. Clear and consistent seasonal changes were found in both the observations and the reanalysis: PBLH decreased from mid-May to mid-June and subsequently increased after August. The comparison with ERA5 shows that, besides surface temperature, biases in PBLH are also a function of wind direction, suggesting that the availability of upwind observations is also important in representing processes active in the boundary layer over the Arctic Ocean.</t>
  </si>
  <si>
    <t>[Gu, Mingyi] Nanjing Univ Informat Sci &amp; Technol, Sch Atmospher Sci, Nanjing 210044, Peoples R China; [Gu, Mingyi; Moore, G. W. K.] Univ Toronto, Dept Phys, Toronto, ON L5L 1C6, Canada; [Wood, Kevin] Univ Washington, NOAA Pacific Marine Environm Lab, Joint Inst Study Atmosphere &amp; Ocean JISAO, Seattle, WA 98115 USA; [Wang, Zhaomin] Hohai Univ, Minist Nat Resources, Key Lab Marine Hazards Forecasting, Nanjing 210024, Peoples R China; [Wang, Zhaomin] Southern Marine Sci &amp; Engn Guangdong Lab Zhuhai, Zhuhai 519082, Peoples R China</t>
  </si>
  <si>
    <t>Nanjing University of Information Science &amp; Technology; University of Toronto; University of Washington; University of Washington Seattle; National Oceanic Atmospheric Admin (NOAA) - USA; Hohai University; Ministry of Natural Resources of the People's Republic of China; Southern Marine Science &amp; Engineering Guangdong Laboratory; Southern Marine Science &amp; Engineering Guangdong Laboratory (Zhuhai)</t>
  </si>
  <si>
    <t>Moore, GWK (corresponding author), Univ Toronto, Dept Phys, Toronto, ON L5L 1C6, Canada.;Wang, ZM (corresponding author), Hohai Univ, Minist Nat Resources, Key Lab Marine Hazards Forecasting, Nanjing 210024, Peoples R China.;Wang, ZM (corresponding author), Southern Marine Sci &amp; Engn Guangdong Lab Zhuhai, Zhuhai 519082, Peoples R China.</t>
  </si>
  <si>
    <t>mingyi.gu@mail.utoronto.ca; gwk.moore@utoronto.ca; kevin.r.wood@noaa.gov; zhaomin.wang@hhu.edu.cn</t>
  </si>
  <si>
    <t>Moore, George Kent/D-8518-2011</t>
  </si>
  <si>
    <t>Moore, George Kent/0000-0002-3986-5605</t>
  </si>
  <si>
    <t>Innovative Platform Program of Chinese Arctic and Antarctic Administration [CXPT2020009]; Innovation Group Project of Southern Marine Science and Engineering Guangdong Laboratory (Zhuhai) [311021008]; National Natural Science Foundation of China [41941007, 41876220]; China Scholarships Council [201908320511]</t>
  </si>
  <si>
    <t>Innovative Platform Program of Chinese Arctic and Antarctic Administration; Innovation Group Project of Southern Marine Science and Engineering Guangdong Laboratory (Zhuhai); National Natural Science Foundation of China(National Natural Science Foundation of China (NSFC)); China Scholarships Council</t>
  </si>
  <si>
    <t>This study was supported by the Innovative Platform Program of Chinese Arctic and Antarctic Administration under contract (No.CXPT2020009); Innovation Group Project of Southern Marine Science and Engineering Guangdong Laboratory (Zhuhai) (No.311021008); the National Natural Science Foundation of China under contract (No.41941007 and No.41876220); the program of China Scholarships Council (No.201908320511).</t>
  </si>
  <si>
    <t>2073-4433</t>
  </si>
  <si>
    <t>ATMOSPHERE-BASEL</t>
  </si>
  <si>
    <t>Atmosphere</t>
  </si>
  <si>
    <t>10.3390/atmos12111398</t>
  </si>
  <si>
    <t>ZG0NP</t>
  </si>
  <si>
    <t>WOS:000759962600001</t>
  </si>
  <si>
    <t>Taylor-Zavala, R; Ramírez-Rodríguez, O; de Armas-Ricard, M; Sanhueza, H; Higueras-Fredes, F; Mattar, C</t>
  </si>
  <si>
    <t>Taylor-Zavala, Richard; Ramirez-Rodriguez, Oney; de Armas-Ricard, Merly; Sanhueza, Harold; Higueras-Fredes, Francisca; Mattar, Cristian</t>
  </si>
  <si>
    <t>Quantifying Biochemical Traits over the Patagonian Sub-Antarctic Forests and Their Relation to Multispectral Vegetation Indices</t>
  </si>
  <si>
    <t>Chilean Patagonia; Nothofagus pumilio; forest traits; chlorophyll content; UAV; Aysen</t>
  </si>
  <si>
    <t>LEAF-AREA INDEX; CHLOROPHYLL CONTENT; NOTHOFAGUS-PUMILIO; CAROTENOID CONTENT; HYPERSPECTRAL REFLECTANCE; CONTRASTING ELEVATIONS; REMOTE ESTIMATION; CANOPY; GROWTH; RANGE</t>
  </si>
  <si>
    <t>The effects and consequences of global warming on the productivity of the Patagonian forest are still unknown. The use of Unmanned Aerial Vehicles (UAV) promotes new knowledge of the most pristine and unknown sub-antarctic forests located in Chilean Patagonia. This work presents an initial approach to spatialize biochemicals over the Patagonian forests using ultra-high spatial resolution imagery acquired from UAVs equipped with a multispectral (visible, near-infrared, and thermal) sensor. The images were obtained in multiple flights over the Cerro Castillo National Park (Aysen Region, Chile), and several Vegetation Indices (VIs) were estimated. Leaves of Nothofagus pumilio (Poepp. et Endl.) Krasser (Nothofagaceae) individuals were extracted after the flights and were then used to determine the biochemicals traits of chlorophylls (Chl-a and Chl-b) and carotenoids pigments, as well as the total phenolic content (TPC), total flavonoids content (TFC), and the DPPH radical scavenging assay. Their relationships with multiple VIs was analyzed in order to assess the spatiality of the biochemicals traits in the forest during it most productive phenological stage. Results showed high correlations for the biochemical traits pigments (R-2 &gt; 0.75) with the indices DVI, MCARI, and MSAVI1 as the best performing indices, while further spectral availability is needed for significant correlations with biochemicals traits related to the antioxidant capacity. Spatialization of the biochemical traits within UAV imagery was also performed evaluating their representation in the forest. This work allowed us to identify the different spectral behavior of the N. pumilio species, its relation to biochemical traits, and their spatialization, thus presenting the first step to developing a monitoring protocol for the evaluation of the Patagonian forests under the current global warming scenarios in the region.</t>
  </si>
  <si>
    <t>[Taylor-Zavala, Richard; Mattar, Cristian] Univ Aysen, Lab Geosci, Campus Rio Simpson,Obispo Vielmo 62, Coyhaique 5952039, Chile; [Ramirez-Rodriguez, Oney; de Armas-Ricard, Merly; Sanhueza, Harold] Univ Aysen, Lab Chem &amp; Biochem, Campus Lillo,Eusebio Lillo 667, Coyhaique 5951537, Chile; [de Armas-Ricard, Merly] Univ Austral Chile, Campus Patagonia,Camino Coyhaique Alto Km 4, Coyhaique 5950000, Chile; [Higueras-Fredes, Francisca] Univ Chile, Fac Sci, Las Palmeras 3425, Santiago 7800003, Chile</t>
  </si>
  <si>
    <t>Universidad Austral de Chile; Universidad de Chile</t>
  </si>
  <si>
    <t>Mattar, C (corresponding author), Univ Aysen, Lab Geosci, Campus Rio Simpson,Obispo Vielmo 62, Coyhaique 5952039, Chile.</t>
  </si>
  <si>
    <t>richard.taylor@uaysen.cl; oney.ramirez@uaysen.cl; merly.dearmas@uach.cl; harold.sanhueza@uaysen.cl; francisca.higueras@ug.uchile.cl; cristian.mattar@uaysen.cl</t>
  </si>
  <si>
    <t>Ramírez-Rodríguez, Oney O/N-2053-2016</t>
  </si>
  <si>
    <t>de Armas-Ricard, Merly/0000-0001-7766-4938; Ramirez-Rodriguez, Oney/0000-0002-2752-3966; Higueras-Fredes, Francisca/0000-0001-7504-4014</t>
  </si>
  <si>
    <t>Fondequip [170060]; Fondo de Innovacion para la Competitividad, FIC-Aysen 2017 from the Regional Government of Aysen (GORE Aysen), Chile [40000494-0, 40000496-0]; National Student Mobility Program of the Consortium of State Universities of Chile (CUECH)</t>
  </si>
  <si>
    <t>Fondequip; Fondo de Innovacion para la Competitividad, FIC-Aysen 2017 from the Regional Government of Aysen (GORE Aysen), Chile; National Student Mobility Program of the Consortium of State Universities of Chile (CUECH)</t>
  </si>
  <si>
    <t>This work was supported by Fondequip 170060, two Innovation Funds for Competitiveness (Fondo de Innovacion para la Competitividad, FIC-Aysen 2017, BIP codes 40000494-0 and 40000496-0) from the Regional Government of Aysen (GORE Aysen), Chile; and the National Student Mobility Program of the Consortium of State Universities of Chile (CUECH).</t>
  </si>
  <si>
    <t>10.3390/rs13214232</t>
  </si>
  <si>
    <t>ZD8KJ</t>
  </si>
  <si>
    <t>WOS:000758443900001</t>
  </si>
  <si>
    <t>Francelino, MR; Schaefer, C; Skansi, AD; Colwell, S; Bromwich, DH; Jones, P; King, JC; Lazzara, MA; Renwick, J; Solomon, S; Brunet, M; Cerveny, RS</t>
  </si>
  <si>
    <t>Francelino, Marto Rocha; Schaefer, Carlos; Skansi, Aria de Los Milagros; Colwell, Steve; Bromwich, David H.; Jones, Phil; King, John C.; Lazzara, Matthew A.; Renwick, James; Solomon, Susan; Brunet, Manola; Cerveny, Randall S.</t>
  </si>
  <si>
    <t>WMO Evaluation of Two Extreme High Temperatures Occurring in February 2020 for the Antarctic Peninsula Region</t>
  </si>
  <si>
    <t>BULLETIN OF THE AMERICAN METEOROLOGICAL SOCIETY</t>
  </si>
  <si>
    <t>Antarctica; Downslope winds; Extreme events; Surface temperature</t>
  </si>
  <si>
    <t>Two reports of Antarctic region potential new record high temperature observations (18.3 degrees C, 6 February 2020 at Esperanza station and 20.8 degrees C, 9 February 2020 at a Brazilian automated permafrost monitoring station on Seymour Island) were evaluated by a World Meteorological Organization (WMO) panel of atmospheric scientists. The latter figure was reported as 20.75 degrees C in the media. The panel considered the synoptic situation and instrumental setups. It determined that a large high pressure system over the area created fohn conditions and resulted in local warming for both situations. Examination of the data and metadata of the Esperanza station observation revealed no major concerns. However, analysis of data and metadata of the Seymour Island permafrost monitoring station indicated that an improvised radiation shield led to a demonstrable thermal bias error for the temperature sensor. Consequently, the WMO has accepted the 18.3 degrees C value for 1200 LST 6 February 2020 (1500 UTC 6 February 2020) at the Argentine Esperanza station as the new Antarctic region (continental, including mainland and surrounding islands) highest temperature recorded observation but rejected the 20.8 degrees C observation at the Brazilian automated Seymour Island permafrost monitoring station as biased. The committee strongly emphasizes the permafrost monitoring station was not badly designed for its purpose, but the project investigators were forced to improvise a nonoptimal radiation shield after losing the original covering. Second, with regard to media dissemination of this type of information, the committee urges increased caution in early announcements as many media outlets often tend to sensationalize and mischaracterize potential records.</t>
  </si>
  <si>
    <t>[Francelino, Marto Rocha; Schaefer, Carlos] Univ Fed Vicosa, Vicosa, MG, Brazil; [Skansi, Aria de Los Milagros] Serv Meteorol Nacl, Buenos Aires, DF, Argentina; [Colwell, Steve; King, John C.] British Antarctic Survey, Cambridge, England; [Bromwich, David H.] Ohio State Univ, Columbus, OH 43210 USA; [Jones, Phil; Brunet, Manola] Univ East Anglia, Sch Environm Sci, Climat Res Unit, Norwich, Norfolk, England; [Lazzara, Matthew A.] Madison Area Tech Coll, Madison, WI USA; [Lazzara, Matthew A.] Univ Wisconsin, Madison, WI USA; [Renwick, James] Victoria Univ Wellington, Wellington, New Zealand; [Solomon, Susan] MIT, 77 Massachusetts Ave, Cambridge, MA 02139 USA; [Brunet, Manola] Univ Rovira &amp; Virgili, Tarragona, Spain; [Cerveny, Randall S.] Arizona State Univ, Tempe, AZ 85281 USA</t>
  </si>
  <si>
    <t>Universidade Federal de Vicosa; UK Research &amp; Innovation (UKRI); Natural Environment Research Council (NERC); NERC British Antarctic Survey; University System of Ohio; Ohio State University; University of East Anglia; University of Wisconsin System; University of Wisconsin Madison; Victoria University Wellington; Massachusetts Institute of Technology (MIT); Universitat Rovira i Virgili; Arizona State University; Arizona State University-Tempe</t>
  </si>
  <si>
    <t>Cerveny, RS (corresponding author), Arizona State Univ, Tempe, AZ 85281 USA.</t>
  </si>
  <si>
    <t>cerveny@asu.edu</t>
  </si>
  <si>
    <t>Lazzara, Matthew/0000-0002-4343-498X</t>
  </si>
  <si>
    <t>National Science Foundation [1924730, 1823135]</t>
  </si>
  <si>
    <t>National Science Foundation(National Science Foundation (NSF))</t>
  </si>
  <si>
    <t>Dr. Jerry Zou of The Ohio State University prepared the synoptic figures. ERA5 data are available from www.ecmwf.int and can be downloaded from the Copernicus Climate Change Service (C3S) Climate Data Store. Contribution 1603 of Byrd Polar and Climate Research Center. This material and support for M. Lazzara is based upon work supported by the National Science Foundation under Grant 1924730. D. Bromwich was supported under NSF Grant 1823135. We thank Sergio Fabian Montoya and Sabrina Kreni (meteorological observers at Esperanza) and Pedro Diaz (technician at Marambio) and Ricardo Sanchez for sharing photos and additional information.</t>
  </si>
  <si>
    <t>AMER METEOROLOGICAL SOC</t>
  </si>
  <si>
    <t>BOSTON</t>
  </si>
  <si>
    <t>45 BEACON ST, BOSTON, MA 02108-3693 USA</t>
  </si>
  <si>
    <t>0003-0007</t>
  </si>
  <si>
    <t>1520-0477</t>
  </si>
  <si>
    <t>B AM METEOROL SOC</t>
  </si>
  <si>
    <t>Bull. Amer. Meteorol. Soc.</t>
  </si>
  <si>
    <t>E2053</t>
  </si>
  <si>
    <t>E2061</t>
  </si>
  <si>
    <t>10.1175/BAMS-D-21-0040.1</t>
  </si>
  <si>
    <t>ZC1GV</t>
  </si>
  <si>
    <t>Green Accepted, Bronze</t>
  </si>
  <si>
    <t>WOS:000757278200001</t>
  </si>
  <si>
    <t>Pan, XD; Guo, XJ; Li, X; Niu, XL; Yang, XJ; Feng, M; Che, T; Jin, R; Ran, YH; Guo, JW; Hu, XL; Wu, AD</t>
  </si>
  <si>
    <t>Pan, Xiaoduo; Guo, Xuejun; Li, Xin; Niu, Xiaolei; Yang, Xiaojuan; Feng, Min; Che, Tao; Jin, Rui; Ran, Youhua; Guo, Jianwen; Hu, Xiaoli; Wu, Adan</t>
  </si>
  <si>
    <t>National Tibetan Plateau Data Center Promoting Earth System Science on the Third Pole</t>
  </si>
  <si>
    <t>Atmosphere; Climate change; Data mining; Data processing; Databases; Data science</t>
  </si>
  <si>
    <t>GLACIER INVENTORY; LAKE EVOLUTION; SOIL-MOISTURE; PERMAFROST; CHINA; WATER; TEMPERATURE; SATELLITE; SNOW; MAP</t>
  </si>
  <si>
    <t>The Tibetan Plateau, known as the world's Third Pole due to its high altitude, is experiencing rapid, intense climate change, similar to and even far more than that occurring in the Arctic and Antarctic. Scientific data sharing is very important to address the challenges of better understanding the unprecedented changes in the Third Pole and their impacts on the global environment and humans. The National Tibetan Plateau Data Center (TPDC, http://data.tpdc.ac.cn) is one of the first 20 national data centers endorsed by the Ministry of Science and Technology of China in 2019 and features the most complete scientific data for the Tibetan Plateau and surrounding regions, hosting more than 3,500 datasets in diverse disciplines. Fifty datasets featuring high-mountain observations, land surface parameters, near-surface atmospheric forcing, cryospheric variables, and high-profile article-associated data over the Tibetan Plateau, frequently being used to quantify the hydrological cycle and water security, early warning assessments of glacier avalanche disasters, and other geoscience studies on the Tibetan Plateau, are highlighted in this manuscript. The TPDC provides a cloud-based platform with integrated online data acquisition, quality control, analysis, and visualization capability to maximize the efficiency of data sharing. The TPDC shifts from the traditional centralized architecture to a decentralized deployment to effectively connect Third Pole-related data from other domestic and international data sources. As an embryo of data sharing and management over extreme environment in the upcoming big data era, the TPDC is dedicated to filling the gaps in data collection, discovery, and consumption in the Third Pole, facilitating scientific activities, particularly those featuring extensive interdisciplinary data use.</t>
  </si>
  <si>
    <t>[Pan, Xiaoduo; Guo, Xuejun; Li, Xin; Niu, Xiaolei; Yang, Xiaojuan; Feng, Min] Chinese Acad Sci, Inst Tibetan Plateau Res, State Key Lab Tibetan Plateau Earth Syst &amp; Resour, Natl Tibetan Plateau Data Ctr, Beijing, Peoples R China; [Li, Xin; Che, Tao; Jin, Rui] Chinese Acad Sci, Ctr Excellence Tibetan Plateau Earth Sci, Beijing, Peoples R China; [Che, Tao; Jin, Rui; Ran, Youhua; Guo, Jianwen; Hu, Xiaoli; Wu, Adan] Chinese Acad Sci, Northwest Inst Ecoenvironm &amp; Resources, Key Lab Remote Sensing Gansu Prov, Heihe Remote Sensing Expt Res Stn, Lanzhou, Gansu, Peoples R China</t>
  </si>
  <si>
    <t>Chinese Academy of Sciences; Institute of Tibetan Plateau Research, CAS; Chinese Academy of Sciences; Chinese Academy of Sciences</t>
  </si>
  <si>
    <t>Li, X (corresponding author), Chinese Acad Sci, Inst Tibetan Plateau Res, State Key Lab Tibetan Plateau Earth Syst &amp; Resour, Natl Tibetan Plateau Data Ctr, Beijing, Peoples R China.;Li, X (corresponding author), Chinese Acad Sci, Ctr Excellence Tibetan Plateau Earth Sci, Beijing, Peoples R China.</t>
  </si>
  <si>
    <t>xinli@itpcas.ac.cn</t>
  </si>
  <si>
    <t>Ran, Youhua/Q-8041-2017; Che, Tao/K-7136-2013; JIN, Rui/KFS-4048-2024; jin, rui/KHW-6854-2024; Li, Xin/F-7473-2011; Pan, Xiaoduo/R-2132-2016</t>
  </si>
  <si>
    <t>JIN, Rui/0000-0003-4544-6535; Li, Xin/0000-0003-2999-9818; Pan, Xiaoduo/0000-0002-0573-1625</t>
  </si>
  <si>
    <t>Basic Science Center for Tibetan Plateau Earth System (BCTPES, NSFC project) [41988101]; Strategic Priority Research Program of the Chinese Academy of Sciences [XDA20060600]</t>
  </si>
  <si>
    <t>Basic Science Center for Tibetan Plateau Earth System (BCTPES, NSFC project); Strategic Priority Research Program of the Chinese Academy of Sciences(Chinese Academy of Sciences)</t>
  </si>
  <si>
    <t>This work was supported by Basic Science Center for Tibetan Plateau Earth System (BCTPES, NSFC project 41988101) and the Strategic Priority Research Program of the Chinese Academy of Sciences under Grant XDA20060600. The authors thank the anonymous reviewers and the editor for their very helpful comments.</t>
  </si>
  <si>
    <t>E2062</t>
  </si>
  <si>
    <t>E2078</t>
  </si>
  <si>
    <t>10.1175/BAMS-D-21-0004.1</t>
  </si>
  <si>
    <t>WOS:000757278200002</t>
  </si>
  <si>
    <t>Dias, FB; Domingues, CM; Marsland, SJ; Rintoul, SR; Uotila, P; Fiedler, R; Mata, MM; Bindoff, NL; Savita, A</t>
  </si>
  <si>
    <t>Dias, Fabio Boeira; Domingues, Catia M.; Marsland, Simon J.; Rintoul, Stephen R.; Uotila, Petteri; Fiedler, Russell; Mata, Mauricio M.; Bindoff, Nathaniel L.; Savita, Abhishek</t>
  </si>
  <si>
    <t>Subpolar Southern Ocean Response to Changes in the Surface Momentum, Heat, and Freshwater Fluxes under 2xCO2</t>
  </si>
  <si>
    <t>JOURNAL OF CLIMATE</t>
  </si>
  <si>
    <t>Abyssal circulation; Deep convection; Meridional overturning circulation; Ocean circulation; Climate models; Climate variability</t>
  </si>
  <si>
    <t>SEA-LEVEL RISE; DEEP-CONVECTION; CMIP5 MODELS; GLOBAL HEAT; DENSE WATER; ROSS SEAS; WEDDELL; ICE; VARIABILITY; CIRCULATION</t>
  </si>
  <si>
    <t>The Antarctic subpolar Southern Ocean (sSO) has fundamental climate importance. Antarctic Bottom Water (AABW) originates in the sSO and supplies the lower limb of the meridional overturning circulation (MOC), occupying 36% of ocean volume. Climate models struggle to represent continental shelf processes that form AABW. We explore sources of persistent model biases by examining response of the sSO to perturbations in surface forcing in a global ocean-sea ice model (ACCESS-OM2) that forms AABW both on shelf and in open ocean. The sSO response to individual and combined perturbations of surface heat, freshwater, and momentum fluxes follows the WCRP CMIP6 FAFMIP-protocol. Wind perturbation (i.e., a poleward shift and intensification of the westerlies) is dominant, enhancing AABW formation and accelerating the global MOC. This occurs through upwelling of warm waters and inhibition of sea ice growth during winter, which triggers large open water polynya (OWP) events with associated deep convection. These events occur in the Weddell and Ross Seas and their variability is associated with availability of heat at midocean depths. These OWPs cease when the heat reservoir is depleted. Effects of surface warming and freshening only partially compensate changes from increasing winds on ocean stratification and depletion of AABW formation. These results indicate that overly convective models, such ACCESS-OM2, can respond to CO2-perturbed scenarios by forming too much AABW in OWP, which might not hold in models without OWPs. This might contribute to the large intermodel spread thermosteric sea level projections, being relevant to the interpretation of future projections by current climate models.</t>
  </si>
  <si>
    <t>[Dias, Fabio Boeira; Domingues, Catia M.; Marsland, Simon J.; Bindoff, Nathaniel L.; Savita, Abhishek] Univ Tasmania, Inst Marine &amp; Antarctic Studies, Hobart, Tas, Australia; [Dias, Fabio Boeira; Marsland, Simon J.; Savita, Abhishek] CSIRO Oceans &amp; Atmosphere, Victoria, Australia; [Dias, Fabio Boeira; Domingues, Catia M.; Marsland, Simon J.; Bindoff, Nathaniel L.; Savita, Abhishek] Univ Tasmania, ARC Ctr Excellence Climate Extremes, Hobart, Tas, Australia; [Domingues, Catia M.] Natl Oceanog Ctr, Southampton, Hants, England; [Rintoul, Stephen R.; Fiedler, Russell] CSIRO Oceans &amp; Atmosphere, Hobart, Tas, Australia; [Rintoul, Stephen R.] Ctr Southern Hemisphere Oceans Res, Hobart, Tas, Australia; [Rintoul, Stephen R.] Australian Antarctic Program Partnership, Hobart, Tas, Australia; [Uotila, Petteri] Univ Helsinki, Inst Atmospher &amp; Earth Sci Res, Helsinki, Finland; [Mata, Mauricio M.] Univ Fed Rio Grande, Inst Oceanog, Rio Grande, Brazil</t>
  </si>
  <si>
    <t>University of Tasmania; Commonwealth Scientific &amp; Industrial Research Organisation (CSIRO); University of Tasmania; NERC National Oceanography Centre; Commonwealth Scientific &amp; Industrial Research Organisation (CSIRO); University of Helsinki; Universidade Federal do Rio Grande</t>
  </si>
  <si>
    <t>Dias, FB (corresponding author), Univ Tasmania, Inst Marine &amp; Antarctic Studies, Hobart, Tas, Australia.;Dias, FB (corresponding author), CSIRO Oceans &amp; Atmosphere, Victoria, Australia.;Dias, FB (corresponding author), Univ Tasmania, ARC Ctr Excellence Climate Extremes, Hobart, Tas, Australia.</t>
  </si>
  <si>
    <t>fabio.boeiradias@helsinki.fi</t>
  </si>
  <si>
    <t>Uotila, Petteri/A-1703-2012; Marsland, Simon J/A-1453-2012; Mata, Mauricio/H-4605-2011; Domingues, Catia M./A-2901-2015</t>
  </si>
  <si>
    <t>Uotila, Petteri/0000-0002-2939-7561; Marsland, Simon J/0000-0002-5664-5276; Mata, Mauricio/0000-0002-9028-8284; Boeira Dias, Fabio/0000-0002-2965-2120; Savita, Abhishek/0000-0003-2800-3636; Domingues, Catia M./0000-0001-5100-4595</t>
  </si>
  <si>
    <t>Australian Research Council (ARC) [DP160103130]; ARC Centre of Excellence for Climate Extremes [CE170100023]; National Computational Infrastructure through the National Computational Merit Allocation Scheme; Tasmanian Graduate Research Scholarship; CSIRO-UTAS Quantitative Marine Science top-up; Academy of Finland [322432]; Earth Systems and Climate Change Hub of the Australian Government's National Environmental Science Program; Australian Antarctic Program Partnership; Centre for Southern Hemisphere Ocean Research; CSIRO; Qingdao National Laboratory for Marine Science and Technology (QNLM); ARC Future Fellowship [FT130101532]; Natural Environment Research Council [NE/P019293/1]; Brazilian Research Council CNPq [306896/2015-0]; Consortium for Ocean-Sea-Ice Modelling in Australia (COSIMA); Academy of Finland (AKA) [322432] Funding Source: Academy of Finland (AKA); NERC [NE/P019293/1] Funding Source: UKRI</t>
  </si>
  <si>
    <t>Australian Research Council (ARC)(Australian Research Council); ARC Centre of Excellence for Climate Extremes; National Computational Infrastructure through the National Computational Merit Allocation Scheme; Tasmanian Graduate Research Scholarship; CSIRO-UTAS Quantitative Marine Science top-up; Academy of Finland(Research Council of Finland); Earth Systems and Climate Change Hub of the Australian Government's National Environmental Science Program; Australian Antarctic Program Partnership; Centre for Southern Hemisphere Ocean Research; CSIRO(Commonwealth Scientific &amp; Industrial Research Organisation (CSIRO)); Qingdao National Laboratory for Marine Science and Technology (QNLM); ARC Future Fellowship(Australian Research Council); Natural Environment Research Council(UK Research &amp; Innovation (UKRI)Natural Environment Research Council (NERC)); Brazilian Research Council CNPq(Conselho Nacional de Desenvolvimento Cientifico e Tecnologico (CNPQ)); Consortium for Ocean-Sea-Ice Modelling in Australia (COSIMA); Academy of Finland (AKA)(Research Council of Finland); NERC(UK Research &amp; Innovation (UKRI)Natural Environment Research Council (NERC))</t>
  </si>
  <si>
    <t>This work was supported by the Australian Research Council (ARC) Discovery Grant DP160103130, ARC Centre of Excellence for Climate Extremes (CE170100023), and the National Computational Infrastructure through the National Computational Merit Allocation Scheme. FBD and AS were supported by a Tasmanian Graduate Research Scholarship and CSIRO-UTAS Quantitative Marine Science top-up. FBD and PU were supported by the Academy of Finland (Project 322432). RF, SJM, and SRR were supported by the Earth Systems and Climate Change Hub of the Australian Government's National Environmental Science Program. SRR was jointly supported by the Australian Antarctic Program Partnership and by the Centre for Southern Hemisphere Ocean Research, a partnership between CSIRO and the Qingdao National Laboratory forMarine Science and Technology (QNLM). CMD was supported by an ARC Future Fellowship FT130101532 and by the Natural Environment Research Council NE/P019293/1. MMM was supported by the Brazilian Research Council CNPq research grant 306896/2015-0. We are thankful for the support from the Consortium for OceanSea-Ice Modelling in Australia (COSIMA) and to Adam Blaker for useful discussion on the experiment design. We appreciated the constructive comments from the reviewers that helped to improve the manuscript.</t>
  </si>
  <si>
    <t>0894-8755</t>
  </si>
  <si>
    <t>1520-0442</t>
  </si>
  <si>
    <t>J CLIMATE</t>
  </si>
  <si>
    <t>J. Clim.</t>
  </si>
  <si>
    <t>10.1175/JCLI-D-21-0161.1</t>
  </si>
  <si>
    <t>YV3OP</t>
  </si>
  <si>
    <t>Bronze, Green Accepted</t>
  </si>
  <si>
    <t>WOS:000752640800018</t>
  </si>
  <si>
    <t>Roy, T; Sallée, JB; Bopp, L; Metzl, N</t>
  </si>
  <si>
    <t>Roy, Tilla; Sallee, Jean Baptiste; Bopp, Laurent; Metzl, Nicolas</t>
  </si>
  <si>
    <t>Diagnosing CO2-Emission-Induced Feedbacks between the Southern Ocean Carbon Cycle and the Climate System: A Multiple Earth System Model Analysis Using a Water Mass Tracking Approach</t>
  </si>
  <si>
    <t>Southern Ocean; Carbon cycle; Model comparison</t>
  </si>
  <si>
    <t>HISTORICAL BIAS; INTERMEDIATE WATERS; ATMOSPHERIC CO2; CMIP5; DIOXIDE; CIRCULATION; ACIDIFICATION; ATLANTIC; INCREASE</t>
  </si>
  <si>
    <t>Anthropogenic CO2-emission-induced feedbacks between the carbon cycle and the climate system perturb the efficiency of atmospheric CO2 uptake by land and ocean carbon reservoirs. The Southern Ocean is a region where these feedbacks can be largest and differ most among Earth system model projections of twenty-first-century climate change. To improve our mechanistic understanding of these feedbacks, we develop an automated procedure that tracks changes in the positions of Southern Ocean water masses and their carbon uptake. In an idealized ensemble of climate change projections, we diagnose two carbon-concentration feedbacks driven by atmospheric CO2 (due to increasing air-sea CO2 partial pressure difference, dpCO(2), and reducing carbonate buffering capacity) and two carbon-climate feedbacks driven by climate change (due to changes in the water mass surface outcrop areas and local climate impacts). Collectively these feedbacks increase the CO2 uptake by the Southern Ocean and account for almost one-fourth of the global uptake of CO2 emissions. The increase in CO2 uptake is primarily dpCO(2) driven, with Antarctic Intermediate Waters making the largest contribution; the remaining three feedbacks partially offset this increase (by similar to 25%), with maximum reductions in Subantarctic Mode Waters. The process dominating the decrease in CO2 uptake is water mass dependent: reduction in carbonate buffering capacity in Subtropical and Subantarctic Mode Waters, local climate impacts in Antarctic Intermediate Waters, and reduction in outcrop areas in Circumpolar Deep Waters and Antarctic Bottom Waters. Intermodel variability in the feedbacks is predominately dpCO(2) driven and should be a focus of efforts to constrain projection uncertainty.</t>
  </si>
  <si>
    <t>[Roy, Tilla; Bopp, Laurent] Sorbonne Univ, Univ PSL, Ecole Polytech, LMD IPSL,Ecole Normale Super,CNRS, Paris, France; [Roy, Tilla] ECOCEANA, Paris, France; [Sallee, Jean Baptiste; Metzl, Nicolas] Sorbonne Univ, LOCEAN IPSL, CNRS, IRD,MHNH, Paris, France</t>
  </si>
  <si>
    <t>Centre National de la Recherche Scientifique (CNRS); Sorbonne Universite; Universite PSL; Ecole Normale Superieure (ENS); Ecole des Ponts ParisTech; Museum National d'Histoire Naturelle (MNHN); Sorbonne Universite; Centre National de la Recherche Scientifique (CNRS); Institut de Recherche pour le Developpement (IRD)</t>
  </si>
  <si>
    <t>Roy, T (corresponding author), Sorbonne Univ, Univ PSL, Ecole Polytech, LMD IPSL,Ecole Normale Super,CNRS, Paris, France.</t>
  </si>
  <si>
    <t>tilla.roy@ecoceana.org</t>
  </si>
  <si>
    <t>SALLEE, Jean baptiste/HDO-5355-2022</t>
  </si>
  <si>
    <t>metzl, nicolas/0000-0002-1165-1074</t>
  </si>
  <si>
    <t>European Commission's FP7 project [264879]; European Union [821001, 820989]; H2020 Societal Challenges Programme [821001] Funding Source: H2020 Societal Challenges Programme</t>
  </si>
  <si>
    <t>European Commission's FP7 project; European Union(European Union (EU)); H2020 Societal Challenges Programme(Horizon 2020European Union (EU)H2020 Societal Challenges Programme)</t>
  </si>
  <si>
    <t>This project has received funding from the European Commission's FP7 project under Grant Agreement 264879 (CARBOCHANGE) and the European Union's Horizon 2020 Research and Innovation Programme under Grant Agreements 821001 (SO-CHIC project) and 820989 (COMFORT). We are also grateful to the reviewers for their valuable contributions.</t>
  </si>
  <si>
    <t>45 BEACON ST, BOSTON, MA 02108-3693, UNITED STATES</t>
  </si>
  <si>
    <t>10.1175/JCLI-D-20-0889.1</t>
  </si>
  <si>
    <t>YV3QR</t>
  </si>
  <si>
    <t>WOS:000752646200016</t>
  </si>
  <si>
    <t>Lele, R; Purkey, SG; Nash, JD; MacKinnon, JA; Thurnherr, AM; Whalen, CB; Mecking, S; Voet, G; Talley, LD</t>
  </si>
  <si>
    <t>Lele, Ratnaksha; Purkey, Sarah G.; Nash, Jonathan D.; MacKinnon, Jennifer A.; Thurnherr, Andreas M.; Whalen, Caitlin B.; Mecking, Sabine; Voet, Gunnar; Talley, Lynne D.</t>
  </si>
  <si>
    <t>Abyssal Heat Budget in the Southwest Pacific Basin</t>
  </si>
  <si>
    <t>JOURNAL OF PHYSICAL OCEANOGRAPHY</t>
  </si>
  <si>
    <t>Abyssal circulation; Diapycnal mixing; Mixing; Thermohaline circulation; In situ oceanic observations; Oceanic variability</t>
  </si>
  <si>
    <t>WESTERN-BOUNDARY CURRENT; ANTARCTIC BOTTOM WATER; TURBULENT DISSIPATION; OVERTURNING CIRCULATION; FINESCALE PARAMETERIZATIONS; GLOBAL ABYSSAL; KINETIC-ENERGY; WAVE BREAKING; MIXING RATES; OCEAN</t>
  </si>
  <si>
    <t>The abyssal southwest Pacific basin has warmed significantly between 1992 and 2017, consistent with warming along the bottom limb of the meridional overturning circulation seen throughout the global oceans. Here we present a framework for assessing the abyssal heat budget that includes the time-dependent unsteady effects of decadal warming and direct and indirect estimates of diapycnal mixing from microscale temperature measurements and finescale parameterization. The unsteady terms estimated from the decadal warming rate are shown to be within a factor of 3 of the steady-state terms in the abyssal heat budget for the coldest portion of the water column and therefore cannot be ignored. We show that a reduction in the lateral heat flux for the coldest temperature classes compensated by an increase in warmer waters advected into the basin has important implications for the heat balance and diffusive heat fluxes in the basin. Vertical diffusive heat fluxes are estimated in different ways: using the newly available CTD-mounted microscale temperature measurements, a finescale strain parameterization, and a vertical kinetic energy parameterization from data along the P06 transect along 32.5 degrees S. The unsteady-state abyssal heat budget for the basin shows closure within error estimates, demonstrating that (i) unsteady terms have become consequential for the heat balance in the isotherms closest to the ocean bottom and (ii) direct and indirect estimates from full-depth GO-SHIP hydrographic transects averaged over similarly large spatial and temporal scales can capture the basin-averaged abyssal mixing needed to close the deep overturning circulation.</t>
  </si>
  <si>
    <t>[Lele, Ratnaksha; Purkey, Sarah G.; MacKinnon, Jennifer A.; Voet, Gunnar; Talley, Lynne D.] Univ Calif San Diego, Scripps Inst Oceanog, La Jolla, CA 92093 USA; [Nash, Jonathan D.] Oregon State Univ, Coll Earth Ocean &amp; Atmospher Sci, Corvallis, OR 97331 USA; [Thurnherr, Andreas M.] Columbia Univ, Lamont Doherty Earth Observ, New York, NY USA; [Whalen, Caitlin B.; Mecking, Sabine] Univ Washington, Appl Phys Lab, Seattle, WA 98105 USA</t>
  </si>
  <si>
    <t>University of California System; University of California San Diego; Scripps Institution of Oceanography; Oregon State University; Columbia University; University of Washington; University of Washington Seattle</t>
  </si>
  <si>
    <t>Lele, R (corresponding author), Univ Calif San Diego, Scripps Inst Oceanog, La Jolla, CA 92093 USA.</t>
  </si>
  <si>
    <t>rlele@ucsd.edu</t>
  </si>
  <si>
    <t>Purkey, Sarah G/K-1983-2012; Voet, Gunnar/GRO-4087-2022</t>
  </si>
  <si>
    <t>Voet, Gunnar/0000-0003-1975-186X; Purkey, Sarah/0000-0002-1893-6224; MacKinnon, Jennifer/0000-0002-7690-1185; Thurnherr, Andreas/0000-0002-1977-7122; Talley, Lynne/0000-0003-1574-729X</t>
  </si>
  <si>
    <t>NSF [OCE-2023289, OCE-1923558]; U.S. GO-SHIP [NSF OCE-1437015]; NASA FINESST program [80NSSC20K1609]; National Science Foundation [OCE-1029268, OCE1029483]; [OCE-1335283]</t>
  </si>
  <si>
    <t>NSF(National Science Foundation (NSF)); U.S. GO-SHIP; NASA FINESST program; National Science Foundation(National Science Foundation (NSF));</t>
  </si>
  <si>
    <t>We thank the WOCE, CLIVAR, and GO-SHIP programs for collection of the hydrographic and LADCP data used in this study. CLIVAR and GO-SHIP data were collected and made publicly available by the International Global Ship-based Hydrographic Investigations Program (GO-SHIP; http://www.go-ship.org/) and the national programs that contribute to it. The Argo data used here were collected and made freely available by the International Argo Program and by the national programs that contribute to it (https://argo.ucsd.edu; https://www.ocean-ops.org).The Argo Program is part of the Global Ocean Observing System (https://doi.org/10.17882/42182).Authors Lele, Purkey, MacKinnon, andNashwere supported byNSF (OCE-2023289). Lele was also supported in part by U.S. GO-SHIP (NSF OCE-1437015) and the NASA FINESST program (Grant 80NSSC20K1609). Author Talley was supported in part by U.S. GO-SHIP (NSF OCE-1437015). Author Whalen was supported by NSF Award OCE-1923558. We thank Jim Moum, June Marion, Mike Neeley-Brown, and Andy Pickering for support of x-pod instrumentation, data collection and processing, which was funded in part by OCE-1335283. The Deep Argo data were obtained from the Global Ocean Data Assimilation Experiment. The Samoan Passage observations were funded by the National Science Foundation under Grants OCE-1029268 and OCE1029483. We thank Ilker Fer, Jacob Wenegrat, and an anonymous reviewer whose comments greatly benefited the final form of this paper.</t>
  </si>
  <si>
    <t>0022-3670</t>
  </si>
  <si>
    <t>1520-0485</t>
  </si>
  <si>
    <t>J PHYS OCEANOGR</t>
  </si>
  <si>
    <t>J. Phys. Oceanogr.</t>
  </si>
  <si>
    <t>10.1175/JPO-D-21-0045.1</t>
  </si>
  <si>
    <t>YV4SQ</t>
  </si>
  <si>
    <t>WOS:000752720100001</t>
  </si>
  <si>
    <t>Halzen, F</t>
  </si>
  <si>
    <t>Halzen, F.</t>
  </si>
  <si>
    <t>Neutrino astronomy: The story so far</t>
  </si>
  <si>
    <t>NUOVO CIMENTO C-COLLOQUIA AND COMMUNICATIONS IN PHYSICS</t>
  </si>
  <si>
    <t>ENERGY; JETS</t>
  </si>
  <si>
    <t>The IceCube project transformed a cubic kilometer of transparent natural Antarctic ice into a Cherenkov detector. It discovered PeV-energy neutrinos originating beyond our Galaxy with an energy flux that is comparable to that of GeV-energy gamma rays and EeV-energy cosmic rays. We review the results from IceCube's first decade of operations: the measurement of the diffuse flux, which has been characterized with multiple techniques, and the search for its sources. We subsequently review the multimessenger data that identified the supermassive black hole TXS 0506+056 as a source of cosmic neutrinos and draw attention to the accumulating indications that cosmic neutrinos are associated with gamma-ray-obscured active galaxies.</t>
  </si>
  <si>
    <t>[Halzen, F.] Univ Wisconsin, Dept Phys, 1150 Univ Ave, Madison, WI 53706 USA; [Halzen, F.] Univ Wisconsin, Wisconsin IceCube Particle Phys Ctr, Madison, WI 53706 USA</t>
  </si>
  <si>
    <t>University of Wisconsin System; University of Wisconsin Madison; University of Wisconsin System; University of Wisconsin Madison</t>
  </si>
  <si>
    <t>Halzen, F (corresponding author), Univ Wisconsin, Dept Phys, 1150 Univ Ave, Madison, WI 53706 USA.;Halzen, F (corresponding author), Univ Wisconsin, Wisconsin IceCube Particle Phys Ctr, Madison, WI 53706 USA.</t>
  </si>
  <si>
    <t>U.S. National Science Foundation [PLR-1600823, PHY1913607]; University of Wisconsin Research Committee; Wisconsin Alumni Research Foundation</t>
  </si>
  <si>
    <t>U.S. National Science Foundation(National Science Foundation (NSF)); University of Wisconsin Research Committee; Wisconsin Alumni Research Foundation</t>
  </si>
  <si>
    <t>This research was supported in part by the U.S. National Science Foundation under grants PLR-1600823 and PHY1913607 and by the University of Wisconsin Research Committee with funds granted by the Wisconsin Alumni Research Foundation.</t>
  </si>
  <si>
    <t>SOC ITALIANA FISICA</t>
  </si>
  <si>
    <t>BOLOGNA</t>
  </si>
  <si>
    <t>VIA SARAGOZZA, 12, I-40123 BOLOGNA, ITALY</t>
  </si>
  <si>
    <t>2037-4909</t>
  </si>
  <si>
    <t>1826-9885</t>
  </si>
  <si>
    <t>NUOVO CIM C-COLLOQ C</t>
  </si>
  <si>
    <t>Nuovo Cim. C-Colloq. Commun. Phys.</t>
  </si>
  <si>
    <t>NOV-DEC</t>
  </si>
  <si>
    <t>10.1393/ncc/i2021-21173-7</t>
  </si>
  <si>
    <t>Physics, Multidisciplinary</t>
  </si>
  <si>
    <t>YW6OJ</t>
  </si>
  <si>
    <t>WOS:000753533600004</t>
  </si>
  <si>
    <t>Ivanova, NS; Shalygina, IY; Lezina, EA</t>
  </si>
  <si>
    <t>Ivanova, N. S.; Shalygina, I. Yu; Lezina, E. A.</t>
  </si>
  <si>
    <t>Ozone Content over the Russian Federation in the Third Quarter of 2021</t>
  </si>
  <si>
    <t>RUSSIAN METEOROLOGY AND HYDROLOGY</t>
  </si>
  <si>
    <t>total ozone monitoring in CIS; total ozone anomaly in the third quarter of 2021; Antarctic ozone hole; surface ozone values</t>
  </si>
  <si>
    <t>The review is compiled from the results of operation of the total ozone (TO) monitoring system in Russia and adjoining territories that functions in the operational mode at the Central Aerological Observatory (CAO). The monitoring system uses data from the national network equipped with M-124 filter ozonometers under the methodological supervision of the Main Geophysical Observatory. The quality of the functioning of the entire system is operationally controled based on the OMI satellite equipment observations (NASA, USA). Basic TO observation data are generalized for each month of the third quarter of 2021 and for the third quarter. Data of routine observations of surface ozone values in the Moscow region are also presented.</t>
  </si>
  <si>
    <t>[Ivanova, N. S.] Cent Aerol Observ, Ul Pervomaiskaya 3, Dolgoprudnyi 141700, Moscow Oblast, Russia; [Shalygina, I. Yu] Hydrometeorol Res Ctr Russian Federat, Bolshoi Predtechenskii 11-13, Moscow 123242, Russia; [Lezina, E. A.] Mosekomonitoring State Nat Protect Org, Ul Novyi Arbat 11,Str 1, Moscow 119019, Russia</t>
  </si>
  <si>
    <t>Ivanova, NS (corresponding author), Cent Aerol Observ, Ul Pervomaiskaya 3, Dolgoprudnyi 141700, Moscow Oblast, Russia.</t>
  </si>
  <si>
    <t>oom@cao-rhms.ru</t>
  </si>
  <si>
    <t>[169-00029-19-00]; [169-00034-19-00]</t>
  </si>
  <si>
    <t>;</t>
  </si>
  <si>
    <t>The present review is performed in the framework of the Governmental Assignment themes 169-00029-19-00 (Central Aerological Observatory) and 169-00034-19-00 (Hydrometcenter of Russia).</t>
  </si>
  <si>
    <t>PLEIADES PUBLISHING INC</t>
  </si>
  <si>
    <t>PLEIADES HOUSE, 7 W 54 ST, NEW YORK, NY, UNITED STATES</t>
  </si>
  <si>
    <t>1068-3739</t>
  </si>
  <si>
    <t>1934-8096</t>
  </si>
  <si>
    <t>RUSS METEOROL HYDRO+</t>
  </si>
  <si>
    <t>Russ. Meteorol. Hydrol.</t>
  </si>
  <si>
    <t>10.3103/S1068373921110108</t>
  </si>
  <si>
    <t>YV8CW</t>
  </si>
  <si>
    <t>WOS:000752953700010</t>
  </si>
  <si>
    <t>Tarakanov, RY</t>
  </si>
  <si>
    <t>Tarakanov, R. Yu.</t>
  </si>
  <si>
    <t>Long-Term Linear Meridional Shift of the Jet Structure of the Antarctic Circumpolar Current South of Africa</t>
  </si>
  <si>
    <t>OCEANOLOGY</t>
  </si>
  <si>
    <t>dynamic topography; satellite altimetry; jets; Antarctic Circumpolar Current</t>
  </si>
  <si>
    <t>DRAKE PASSAGE; SEA-LEVEL; FRONTS; VARIABILITY; ALTIMETRY; SECTION</t>
  </si>
  <si>
    <t>The meridional shift of the absolute dynamic topography (ADT) gradient field structure in the zone of the Antarctic Circumpolar Current (ACC) south of Africa (10 degrees E-25 degrees W) was analyzed over the observation period 1993-2018 based on ADT satellite altimetry data at https://marine.copernicus.eu. The study was carried out by an original method based on linear regression calculations. Two 26-year time series of dependences of the mean annual absolute values of the ADT gradient on latitude and on the value of the ADT itself have been analyzed. Analysis of the dependence on latitude showed that in the ACC zone (42 degrees-57 degrees S), there are three zones of increased gradients, conventionally corresponding to the cores of the Subantarctic (SAC), South Polar (SPC), and South Antarctic (SthAC) currents. Analysis of the dependence on the ADT showed that there are four such zones in the ACC zone (-130 to 20 cm in ADT units); an additional zone is observed in the SPC. In general, over the 26 years of observations, a northward latitudinal shift in the structure of the gradient field of the ADT by 0.05 degrees +/- 0.10 degrees has been noted in the ACC zone. At the same time, in the SAC, SPC, and SthAC zones, the mean shifts are 0.16 degrees +/- 0.15 degrees to the south, 0.30 degrees +/- 0.14 degrees to the north, and 0.03 degrees +/- 0.26 degrees to the north, respectively. The extreme values of the shift in the SAC and SPC zones reach 0.4 degrees to the south and 1.4 degrees to the north, respectively. A positive shift in the structure of the gradient field of the ADT is observed in the ACC zone relative to the ADT, amounting to 8.3 +/- 0.9 cm. This shift is generally caused by the corresponding increase in ocean level at geographic points. However, in individual zones within the ACC, the shift can differ significantly from the cited value due to the meridional shift in the structure of the ADT gradient over geographic coordinates. In particular, it reaches 17 cm in the boundary zone between the SAC and SPC. In the ACC zone, an increase in the absolute value of the ADT gradient is also observed (1.9 +/- 2.7 x 10(-3) cm/km), which is equivalent to an increase in the difference of the ADT across the ACC by about 3 cm. This corresponds to the difference in the increase in the ADT at geographical points on the southern and northern periphery of the current. At the same time, in the SAC zone, a decrease in the absolute value of the ADT gradient by 8.0 +/- 4.2 x 10(-3) cm/km is observed, and in the SPC and SthAC, conversely, there is an increase by 10.6 perpendicular to 4.3 x 10(-3) and 8.2 perpendicular to 5.4 x 10(-3) cm/km, respectively.</t>
  </si>
  <si>
    <t>[Tarakanov, R. Yu.] Russian Acad Sci, Shirshov Inst Oceanol, Moscow, Russia</t>
  </si>
  <si>
    <t>Russian Academy of Sciences; Shirshov Institute of Oceanology</t>
  </si>
  <si>
    <t>Tarakanov, RY (corresponding author), Russian Acad Sci, Shirshov Inst Oceanol, Moscow, Russia.</t>
  </si>
  <si>
    <t>rtarakanov@gmail.com</t>
  </si>
  <si>
    <t>Tarakanov, Roman/R-3325-2016</t>
  </si>
  <si>
    <t>Tarakanov, Roman/0000-0002-8711-1859</t>
  </si>
  <si>
    <t>Russian Foundation for Basic Research [19-57-60001]</t>
  </si>
  <si>
    <t>Russian Foundation for Basic Research(Russian Foundation for Basic Research (RFBR)Spanish Government)</t>
  </si>
  <si>
    <t>This work was supported by the Russian Foundation for Basic Research, project no. 19-57-60001 (development of method), and by a state task, topic no. 0128-2021-0002 (data preparation).</t>
  </si>
  <si>
    <t>0001-4370</t>
  </si>
  <si>
    <t>1531-8508</t>
  </si>
  <si>
    <t>OCEANOLOGY+</t>
  </si>
  <si>
    <t>Oceanology</t>
  </si>
  <si>
    <t>10.1134/S000143702106031X</t>
  </si>
  <si>
    <t>YS2QD</t>
  </si>
  <si>
    <t>WOS:000750526200007</t>
  </si>
  <si>
    <t>Polonik, NS; Ponomareva, AL; Eskova, AI; Shakirov, RB; Obzhirov, AI; Morozov, EG</t>
  </si>
  <si>
    <t>Polonik, N. S.; Ponomareva, A. L.; Eskova, A. I.; Shakirov, R. B.; Obzhirov, A. I.; Morozov, E. G.</t>
  </si>
  <si>
    <t>Distribution and Sources of Methane in the Water Layers of the Antarctic Straits: Bransfield Strait and Antarctic Sound</t>
  </si>
  <si>
    <t>dissolved methane; Bransfield Strait; Antarctic Sound; Atlantic sector of the Southern Ocean; methane concentration in seawater</t>
  </si>
  <si>
    <t>HYDROTHERMAL ACTIVITY; HOOK RIDGE; SEDIMENTS; CURRENTS; BASIN; VENT; SEA</t>
  </si>
  <si>
    <t>Methane concentrations were measured in the water layers on two transects crossing the central part of Bransfield Strait and along the Antarctic Sound. In the abyssal sea of the Bransfield Strait (1397 m), for the first time, an area with an abnormally high methane concentration (47.5 nmol/L) in the near bottom layer was found. An increased methane concentration (11.3-16.0 nmol/L) in the bottom layer of seawater was also recorded at a distance of 30-35 km from the central part of the methane anomaly. In the bottom layer of the southern part of the Antarctic Sound below the 400 m isobath, a zone with an increased methane concentration (6.7 nmol/L) was discovered for the first time, which exceeds the average methane concentration in the Weddell Sea. The set of studies carried out allows the conclusion that the source of methane found in the Bransfield Strait is endogenic, and the increase in the methane concentration in the Antarctic Sound is caused by the current.</t>
  </si>
  <si>
    <t>[Polonik, N. S.; Ponomareva, A. L.; Eskova, A. I.; Shakirov, R. B.; Obzhirov, A. I.] Russian Acad Sci, Far Eastern Branch, Ilyichev Pacific Oceanol Inst, Vladivostok 690041, Russia; [Morozov, E. G.] Russian Acad Sci IO RAS, Shirshov Inst Oceanol, Moscow 117218, Russia</t>
  </si>
  <si>
    <t>Ilichev Pacific Oceanological Institute; Russian Academy of Sciences; Russian Academy of Sciences; Shirshov Institute of Oceanology</t>
  </si>
  <si>
    <t>Polonik, NS (corresponding author), Russian Acad Sci, Far Eastern Branch, Ilyichev Pacific Oceanol Inst, Vladivostok 690041, Russia.</t>
  </si>
  <si>
    <t>nikpol@poi.dvo.ru</t>
  </si>
  <si>
    <t>Morozov, Eugene G/L-3023-2018; Shakirov, Renat B/B-7733-2012</t>
  </si>
  <si>
    <t>Polonik, Nikita/0000-0002-4726-9459</t>
  </si>
  <si>
    <t>Russian Foundation for Basic Research [20-55-12010]; POI FEB RAS [FWMM-2019-0006]</t>
  </si>
  <si>
    <t>Russian Foundation for Basic Research(Russian Foundation for Basic Research (RFBR)Spanish Government); POI FEB RAS</t>
  </si>
  <si>
    <t>This study was performed under the state task FWMM2019-0007 Integrated Southern Ocean Environmental Research and state task 0128-2019-0008 Assessment of the Current State of Natural Complexes of the Atlantic Sector of the Southern Ocean and Their Variability of Different Periods (Ecosystems, Bioproductivity, Hydrophysics, Hydro-and Geochemistry).The research was carried out by employees of the laboratories for gas geochemistry and integrated studies of the environment and mineral resources of POI FEB RAS under the state task FWMM-2019-0006 Study of the State and Changes of the Environment Based on Comprehensive Analysis and Modeling of Hydrometeorological, Biogeochemical, Geological Processes and Resources of the Far East. Comparative studies were partially supported by the Russian Foundation for Basic Research (project no. 20-55-12010).</t>
  </si>
  <si>
    <t>10.1134/S0001437021060308</t>
  </si>
  <si>
    <t>WOS:000750526200014</t>
  </si>
  <si>
    <t>Momberg, M; Hedding, DW; Luoto, M; le Roux, PC</t>
  </si>
  <si>
    <t>Momberg, Mia; Hedding, David William; Luoto, Miska; le Roux, Peter Christiaan</t>
  </si>
  <si>
    <t>Species differ in their responses to wind: the underexplored link between species fine-scale occurrences and variation in wind stress</t>
  </si>
  <si>
    <t>JOURNAL OF VEGETATION SCIENCE</t>
  </si>
  <si>
    <t>climatic drivers; community dynamics; fine-scale; species distributions; wind</t>
  </si>
  <si>
    <t>DISTRIBUTION MODELS; PLANT-DISTRIBUTION; INCIDENT RADIATION; CLIMATE-CHANGE; GLOBAL TRENDS; DISPERSAL; VEGETATION; ALPINE; CLASSIFICATION; TURBULENCE</t>
  </si>
  <si>
    <t>Questions Species distribution models have traditionally relied heavily on temperature and precipitation, often ignoring other potentially important variables. However, recent advances have shown other climatic variables, including snow cover and solar radiation, may strongly improve predictions of species occurrence. Wind has long been known to have mechanical and physiological impacts on plants, but has not yet received adequate attention as a driver of species distributions. Location Marion Island, sub-Antarctic. Methods Using data from 1,440 plots in a chronically windy system, we test if wind stress (a combination of wind exposure and wind speed) improves species distribution models of vascular plant species, examining predictions for both species occurrence and cover. Results Wind stress was a significant predictor of the occurrence of 12 of the 16 species, even after accounting for seven other ecophysiologically important abiotic variables. Species showed differential responses to wind, but wind stress was among the four most important drivers for the majority of species when modelling occurrence patterns (10 of 16) and variation in cover (12 of 16). Further, wind stress was more important than all temperature and precipitation variables in predicting the occurrence of six species (and three species' cover). Conclusions Wind conditions were most influential for species that are characteristic of open, wet environments and for pteridophyte species, likely due to high wind speeds and exposure increasing the potential for moisture loss. This research highlights the value of incorporating wind metrics into species distribution models, particularly under changing wind patterns.</t>
  </si>
  <si>
    <t>[Momberg, Mia; le Roux, Peter Christiaan] Univ Pretoria, Dept Plant &amp; Soil Sci, Pretoria, South Africa; [Hedding, David William] Univ South Africa, Dept Geog, Pretoria, South Africa; [Luoto, Miska] Univ Helsinki, Dept Geosci &amp; Geog, Helsinki, Finland</t>
  </si>
  <si>
    <t>University of Pretoria; University of South Africa; University of Helsinki</t>
  </si>
  <si>
    <t>Momberg, M (corresponding author), Univ Pretoria, Dept Plant &amp; Soil Sci, Pretoria, South Africa.</t>
  </si>
  <si>
    <t>miamomberg@gmail.com</t>
  </si>
  <si>
    <t>Luoto, Miska/E-6693-2014; le Roux, Peter Christiaan/E-7784-2011; Hedding, David William/F-3044-2011</t>
  </si>
  <si>
    <t>le Roux, Peter Christiaan/0000-0002-7941-7444; Hedding, David William/0000-0002-9748-4499; Momberg, Mia/0000-0002-8901-9271; Luoto, Miska/0000-0001-6203-5143</t>
  </si>
  <si>
    <t>South Africa's National Research Foundation via the South African National Antarctic Programme [93077, 110726, 110723]; South African National Research Foundation</t>
  </si>
  <si>
    <t>South Africa's National Research Foundation via the South African National Antarctic Programme; South African National Research Foundation(National Research Foundation - South Africa)</t>
  </si>
  <si>
    <t>This research was supported by South Africa's National Research Foundation via the South African National Antarctic Programme, Grant/Awards Numbers: 93077, 110726 and 110723. The research was conducted under permits from the Prince Edward Islands Management Committee (PEIMC1/2013). M.M. received funding from the South African National Research Foundation.</t>
  </si>
  <si>
    <t>1100-9233</t>
  </si>
  <si>
    <t>1654-1103</t>
  </si>
  <si>
    <t>J VEG SCI</t>
  </si>
  <si>
    <t>J. Veg. Sci.</t>
  </si>
  <si>
    <t>e13093</t>
  </si>
  <si>
    <t>10.1111/jvs.13093</t>
  </si>
  <si>
    <t>Plant Sciences; Ecology; Forestry</t>
  </si>
  <si>
    <t>Plant Sciences; Environmental Sciences &amp; Ecology; Forestry</t>
  </si>
  <si>
    <t>XV3YV</t>
  </si>
  <si>
    <t>WOS:000734882300002</t>
  </si>
  <si>
    <t>Hamilton, M; Mascioni, M; Hehenberger, E; Bachy, C; Yung, C; Vernet, M; Worden, AZ</t>
  </si>
  <si>
    <t>Hamilton, Maria; Mascioni, Martina; Hehenberger, Elisabeth; Bachy, Charles; Yung, Charmaine; Vernet, Maria; Worden, Alexandra Z.</t>
  </si>
  <si>
    <t>Spatiotemporal Variations in Antarctic Protistan Communities Highlight Phytoplankton Diversity and Seasonal Dominance by a Novel Cryptophyte Lineage</t>
  </si>
  <si>
    <t>MBIO</t>
  </si>
  <si>
    <t>Antarctic fjords; phytoplankton diversity; community structure; protists; Southern Ocean</t>
  </si>
  <si>
    <t>EUKARYOTIC PHYTOPLANKTON; PYRAMIMONAS-GELIDICOLA; MICROBIAL EUKARYOTES; ROSS SEA; SP-NOV; DYNAMICS; PHYLOGENY; PENINSULA; WATER; WEST</t>
  </si>
  <si>
    <t>The Andvord fjord in the West Antarctic Peninsula (WAP) is known for its productivity and abundant megafauna. Nevertheless, seasonal patterns of the molecular diversity and abundance of protistan community members underpinning WAP productivity remain poorly resolved. We performed spring and fall expeditions pursuing protistan diversity, abundance of photosynthetic taxa, and the connection to changing conditions. 18S rRNA amplicon sequence variant (ASV) profiles revealed diverse predatory protists spanning multiple eukaryotic supergroups, alongside enigmatic heterotrophs like the Picozoa. Among photosynthetic protists, cryptophyte contributions were notable. Analysis of plastid-derived 16S rRNA ASVs supported 18S ASV results, including a dichotomy between cryptophytes and diatom contributions previously reported in other Antarctic regions. We demonstrate that stramenopile and cryptophyte community structures have distinct attributes. Photosynthetic stramenopiles exhibit high diversity, with the polar diatom Fragilariopsis cylindrus, unidentified Chaetoceros species, and others being prominent. Conversely, ASV analyses followed by environmental full-length rRNA gene sequencing, electron microscopy, and flow cytometry revealed that a novel alga dominates the cryptophytes. Phylogenetic analyses established that TPG clade VII, as named here, is evolutionarily distinct from cultivated cryptophyte lineages. Additionally, cryptophyte cell abundance correlated with increased water temperature. Analyses of global data sets showed that clade VII dominates cryptophyte ASVs at Southern Ocean sites and appears to be endemic, whereas in the Arctic and elsewhere, Teleaulax amphioxeia and Plagioselmis prolonga dominate, although both were undetected in Antarctic waters. Collectively, our studies provide baseline data against which future change can be assessed, identify different diversifica-tion patterns between stramenopiles and cryptophytes, and highlight an evolutionarily distinct cryptophyte clade that thrives under conditions enhanced by warming. I MPORTANCE The climate-sensitive waters of the West Antarctic Peninsula (WAP), including its many fjords, are hot spots of productivity that support multiple marine mammal species. Here, we profiled protistan molecular diversity in a WAP fjord known for high productivity and found distinct spatiotemporal patterns across protistan groups. Alongside first insights to seasonal changes in community structure, we discovered a novel phytoplankton species with proliferation patterns linked to temperature shifts. We then examined evolutionary relationships between this novel lineage and other algae and their patterns in global ocean survey data. This established that Arctic and Antarctic cryptophyte communities have different species composition, with the newly identified lineage being endemic to Antarctic waters. Our research provides critical knowledge on how specific phytoplankton at the base of Antarctic food webs respond to warming, as well as information on overall diversity and community structure in this changing polar environment.</t>
  </si>
  <si>
    <t>[Hamilton, Maria; Hehenberger, Elisabeth; Bachy, Charles; Yung, Charmaine; Worden, Alexandra Z.] GEOMAR Helmholtz Ctr Ocean Res Kiel, Ocean EcoSyst Biol Unit, Kiel, Germany; [Hamilton, Maria; Worden, Alexandra Z.] Univ Calif Santa Cruz, Ocean Sci Dept, Santa Cruz, CA 95064 USA; [Hamilton, Maria; Worden, Alexandra Z.] Monterey Bay Aquarium Res Inst, Moss Landing, CA 95039 USA; [Mascioni, Martina] Univ Nacl La Plata, Div Ficol, Fac Ciencias Nat &amp; Museo, La Plata, Argentina; [Mascioni, Martina] Consejo Nacl Invest Cient &amp; Tecn CONICET, Buenos Aires, DF, Argentina; [Vernet, Maria] Univ Calif San Diego, Scripps Inst Oceanog, Integrat Oceanog Div, La Jolla, CA 92093 USA; [Worden, Alexandra Z.] Max Planck Inst Evolutionary Biol, Plon, Germany; [Hehenberger, Elisabeth] Czech Acad Sci, Biol Ctr, Inst Parasitol, Ceske Budejovice, Czech Republic; [Yung, Charmaine] Hong Kong Univ Sci &amp; Technol, Dept Ocean Sci, Kowloon, Clear Water Bay, Hong Kong, Peoples R China</t>
  </si>
  <si>
    <t>Helmholtz Association; GEOMAR Helmholtz Center for Ocean Research Kiel; University of California System; University of California Santa Cruz; Monterey Bay Aquarium Research Institute; National University of La Plata; Museo La Plata; Consejo Nacional de Investigaciones Cientificas y Tecnicas (CONICET); University of California System; University of California San Diego; Scripps Institution of Oceanography; Max Planck Society; Czech Academy of Sciences; Biology Centre of the Czech Academy of Sciences; Hong Kong University of Science &amp; Technology</t>
  </si>
  <si>
    <t>Worden, AZ (corresponding author), GEOMAR Helmholtz Ctr Ocean Res Kiel, Ocean EcoSyst Biol Unit, Kiel, Germany.;Worden, AZ (corresponding author), Univ Calif Santa Cruz, Ocean Sci Dept, Santa Cruz, CA 95064 USA.;Worden, AZ (corresponding author), Monterey Bay Aquarium Res Inst, Moss Landing, CA 95039 USA.;Worden, AZ (corresponding author), Max Planck Inst Evolutionary Biol, Plon, Germany.</t>
  </si>
  <si>
    <t>azworden@geomar.de</t>
  </si>
  <si>
    <t>Worden, Alexandra Z./AAD-6567-2019; Hehenberger, Elisabeth/AAG-3123-2021; Bachy, Charles/L-1341-2019</t>
  </si>
  <si>
    <t>Hehenberger, Elisabeth/0000-0001-7810-1336; Bachy, Charles/0000-0001-8013-8066; Mascioni, Martina/0000-0002-4994-5289; Hamilton, Maria/0000-0003-3149-0156</t>
  </si>
  <si>
    <t>GBMF [3788]; NSF Dimensions [DEB 1639033]</t>
  </si>
  <si>
    <t>GBMF; NSF Dimensions</t>
  </si>
  <si>
    <t>This research was funded by GBMF 3788 and by NSF Dimensions DEB 1639033 (which partially supported M. Hamilton).</t>
  </si>
  <si>
    <t>AMER SOC MICROBIOLOGY</t>
  </si>
  <si>
    <t>1752 N ST NW, WASHINGTON, DC 20036-2904 USA</t>
  </si>
  <si>
    <t>2150-7511</t>
  </si>
  <si>
    <t>mBio</t>
  </si>
  <si>
    <t>e02973-21</t>
  </si>
  <si>
    <t>10.1128/mBio.02973-21</t>
  </si>
  <si>
    <t>XY4LL</t>
  </si>
  <si>
    <t>WOS:000736946000007</t>
  </si>
  <si>
    <t>Garber, AI; Zehnpfennig, JR; Sheik, CS; Henson, MW; Ramírez, GA; Mahon, AR; Halanych, KM; Learman, DR</t>
  </si>
  <si>
    <t>Garber, Arkadiy, I; Zehnpfennig, Jessica R.; Sheik, Cody S.; Henson, Michael W.; Ramirez, Gustavo A.; Mahon, Andrew R.; Halanych, Kenneth M.; Learman, Deric R.</t>
  </si>
  <si>
    <t>Metagenomics of Antarctic Marine Sediment Reveals Potential for Diverse Chemolithoautotrophy</t>
  </si>
  <si>
    <t>MSPHERE</t>
  </si>
  <si>
    <t>Antarctica; chemolithotrophy; marine microbiology; metagenomics; marine sediment</t>
  </si>
  <si>
    <t>COMPLETE GENOME SEQUENCE; AMMONIA-OXIDIZING ARCHAEA; DEEP-SEA SEDIMENTS; 16S RIBOSOMAL-RNA; SUMMER BACTERIOPLANKTON; BACTERIAL DIVERSITY; MOLECULAR-BIOLOGY; ORGANIC-MATTER; OXIDATION; NITRIFICATION</t>
  </si>
  <si>
    <t>The microbial biogeochemical processes occurring in marine sediment in Antarctica remain underexplored due to limited access. Further, these polar habitats are unique, as they are being exposed to significant changes in their climate. To explore how microbes drive biogeochemistry in these sediments, we performed a shotgun metagenomic survey of marine surficial sediment (0 to 3 cm of the seafloor) collected from 13 locations in western Antarctica and assembled 16 high-quality metagenome assembled genomes for focused interrogation of the lifestyles of some abundant lineages. We observe an abundance of genes from pathways for the utilization of reduced carbon, sulfur, and nitrogen sources. Although organotrophy is pervasive, nitrification and sulfide oxidation are the dominant lithotrophic pathways and likely fuel carbon fixation via the reverse tricarboxylic acid and Calvin cycles. Oxygen-dependent terminal oxidases are common, and genes for reduction of oxidized nitrogen are sporadically present in our samples. Our results suggest that the underlying benthic communities are well primed for the utilization of settling organic matter, which is consistent with findings from highly productive surface water. Despite the genetic potential for nitrate reduction, the net catabolic pathway in our samples remains aerobic respiration, likely coupled to the oxidation of sulfur and nitrogen imported from the highly productive Antarctic water column above. IMPORTANCE The impacts of climate change in polar regions, like Antarctica, have the potential to alter numerous ecosystems and biogeochemical cycles. Increasing temperature and freshwater runoff from melting ice can have profound impacts on the cycling of organic and inorganic nutrients between the pelagic and benthic ecosystems. Within the benthos, sediment microbial communities play a critical role in carbon mineralization and the cycles of essential nutrients like nitrogen and sulfur. Metagenomic data collected from sediment samples from the continental shelf of western Antarctica help to examine this unique system and document the metagenomic potential for lithotrophic metabolisms and the cycles of both nitrogen and sulfur, which support not only benthic microbes but also life in the pelagic zone.</t>
  </si>
  <si>
    <t>[Garber, Arkadiy, I] Arizona State Univ, Biodesign Ctr Mech Evolut, Tempe, AZ USA; [Zehnpfennig, Jessica R.; Henson, Michael W.; Mahon, Andrew R.; Learman, Deric R.] Cent Michigan Univ, Dept Biol, Mt Pleasant, MI 48859 USA; [Sheik, Cody S.] Univ Minnesota, Dept Biol, Duluth, MN 55812 USA; [Sheik, Cody S.] Univ Minnesota, Large Lakes Observ, Duluth, MN 55812 USA; [Ramirez, Gustavo A.] Western Univ Hlth Sci, Coll Vet Med, Pomona, CA USA; [Ramirez, Gustavo A.] Univ Haifa, Dept Marine Biol, Haifa, Israel; [Halanych, Kenneth M.] Univ North Carolina Wilmington, Ctr Marine Sci, Wilmington, NC USA; [Henson, Michael W.] Univ Chicago, Dept Geophys Sci, 5734 S Ellis Ave, Chicago, IL 60637 USA</t>
  </si>
  <si>
    <t>Arizona State University; Arizona State University-Tempe; Central Michigan University; University of Minnesota System; University of Minnesota Duluth; University of Minnesota System; University of Minnesota Duluth; Western University of Health Sciences; University of Haifa; University of North Carolina; University of North Carolina Wilmington; University of Chicago</t>
  </si>
  <si>
    <t>Learman, DR (corresponding author), Cent Michigan Univ, Dept Biol, Mt Pleasant, MI 48859 USA.</t>
  </si>
  <si>
    <t>deric.learman@cmich.edu</t>
  </si>
  <si>
    <t>Garber, Arkadiy/AFQ-6110-2022; Halanych, Kenneth/A-9480-2009</t>
  </si>
  <si>
    <t>Garber, Arkadiy/0000-0001-7935-0246; Halanych, Kenneth/0000-0002-8658-9674; Ramirez, Gustavo/0000-0001-8122-4898; Mahon, Andrew/0000-0002-5074-8725; Sheik, Cody/0000-0003-0413-1924; Zehnpfennig, Jessica/0000-0001-9865-2485; Learman, Deric/0000-0003-3809-296X</t>
  </si>
  <si>
    <t>National Science Foundation's Antarctic Program [1043670, 1043745]; Central Michigan University Faculty Research and Creative Endeavors (FRCE) Committee and College of Science and Engineering; Office of Polar Programs (OPP); Directorate For Geosciences [1043670, 1043745] Funding Source: National Science Foundation</t>
  </si>
  <si>
    <t>National Science Foundation's Antarctic Program; Central Michigan University Faculty Research and Creative Endeavors (FRCE) Committee and College of Science and Engineering; Office of Polar Programs (OPP); Directorate For Geosciences(National Science Foundation (NSF)NSF - Directorate for Geosciences (GEO))</t>
  </si>
  <si>
    <t>Support for this project was provided by the National Science Foundation's Antarctic Program: A.R.M. (CMU award 1043670) and K.M.H. (AU award 1043745) and from Central Michigan University Faculty Research and Creative Endeavors (FRCE) Committee and College of Science and Engineering.; Thanks go to the crew and scientific staff onboard the RVIB Nathaniel B. Palmer for assistance with sample collection. Thanks go to Michael Pavia for help in data analysis and to Sean McAllister for insightful discussions regarding analysis of these metagenomes.</t>
  </si>
  <si>
    <t>2379-5042</t>
  </si>
  <si>
    <t>mSphere</t>
  </si>
  <si>
    <t>e00770-21</t>
  </si>
  <si>
    <t>10.1128/mSphere.00770-21</t>
  </si>
  <si>
    <t>XW1QQ</t>
  </si>
  <si>
    <t>WOS:000735403100001</t>
  </si>
  <si>
    <t>Rasera, G; Anabor, V; Steffenel, LA; Pinheiro, DK; Puhales, FS; Rodríguez, LG; Peres, LV</t>
  </si>
  <si>
    <t>Rasera, Gustavo; Anabor, Vagner; Steffenel, Luiz Angelo; Pinheiro, Damaris Kirsch; Puhales, Franciano Scremin; Rodriguez, Lissette Guzman; Peres, Lucas Vaz</t>
  </si>
  <si>
    <t>Analysis of significant stratospheric ozone reductions over southern Brazil: A proposal for a diagnostic index for southern South America</t>
  </si>
  <si>
    <t>METEOROLOGICAL APPLICATIONS</t>
  </si>
  <si>
    <t>forecasting; index; isentropic analysis; ozone; statistical methods; stratosphere</t>
  </si>
  <si>
    <t>HOLE; TRANSPORT; DEPLETION; EVENTS; VORTEX; AIR; TEMPERATURE; RADIATION; EXCHANGE; SPRINGS</t>
  </si>
  <si>
    <t>During the southern spring, a break of the polar vortex over the Antarctic continent frequently occurs. This results in the advection of ozone-poor air mass (O-3) to mid-latitudes, characterizing the secondary effect of the Antarctic ozone hole (SEAOH). We present some distinct characteristics the eight greatest reductions of the total O-3 column (TOC) over the central region of Rio Grande do Sul (RS, 29.5 degrees S, 54 degrees W), southern Brazil, between August and November from 2012 to 2016 and develop a full scalar diagnostic index of O-3 negative anomalies for South America. For developing the index, mean values of the absolute potential vorticity, geopotential height, and wind components were obtained over moving grids with positive and negative O-3 anomalies. It was then possible to develop statistical methods to obtain a diagnostic index of the SEAOH (Subantarctic O-3 Index), as well as a diagnostic index of incursions of ozone-poor air masses from the tropics (Subtropical O-3 Index). The results show that TOC over the central region of RS, for the most intense O-3 reduction episodes, is governed by a wide range of contributions from high and low isentropic levels. Significant interaction of air masses of polar and tropical origin via stratosphere-troposphere exchange was found. Finally, the Subantarctic O-3 Index combined with the Subtropical O-3 Index showed potential use for prediction centres and was skilful in detecting regions with the most negative O-3 anomalies, mainly in the mid-latitude region, but also in the subtropical region.</t>
  </si>
  <si>
    <t>[Rasera, Gustavo; Anabor, Vagner; Puhales, Franciano Scremin; Rodriguez, Lissette Guzman] Univ Fed Santa Maria, Dept Phys, Ave Roraima 1000, BR-97105900 Santa Maria, RS, Brazil; [Steffenel, Luiz Angelo] Univ Reims, Lab LICIIS LRC CEA DIGIT, Reims, France; [Pinheiro, Damaris Kirsch] Univ Fed Santa Maria, Dept Chem Engn, Santa Maria, RS, Brazil; [Peres, Lucas Vaz] Univ Fed Oeste, Inst Engn &amp; Geosci, Santarem, Brazil</t>
  </si>
  <si>
    <t>Universidade Federal de Santa Maria (UFSM); Universite de Reims Champagne-Ardenne; Universidade Federal de Santa Maria (UFSM); Universidade Federal do Oeste do Para</t>
  </si>
  <si>
    <t>Rasera, G (corresponding author), Univ Fed Santa Maria, Dept Phys, Ave Roraima 1000, BR-97105900 Santa Maria, RS, Brazil.</t>
  </si>
  <si>
    <t>grasera13@gmail.com</t>
  </si>
  <si>
    <t>Steffenel, Luiz Angelo/AAE-4573-2020</t>
  </si>
  <si>
    <t>Steffenel, Luiz Angelo/0000-0003-3670-4088; Pinheiro, Damaris/0000-0001-6939-7091; Rasera, Gustavo/0000-0001-6731-8038</t>
  </si>
  <si>
    <t>Coordenac~ao de Aperfeicoamento de Pessoal de Nivel Superior [88887.130176/2017-01]</t>
  </si>
  <si>
    <t>Coordenac~ao de Aperfeicoamento de Pessoal de Nivel Superior(Coordenacao de Aperfeicoamento de Pessoal de Nivel Superior (CAPES))</t>
  </si>
  <si>
    <t>Coordenac~ao de Aperfeicoamento de Pessoal de Nivel Superior, Grant/Award Number: 88887.130176/2017-01</t>
  </si>
  <si>
    <t>1350-4827</t>
  </si>
  <si>
    <t>1469-8080</t>
  </si>
  <si>
    <t>METEOROL APPL</t>
  </si>
  <si>
    <t>Meteorol. Appl.</t>
  </si>
  <si>
    <t>e2034</t>
  </si>
  <si>
    <t>10.1002/met.2034</t>
  </si>
  <si>
    <t>XV8UR</t>
  </si>
  <si>
    <t>WOS:000735210400009</t>
  </si>
  <si>
    <t>Akizawa, N; Yamaguchi, A; Tani, K; Ishikawa, A; Fujita, R; Choi, SH</t>
  </si>
  <si>
    <t>Akizawa, Norikatsu; Yamaguchi, Asuka; Tani, Kenichiro; Ishikawa, Akira; Fujita, Ryo; Choi, Sung Hi</t>
  </si>
  <si>
    <t>HIGHLY REFRACTORY DUNITE FORMATION AT GIBBS ISLAND AND BRUCE BANK, AND ITS ROLE IN THE EVOLUTION OF THE CIRCUM-ANTARCTIC CONTINENT</t>
  </si>
  <si>
    <t>CANADIAN MINERALOGIST</t>
  </si>
  <si>
    <t>Re-Os isotope systematics; highly siderophile element; continental crust; subduction zone; melt-rock interaction</t>
  </si>
  <si>
    <t>SOUTH-SHETLAND ISLANDS; GEOCHEMICAL REFERENCE SAMPLES; ELEMENTAL CONCENTRATION DATA; PLATINUM-GROUP ELEMENT; UPPER-MANTLE BENEATH; MARIE-BYRD-LAND; RE-OS ISOTOPES; PLATE BOUNDARY; PERIDOTITE XENOLITHS; SIDEROPHILE ELEMENT</t>
  </si>
  <si>
    <t>The continental margin is of profound importance as it records continental growth by accretion of orogenic magmas and following continental rifting. A high degree of mantle melting due to hydrous fluid input is expected to simultaneously stimulate continental growth and lower the intrinsic density of the mantle than more fertile mantle, which in turn isolates the continental lithosphere from the convective mantle. The mantle peridotites from Gibbs Island (South Shetland Islands) and Bruce Bank in the Drake Passage provide us an insight into the tectonic history in the circum-Antarctic region. To elucidate the continental growth of Antarctica, we present geochemical data of eight dunites from Gibbs Island and one dunite from Bruce Bank, including Re-Os isotope and highly siderophile element compositions. The dunites are severely affected by serpentinization as evidenced by antigorite +brucite or lizardite (loss on ignition = LOI ranging from 3 to 34 wt.%) but contain primary euhedral to subhedral chromites with or without spherical inclusions. The chromites rarely form lens-shaped aggregates. A dunite from Gibbs Island contains fresh olivine grains filling a fracture in the chromite with low LOI (3 wt.%), indicating a deserpentinization origin from a precursor serpentinized dunite. The dunites show highly depleted bulk-rock major element compositions (Mg/Si= 1.4-1.6 and Al/Si = 0.004-0.01 for Gibbs Island dunites, Mg/ Si = 0.66 and Al/Si = 0.008 for Bruce Bank dunite), overlapping a compositional field defined by forearc peridotites. The positive correlation in Re/Ir-LOI space corroborates Re input during the later serpentinization process. The Os-187/Os-188 ratios of the dunites range from 0.11907 to 0.14493. Phanerozoic Re-depletion (melt depletion) ages of ca. 535-129 Ma are recorded in the Gibbs Island dunites, except for one with a Mesoproterozoic Re-depletion age of ca. 1.2 Ga. Since there exists serpentinization-related perturbation of Re, the ages provide minimum time estimates for melt depletion events. The early Paleozoic melt depletion is inferred to have occurred at a very early stage of Antarctic Peninsula formation in response to plate convergence along the margin of Gondwana, whereas the Mesoproterozoic Re-depletion age reflects convecting mantle heterogeneity unrelated to any nearby crust-forming events. The petrographic characteristics of the chromites and highly depleted nature of the dunites are attributed to melt-peridotite reaction in a subduction zone setting. A feasible interpretation for the dunite formation is that the mantle had experienced two stages of melting with the final stage occurring along the Gondwana continental margin in the subduction zone setting. Resultant highly refractory lithospheric mantle was later displaced and dispersed during the Gondwana breakup. Widespread existence of the dunite may be attributed to multi-stage melt depletion along the continental margin.</t>
  </si>
  <si>
    <t>[Akizawa, Norikatsu; Yamaguchi, Asuka] Univ Tokyo, Atmosphere &amp; Ocean Res Inst, 5-1-5 Kashiwanoha, Kashiwa, Chiba 2778564, Japan; [Tani, Kenichiro] Natl Museum Nat &amp; Sci, Dept Geol &amp; Paleontol, Amakubo 4-1-1, Tsukuba, Ibaraki 3050005, Japan; [Ishikawa, Akira; Fujita, Ryo] Tokyo Inst Technol, Dept Earth &amp; Planetary Sci, Meguro Ku, 2-12-1 Ookayama, Tokyo 1528550, Japan; [Choi, Sung Hi] Chungnam Natl Univ, Dept Geol Sci, 99 Daehakro, Daejeon 34134, South Korea</t>
  </si>
  <si>
    <t>University of Tokyo; National Museum of Nature and Science; Tokyo Institute of Technology; Chungnam National University</t>
  </si>
  <si>
    <t>Akizawa, N (corresponding author), Univ Tokyo, Atmosphere &amp; Ocean Res Inst, 5-1-5 Kashiwanoha, Kashiwa, Chiba 2778564, Japan.</t>
  </si>
  <si>
    <t>akizawa@aori.u-tokyo.ac.jp</t>
  </si>
  <si>
    <t>Akizawa, Norikatsu/ACQ-2639-2022</t>
  </si>
  <si>
    <t>Akizawa, Norikatsu/0000-0003-4210-1160</t>
  </si>
  <si>
    <t>MEXT/JSPS KAKENHI [JP17K14416, JP18H01303, JP20H02003]; Grants-in-Aid for Scientific Research [20H02003, 20K04140] Funding Source: KAKEN</t>
  </si>
  <si>
    <t>MEXT/JSPS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</si>
  <si>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are grateful to M. Ikehara, Y. Harigane, and P.T. Leat, and the other scientists, technicians, officers, and crews abroad Hakuhomaru during the KH-19-6Leg4 cruise. We acknowledge daily discussion with K. Okino, analytical assistance by C. Ohshima, and sampling management by J. Eom. Reviews by an anonymous referee and M. Handler were most appreciated. This work was supported by MEXT/JSPS KAKENHI grant numbers JP17K14416, JP18H01303, and JP20H02003.</t>
  </si>
  <si>
    <t>MINERALOGICAL ASSOC CANADA</t>
  </si>
  <si>
    <t>QUEBEC</t>
  </si>
  <si>
    <t>490, RUE DE LA COURONNE, QUEBEC, QC G1K 9A9, CANADA</t>
  </si>
  <si>
    <t>0008-4476</t>
  </si>
  <si>
    <t>1499-1276</t>
  </si>
  <si>
    <t>CAN MINERAL</t>
  </si>
  <si>
    <t>Can. Mineral.</t>
  </si>
  <si>
    <t>10.3749/canmin.2100030</t>
  </si>
  <si>
    <t>Mineralogy</t>
  </si>
  <si>
    <t>XQ2ZB</t>
  </si>
  <si>
    <t>WOS:000731417400007</t>
  </si>
  <si>
    <t>Smith, AJR; Ratnarajah, L; Holmes, TM; Wuttig, K; Townsend, AT; Westwood, K; Cox, M; Bell, E; Nicol, S; Lannuzel, D</t>
  </si>
  <si>
    <t>Smith, Abigail J. R.; Ratnarajah, Lavenia; Holmes, Thomas M.; Wuttig, Kathrin; Townsend, Ashley T.; Westwood, Karen; Cox, Martin; Bell, Elanor; Nicol, Stephen; Lannuzel, Delphine</t>
  </si>
  <si>
    <t>Circumpolar Deep Water and Shelf Sediments Support Late Summer Microbial Iron Remineralization</t>
  </si>
  <si>
    <t>GLOBAL BIOGEOCHEMICAL CYCLES</t>
  </si>
  <si>
    <t>biogeochemistry; dissolved trace elements; manganese; titanium; coastal</t>
  </si>
  <si>
    <t>KRILL EUPHAUSIA-SUPERBA; MERTZ GLACIER REGION; DISSOLVED IRON; SOUTHERN-OCEAN; ANTARCTIC KRILL; PHYTOPLANKTON BLOOMS; SEA-ICE; HETEROTROPHIC BACTERIA; MARINE PRODUCTIVITY; ORGANIC-CARBON</t>
  </si>
  <si>
    <t>Despite widespread iron (Fe) limitation in the Southern Ocean, intense phytoplankton blooms are observed around productive coastal regions such as the Mertz Polynya (off George V Land and Adelie Land, East Antarctica; 140-155 degrees E). Sources of Fe across coastal East Antarctica vary, with limited data available for late summer months. We investigated the sources of dissolved Fe (dFe; &lt;0.2 mu m) at 19 oceanographic stations in the Mertz Glacier Region (64-67 degrees S; 138-154 degrees E), between January and March of 2019. Concentrations of dFe ranged from below detection limit (0.03 nM) at the surface, to 0.34 nM above the base of the mixed layer (35 m), reaching 0.59 nM at depth (520 m). Using oceanographic features and trace element ratios (manganese and titanium), we identified Circumpolar Deep Water (CDW) and shelf sediment resuspension in modified CDW as contributors of dFe to the region over this period. Microbial Fe remineralization was evident where nutrient-rich water met highly oxygenated waters over the continental shelf. Reduced Fe concentrations in the mixed layer and euphotic zones suggested rapid biological uptake prior to sampling. Despite proposals for pelagic Fe recycling by marine animals, preliminary investigations reveal no significant spatial relationship between animal presence and surface ocean Fe concentrations over the study area. Further research is required to identify seasonal changes to Fe supply in coastal areas which will strengthen our understanding of the Fe cycle and its influence on microbial and primary productivity in this globally significant region.</t>
  </si>
  <si>
    <t>[Smith, Abigail J. R.; Nicol, Stephen; Lannuzel, Delphine] Univ Tasmania, Inst Marine &amp; Antarct Studies, Hobart, Tas, Australia; [Ratnarajah, Lavenia] Univ Liverpool, Dept Earth Ocean &amp; Ecol Sci, Liverpool, Merseyside, England; [Holmes, Thomas M.] Univ Tasmania, Australian Antarct Program Partnership, Hobart, Tas, Australia; [Wuttig, Kathrin] Univ Tasmania, Antarct Climate &amp; Ecosyst CRC, Hobart, Tas, Australia; [Wuttig, Kathrin] Fed Maritime &amp; Hydrog Agcy BSH, Hamburg, Germany; [Townsend, Ashley T.] Univ Tasmania, Cent Sci Lab, Hobart, Tas, Australia; [Westwood, Karen; Cox, Martin; Bell, Elanor] Australian Antarct Div, Dept Agr Water &amp; Environm, Kingston, Tas, Australia</t>
  </si>
  <si>
    <t>University of Tasmania; University of Liverpool; University of Tasmania; University of Tasmania; University of Tasmania; Australian Antarctic Division</t>
  </si>
  <si>
    <t>Smith, AJR (corresponding author), Univ Tasmania, Inst Marine &amp; Antarct Studies, Hobart, Tas, Australia.</t>
  </si>
  <si>
    <t>Abigail.Smith@utas.edu.au</t>
  </si>
  <si>
    <t>Lannuzel, Delphine/J-7937-2014; Townsend, Ashley/J-7445-2014; Wuttig, Kathrin/F-5793-2015; Holmes, Thomas/J-4950-2015</t>
  </si>
  <si>
    <t>Townsend, Ashley/0000-0002-2972-2678; Ratnarajah, Lavenia/0000-0002-1021-1923; Wuttig, Kathrin/0000-0003-4010-5918; Smith, Abigail/0000-0003-4408-2290; Holmes, Thomas/0000-0001-8061-4325; Westwood, Karen/0000-0003-1060-7140; Bell, Elanor/0000-0002-0849-6480</t>
  </si>
  <si>
    <t>Australian Antarctic Division (AAD); CSIRO Marine National Facility (MNF); BYONIC (ERC) [724289]; Australian Research Council (ARC) [L0026677, LE0989539]</t>
  </si>
  <si>
    <t>Australian Antarctic Division (AAD); CSIRO Marine National Facility (MNF); BYONIC (ERC); Australian Research Council (ARC)(Australian Research Council)</t>
  </si>
  <si>
    <t>The authors would first like to thank Loes Gerringa and the two anonymous reviewers for their constructive and thoughtful review of this research. The authors are indebted to the Australian Antarctic Division (AAD) for their support in funding, organization, and development of this research and to the CSIRO Marine National Facility (MNF) for its support in the form of sea time on RV Investigator, support personnel, scientific equipment, and data management. The authors are grateful to ENRICH voyage Chief Scientist Mike Double, as well as all participants on the voyage-including Brian Miller, So Kawaguchi, Joshua Lawrence, Russell Leaper, Paula Olson, Joshua Smith, Madeleine Brasier, Charlotte Boyd, Susannah Calderan, David Donnelly, Lyn Irvine, Olivia Johnson, Ailbhe Kavanagh, Rob King, Jessica Melvin, Elanor Miller, James O'Brien, Vanesa Reyes Reyes, Clara Rodriguez-Vives, Ana Sirovi, Kathleen Stafford, Haiting Zhan and Dr. Gary Mitchell. Clara Rodriguez-Vives was also responsible for calibrating chlorophyll fluorescence values used in this research. Thank you to Nat Kelly for designing the ENRICH survey, Professor Reiner Schlitzer for the Ocean Data View (ODV) 3D schematic, Rachel Sanders and Laura Herraiz-Borreguero for their physical oceanography assistance and finally, Simon Wotherspoon for their statistical advice.; Antarctic research on the ENRICH voyage was permitted under the Notice of Determination and Authorization for the Antarctic Treaty (Environment Protection) Act 1980 issued by the AAD on 27 September 2018. This work was conducted as part of the Australian Antarctic Program under Australian Antarctic Science Project 4101-Antarctic baleen whale habitat utilization and linkages to environmental characteristics and/or Australian Antarctic Science Project 4102-Population abundance, trend, structure and distribution of the endangered Antarctic blue whale, and/or Australian Antarctic Science Project 4600-Conservation and management of Australian and Antarctic whales-post-exploitation status, distribution, foraging ecology and their role in the Southern Ocean ecosystem and/or Australian Antarctic Science Project 4512-Ensuring sustainable management of the krill fishery in waters off the Australian Antarctic Territory. LR received support from BYONIC (ERC award number 724289). D. Lannuzel is funded by the Australian Research Council (ARC Future Fellowship L0026677). Access to SF-ICP-MS instrumentation was made possible by an Australian Research Council grant (LE0989539).</t>
  </si>
  <si>
    <t>0886-6236</t>
  </si>
  <si>
    <t>1944-9224</t>
  </si>
  <si>
    <t>GLOBAL BIOGEOCHEM CY</t>
  </si>
  <si>
    <t>Glob. Biogeochem. Cycle</t>
  </si>
  <si>
    <t>e2020GB006921</t>
  </si>
  <si>
    <t>10.1029/2020GB006921</t>
  </si>
  <si>
    <t>XD9LE</t>
  </si>
  <si>
    <t>WOS:000723020500006</t>
  </si>
  <si>
    <t>Valdes, LML; Katurji, M; Meyer, H</t>
  </si>
  <si>
    <t>Lezama Valdes, Lilian-Maite; Katurji, Marwan; Meyer, Hanna</t>
  </si>
  <si>
    <t>A Machine Learning Based Downscaling Approach to Produce High Spatio-Temporal Resolution Land Surface Temperature of the Antarctic Dry Valleys from MODIS Data</t>
  </si>
  <si>
    <t>downscaling; Land Surface Temperature; Antarctica; McMurdo Dry Valleys; MODIS; machine learning</t>
  </si>
  <si>
    <t>ATMOSPHERIC BOUNDARY-LAYER; SOIL-MOISTURE; AREA; IMAGERY; ORIGIN; SNOW</t>
  </si>
  <si>
    <t>To monitor environmental and biological processes, Land Surface Temperature (LST) is a central variable, which is highly variable in space and time. This particularly applies to the Antarctic Dry Valleys, which host an ecosystem highly adapted to the extreme conditions in this cold desert. To predict possible climate induced changes on the Dry Valley ecosystem, high spatial and temporal resolution environmental variables are needed. Thus we enhanced the spatial resolution of the MODIS satellite LST product that is sensed sub-daily at a 1 km spatial resolution to a 30 m spatial resolution. We employed machine learning models that are trained using Landsat 8 thermal infrared data from 2013 to 2019 as a reference to predict LST at 30 m resolution. For the downscaling procedure, terrain derived variables and information on the soil type as well as the solar insolation were used as potential predictors in addition to MODIS LST. The trained model can be applied to all available MODIS scenes from 1999 onward to develop a 30 m resolution LST product of the Antarctic Dry Valleys. A spatio-temporal validation revealed an R2 of 0.78 and a RMSE of 3.32 &amp; LCIRC;C. The downscaled LST will provide a valuable surface climate data set for various research applications, such as species distribution modeling, climate model evaluation, and the basis for the development of further relevant environmental information such as the surface moisture distribution.</t>
  </si>
  <si>
    <t>[Lezama Valdes, Lilian-Maite; Meyer, Hanna] Westfal Wilhelms Univ Munster, Inst Landscape Ecol, Heisenbergstr 2, D-48149 Munster, Germany; [Katurji, Marwan] Univ Canterbury, Ctr Atmospher Res, Sch Earth &amp; Environm, Arts Rd, Christchurch 8140, New Zealand</t>
  </si>
  <si>
    <t>University of Munster; University of Canterbury</t>
  </si>
  <si>
    <t>Valdes, LML (corresponding author), Westfal Wilhelms Univ Munster, Inst Landscape Ecol, Heisenbergstr 2, D-48149 Munster, Germany.</t>
  </si>
  <si>
    <t>maite.lezama@uni-muenster.de; marwan.katurji@canterbury.ac.nz; hanna.meyer@uni-muenster.de</t>
  </si>
  <si>
    <t>Meyer, Hanna/HDO-5170-2022; Meyer, Hanna/JBJ-7456-2023</t>
  </si>
  <si>
    <t>Meyer, Hanna/0000-0003-0556-0210; Meyer, Hanna/0000-0003-0556-0210; Katurji, Marwan/0000-0002-3368-1469; Lezama Valdes, Lilian-Maite/0000-0002-3489-2401</t>
  </si>
  <si>
    <t>New Zealand Antarctic Science Platform [ANTA1801]</t>
  </si>
  <si>
    <t>New Zealand Antarctic Science Platform</t>
  </si>
  <si>
    <t>This research was partially supported by the New Zealand Antarctic Science Platform (ANTA1801, program: Projecting Ross Sea Region Ecosystem Changes in a Warming World).</t>
  </si>
  <si>
    <t>10.3390/rs13224673</t>
  </si>
  <si>
    <t>XK0AE</t>
  </si>
  <si>
    <t>WOS:000727138200001</t>
  </si>
  <si>
    <t>Zheng, ZX; Zhu, K; Dai, ZY</t>
  </si>
  <si>
    <t>Zheng, Zhenxiao; Zhu, Kai; Dai, Zhiyuan</t>
  </si>
  <si>
    <t>Preparation of Antarctic Krill Oil Emulsion and Its Stability under Catalase Treatment</t>
  </si>
  <si>
    <t>FOODS</t>
  </si>
  <si>
    <t>Antarctic krill emulsion; catalase; iron porphyrin; lipid oxidation</t>
  </si>
  <si>
    <t>EMULSIFIERS; SUPEROXIDE; ENZYME</t>
  </si>
  <si>
    <t>Making Antarctic krill oil into emulsion is a good way to utilize Antarctic krill, but proliferation of microorganisms cannot be ignored. H2O2 is widely used in the sterilization of liquid food since its decomposition products are environmentally friendly, although residual H2O2 should be removed for food safety. Adding catalase (CAT) is an effective means to do this. However, the enzyme activity center of CAT is the iron porphyrin group, which has the risk of accelerating lipid oxidation in the oil emulsion. Therefore, we hypothesized that CAT might not be suitable for the removal of H2O2 in Antarctic krill oil emulsion. In this paper, Antarctic krill oil emulsion was prepared, and then the effect of CAT on the emulsion was studied through visual observation, microscopic morphology observation, turbidity and stability, particle size, and zeta-potential; finally, the mechanism of CAT destroying the emulsion was explored from the perspective of lipid oxidation. The results showed that a stable Antarctic krill emulsion was prepared using Tween-80 as the emulsifier, with the oil concentration of 1% (v/v) and the ratio of surfactant to oil phase of 1:5 (v/v). The emulsion treated with CAT had undergone demulsification, stratification, and coagulation after 2 days of incubation, while the emulsion treated with superoxide dismutase (SOD) and bovine serum albumin (BSA) changed little. In addition, the thiobarbituric acid reactive substances (TBARS) value and the content of hydroxyl radicals in the CAT group increased significantly. The preliminary research results indicated that the effect of CAT on the emulsion related to the lipid oxidation caused by the iron porphyrin group at the center of the enzyme activity. All these results indicated that CAT was not suitable for the removal of residual H2O2 in Antarctic krill oil emulsion. Moreover, it is helpful to avoid the contact of Antarctic krill oil emulsion and CAT during the processing of the krill.</t>
  </si>
  <si>
    <t>[Zheng, Zhenxiao; Zhu, Kai; Dai, Zhiyuan] Zhejiang Gongshang Univ, Inst Seafood, Hangzhou 310012, Peoples R China; [Zheng, Zhenxiao; Dai, Zhiyuan] State Key Lab Aquat Prod Proc Zhejiang Prov, Hangzhou 310012, Peoples R China; [Zheng, Zhenxiao; Dai, Zhiyuan] Zhejiang Gongshang Univ, Inst Seafood, Collaborat Innovat Ctr Seafood Deep Proc, Hangzhou 310012, Peoples R China</t>
  </si>
  <si>
    <t>Zhejiang Gongshang University; Zhejiang Gongshang University</t>
  </si>
  <si>
    <t>Dai, ZY (corresponding author), Zhejiang Gongshang Univ, Inst Seafood, Hangzhou 310012, Peoples R China.;Dai, ZY (corresponding author), State Key Lab Aquat Prod Proc Zhejiang Prov, Hangzhou 310012, Peoples R China.;Dai, ZY (corresponding author), Zhejiang Gongshang Univ, Inst Seafood, Collaborat Innovat Ctr Seafood Deep Proc, Hangzhou 310012, Peoples R China.</t>
  </si>
  <si>
    <t>zzx@zjgsu.edu.cn; kkkaizhu@163.com; zhiydai@163.com</t>
  </si>
  <si>
    <t>National Key R &amp; D Program of China [2018YFC0311204]; Fundamental Research Funds for the Provincial Universities of Zhejiang [3090JYN9920001G-309]</t>
  </si>
  <si>
    <t>National Key R &amp; D Program of China; Fundamental Research Funds for the Provincial Universities of Zhejiang</t>
  </si>
  <si>
    <t>FundingThis research was funded by the National Key R &amp; D Program of China (2018YFC0311204) and the Fundamental Research Funds for the Provincial Universities of Zhejiang (3090JYN9920001G-309).</t>
  </si>
  <si>
    <t>2304-8158</t>
  </si>
  <si>
    <t>Foods</t>
  </si>
  <si>
    <t>10.3390/foods10112797</t>
  </si>
  <si>
    <t>XL0PL</t>
  </si>
  <si>
    <t>WOS:000727855500001</t>
  </si>
  <si>
    <t>Goyal, R; England, MH; Jucker, M; Sen Gupta, A</t>
  </si>
  <si>
    <t>Goyal, Rishav; England, Matthew H.; Jucker, Martin; Sen Gupta, Alex</t>
  </si>
  <si>
    <t>Response of Southern Hemisphere Western Boundary Current Regions to Future Zonally Symmetric and Asymmetric Atmospheric Changes</t>
  </si>
  <si>
    <t>JOURNAL OF GEOPHYSICAL RESEARCH-OCEANS</t>
  </si>
  <si>
    <t>western boundary currents; zonally asymmetric circulation; ocean circulation; projected ocean warming</t>
  </si>
  <si>
    <t>DEPTH-INTEGRATED FLOW; POLEWARD SHIFT; ANNULAR MODE; GULF-STREAM; OCEAN; CIRCULATION; SURFACE; IMPACT; ISLAND; WINDS</t>
  </si>
  <si>
    <t>Subtropical western boundary currents (WBCs) are often associated with hotspots of global warming, with certain WBC extension regions warming 3-4 times faster than the global mean. In the Southern Hemisphere, strong warming over the WBC extensions has been observed over the last few decades, with enhanced warming projected into the future. This amplified warming has primarily been linked to poleward intensification of the mid-latitude westerly winds in the Southern Hemisphere. Changes in these winds are often thought of as being zonally symmetric; however, recent studies show that they contain strong zonal asymmetries in certain ocean basins. The importance of these zonal asymmetries for the Southern Ocean has not yet been investigated. In this study, we use an ocean-sea-ice model forced by prescribed atmospheric fields to quantify the contribution of projected zonally asymmetric atmospheric changes in generating future ocean warming and circulation changes in the subtropical WBC regions. We find that the zonally asymmetric component of atmospheric forcing, characterized by a pattern that is consistent across CMIP6 models, can explain more than 30% (&gt;2 degrees C) of the sea surface temperature (SST) warming found in the Tasman Sea and southern Australia region and a sizable fraction of warming in the Agulhas Current region. These changes in SST in both the Indian and Pacific basins are found to be primarily driven by increases in the advection of warm tropical water to the mid-latitudes due to changes in the large-scale subtropical ocean gyres, which in turn can largely be explained by changes in the mid-latitude surface wind stress patterns.</t>
  </si>
  <si>
    <t>[Goyal, Rishav; England, Matthew H.; Jucker, Martin; Sen Gupta, Alex] Univ New South Wales, Climate Change Res Ctr, Sydney, NSW, Australia; [Goyal, Rishav; England, Matthew H.; Jucker, Martin; Sen Gupta, Alex] Univ New South Wales, ARC Ctr Excellence Climate Extremes, Sydney, NSW, Australia; [England, Matthew H.; Sen Gupta, Alex] Univ New South Wales, Australian Ctr Excellence Antarctic Sci ACEAS, Sydney, NSW, Australia</t>
  </si>
  <si>
    <t>University of New South Wales Sydney; University of New South Wales Sydney; University of New South Wales Sydney</t>
  </si>
  <si>
    <t>Goyal, R (corresponding author), Univ New South Wales, Climate Change Res Ctr, Sydney, NSW, Australia.;Goyal, R (corresponding author), Univ New South Wales, ARC Ctr Excellence Climate Extremes, Sydney, NSW, Australia.</t>
  </si>
  <si>
    <t>rishav.goyal@unsw.edu.au</t>
  </si>
  <si>
    <t>Jucker, Martin/C-3914-2014; England, Matthew/A-7539-2011; Sen Gupta, Alexander/B-7995-2011</t>
  </si>
  <si>
    <t>Jucker, Martin/0000-0002-4227-315X; England, Matthew/0000-0001-9696-2930; Goyal, Rishav/0000-0002-0307-4692; Sen Gupta, Alexander/0000-0001-5226-871X</t>
  </si>
  <si>
    <t>Australian Research Council [CE170100023, FL150100035]; University of New South Wales; Earth Science and Climate Change Hub of the Australian Government's National Environmental Science Programme (NESP); QNLM; CSIRO; UNSW; UTAS; ARC Centre for Excellence in Antarctic Science (ACEAS, ARC grant) [SR200100008]</t>
  </si>
  <si>
    <t>Australian Research Council(Australian Research Council); University of New South Wales; Earth Science and Climate Change Hub of the Australian Government's National Environmental Science Programme (NESP); QNLM; CSIRO(Commonwealth Scientific &amp; Industrial Research Organisation (CSIRO)); UNSW; UTAS; ARC Centre for Excellence in Antarctic Science (ACEAS, ARC grant)</t>
  </si>
  <si>
    <t>This study was supported by the Australian Research Council (grants CE170100023, FL150100035). R. Goyal is supported by the Scientia PhD scholarship from the University of New South Wales. M. H. England is also supported by the Earth Science and Climate Change Hub of the Australian Government's National Environmental Science Programme (NESP) and the Centre for Southern Hemisphere Oceans Research (CSHOR), a joint research centre between QNLM, CSIRO, UNSW, and UTAS. M. H. England and A. Sen Gupta are also supported by the ARC Centre for Excellence in Antarctic Science (ACEAS, ARC grant SR200100008). All the model simulations and analyses were conducted on the National Computational Infrastructure (NCI) facility based in Canberra, Australia.</t>
  </si>
  <si>
    <t>2169-9275</t>
  </si>
  <si>
    <t>2169-9291</t>
  </si>
  <si>
    <t>J GEOPHYS RES-OCEANS</t>
  </si>
  <si>
    <t>J. Geophys. Res.-Oceans</t>
  </si>
  <si>
    <t>e2021JC017858</t>
  </si>
  <si>
    <t>10.1029/2021JC017858</t>
  </si>
  <si>
    <t>XE0NZ</t>
  </si>
  <si>
    <t>WOS:000723095600035</t>
  </si>
  <si>
    <t>Hudson, KL; Oliver, MJ; Kohut, J; Dinniman, MS; Klinck, J; Moffat, C; Statscewich, H; Bernard, KS; Fraser, W</t>
  </si>
  <si>
    <t>Hudson, Katherine L.; Oliver, Matthew John; Kohut, Josh; Dinniman, Michael S.; Klinck, John; Moffat, Carlos; Statscewich, Hank; Bernard, Kim S.; Fraser, William</t>
  </si>
  <si>
    <t>A Recirculating Eddy Promotes Subsurface Particle Retention in an Antarctic Biological Hotspot</t>
  </si>
  <si>
    <t>subsurface eddy; Palmer Deep Canyon; Regional Ocean Modeling System; subsurface particle layer; retention; biological hotspot</t>
  </si>
  <si>
    <t>CIRCUMPOLAR DEEP-WATER; RANDOM-WALK MODELS; CANYON HYPOTHESIS; MIXED-LAYER; SEA-ICE; PENINSULA; KRILL; WEST; TRANSPORT; DYNAMICS</t>
  </si>
  <si>
    <t>Palmer Deep Canyon is one of the biological hotspots associated with deep bathymetric features along the West Antarctic Peninsula. The upwelling of nutrient-rich Upper Circumpolar Deep Water to the surface mixed layer in the submarine canyon has been hypothesized to drive increased phytoplankton biomass, attracting krill, penguins and other top predators to the area. However, observations in Palmer Deep Canyon lack a clear in-situ upwelling signal, laboratory experiments do not illustrate a physiological response by phytoplankton to Upper Circumpolar Deep Water, and surface residence times are too short for phytoplankton populations to reasonably respond to any locally upwelled nutrients. This suggests that local upwelling may not be the mechanism that links Palmer Deep Canyon to increased biological activity. Previous observations of isopycnal doming within the canyon suggested that a subsurface recirculating feature may be present. Here, using in-situ measurements and a circulation model, we demonstrate that the presence of a recirculating eddy may contribute to the maintenance of the biological hotspot by increasing residence times at depth and retaining a distinct layer of biological particles. Neutrally buoyant particle simulations showed that residence times increase to similar to 175 days at 150 m within the canyon during the austral summer. In-situ particle scattering, flow cytometry, and water samples from within the subsurface eddy suggest that retained particles are detrital in nature. Our results suggest that this seasonal, retentive feature in Palmer Deep Canyon is important to the retention of biological material and may contribute to the maintenance of this hotspot.</t>
  </si>
  <si>
    <t>[Hudson, Katherine L.; Oliver, Matthew John; Moffat, Carlos] Univ Delaware, Coll Earth Ocean &amp; Environm, Lewes, DE 19958 USA; [Kohut, Josh] Rutgers State Univ, Dept Marine &amp; Coastal Sci, New Brunswick, NJ USA; [Dinniman, Michael S.; Klinck, John] Old Dominion Univ, Dept Ocean &amp; Earth Sci, Norfolk, VA USA; [Statscewich, Hank] Univ Alaska, Coll Fisheries &amp; Ocean Sci, Fairbanks, AK 99701 USA; [Bernard, Kim S.] Oregon State Univ, Coll Earth Ocean &amp; Atmospher Sci, Corvallis, OR 97331 USA; [Fraser, William] Polar Oceans Res Grp, Sheridan, MT USA</t>
  </si>
  <si>
    <t>University of Delaware; Rutgers University System; Rutgers University New Brunswick; Old Dominion University; University of Alaska System; University of Alaska Fairbanks; Oregon State University</t>
  </si>
  <si>
    <t>Hudson, KL (corresponding author), Univ Delaware, Coll Earth Ocean &amp; Environm, Lewes, DE 19958 USA.</t>
  </si>
  <si>
    <t>khudson@udel.edu</t>
  </si>
  <si>
    <t>Moffat, Carlos F/B-3565-2015; Bernard, Kim/J-2703-2013</t>
  </si>
  <si>
    <t>Moffat, Carlos F/0000-0002-7768-8275; Klinck, John/0000-0003-4312-5201; Statscewich, Hank/0000-0002-0294-4764; Bernard, Kim/0000-0003-0509-2744; Gallagher, Katherine/0000-0002-3076-8016; Dinniman, Michael/0000-0001-7519-9278</t>
  </si>
  <si>
    <t>National Science Foundation [1327248 (2015), 1744884, 1745011]</t>
  </si>
  <si>
    <t>This project was funded through the National Science Foundation, Award Numbers 1327248 (2015) and 1744884 (2020) to UD, 1744884 to RU, and 1745011 to ODU. We are grateful to the Antarctic Support Contractor and their teams in Denver, CO, aboard the RVIB Laurence M. Gould, and at Palmer Station, without whom a project such as this would not be possible. We thank the students and field assistants from both projects for their valuable work on this project and the Palmer Antarctica Long-Term Ecological Research team for their involvement, suggestions, and collaboration. Computer simulations were run on the Wahab High Performance computing cluster at ODU.</t>
  </si>
  <si>
    <t>e2021JC017304</t>
  </si>
  <si>
    <t>10.1029/2021JC017304</t>
  </si>
  <si>
    <t>WOS:000723095600007</t>
  </si>
  <si>
    <t>Marin, M; Bindoff, NL; Feng, M; Phillips, HE</t>
  </si>
  <si>
    <t>Marin, Maxime; Bindoff, Nathaniel L.; Feng, Ming; Phillips, Helen E.</t>
  </si>
  <si>
    <t>Slower Long-Term Coastal Warming Drives Dampened Trends in Coastal Marine Heatwave Exposure</t>
  </si>
  <si>
    <t>coastal cooling; cross-shore gradients; ensemble approach; heat budget; Marine Heatwaves (MHW); upwelling change</t>
  </si>
  <si>
    <t>SURFACE WIND-SPEED; CLIMATE-CHANGE; MODEL; INTENSIFICATION; RESOLUTION; FRICTION; IMPACT; CO2</t>
  </si>
  <si>
    <t>Long-term temperature changes drive coastal Marine Heatwave (MHW) trends globally. Here, we provide a more comprehensive global analysis of cross-shore gradients of MHW and Sea Surface Temperatures (SST) changes using an ensemble of three satellite SST products during recent decades. Our analysis reveals depressed onshore SST trends in more than 2/3 of coastal pixels, including both eastern and western boundary current systems. These were well correlated with depressed trends of MHW exposure and severity, ranging from a -2 to -10 decrease in MHW days per decade and from a -2.5 degrees C to -15 degrees C.days per decade decrease in cumulative intensity. Results were consistent across all satellite products, indicating that these cross-shore gradients are a robust feature of observations. ERA reanalysis data show that neither air-sea heat fluxes nor wind driven upwelling were found to be consistent drivers. Global ocean circulation models (OFAM3 and ACCESS-OM2) have limited ability to simulate the depressed onshore trends. A heat budget analysis performed in the Chilean coast region, where models agree with observations, showed that the gradient of temperature change was controlled by an onshore increase of longwave radiative cooling, despite an increase in upwelling. This highlights the complexity of small-scale coastal ocean-atmosphere feedbacks, which coarser resolution climate models do not resolve. Here, we show that global coastal regions may act as thermal refugia for marine ecosystems from aspects of climate change and pulsative (MHW) changes. Contrary to the literature, our results suggest that driving mechanisms are region dependant, stressing the necessity to improve climate models resolution.</t>
  </si>
  <si>
    <t>[Marin, Maxime; Bindoff, Nathaniel L.; Phillips, Helen E.] Univ Tasmania, Inst Marine &amp; Antarctic Studies, Hobart, Tas, Australia; [Marin, Maxime; Bindoff, Nathaniel L.; Phillips, Helen E.] ARC Ctr Excellence Climate Extremes, Hobart, Tas, Australia; [Marin, Maxime; Feng, Ming] CSIRO Oceans &amp; Atmosphere, Indian Ocean Marine Re Arch Ctr, Crawley, WA, Australia; [Bindoff, Nathaniel L.; Phillips, Helen E.] Australian Antarctic Program Partnership, Hobart, Tas, Australia; [Bindoff, Nathaniel L.] CSIRO Oceans &amp; Atmosphere, Hobart, Tas, Australia</t>
  </si>
  <si>
    <t>University of Tasmania; Commonwealth Scientific &amp; Industrial Research Organisation (CSIRO); Commonwealth Scientific &amp; Industrial Research Organisation (CSIRO)</t>
  </si>
  <si>
    <t>Marin, M (corresponding author), Univ Tasmania, Inst Marine &amp; Antarctic Studies, Hobart, Tas, Australia.;Marin, M (corresponding author), ARC Ctr Excellence Climate Extremes, Hobart, Tas, Australia.;Marin, M (corresponding author), CSIRO Oceans &amp; Atmosphere, Indian Ocean Marine Re Arch Ctr, Crawley, WA, Australia.</t>
  </si>
  <si>
    <t>Maxime.Marin@csiro.au</t>
  </si>
  <si>
    <t>Phillips, Helen/I-3761-2013; Bindoff, Nathaniel Lee/IVV-0333-2023; Bindoff, Nathaniel Lee/C-8050-2011; Feng, Ming/F-5411-2010</t>
  </si>
  <si>
    <t>Phillips, Helen/0000-0002-2941-7577; Bindoff, Nathaniel Lee/0000-0001-5662-9519; Bindoff, Nathaniel Lee/0000-0001-5662-9519; Feng, Ming/0000-0002-2855-7092; Marin, Maxime/0000-0001-7209-4454</t>
  </si>
  <si>
    <t>CAS-CSIRO collaboration project on comparative studies of marine ecosystems between Australia and China; Australian Research Centre for Climate Extremes; Qingdao National Laboratory for Marine Science and Technology (QNLM); CSIRO; University of New South Wales; University of Tasmania; Earth Systems and Climate Change Hub of the Australian Government's National Environmental Science Program; Australian Government, the Antarctic Science Collaboration Initiative program [ASCI000002]</t>
  </si>
  <si>
    <t>CAS-CSIRO collaboration project on comparative studies of marine ecosystems between Australia and China; Australian Research Centre for Climate Extremes; Qingdao National Laboratory for Marine Science and Technology (QNLM); CSIRO(Commonwealth Scientific &amp; Industrial Research Organisation (CSIRO)); University of New South Wales; University of Tasmania; Earth Systems and Climate Change Hub of the Australian Government's National Environmental Science Program; Australian Government, the Antarctic Science Collaboration Initiative program</t>
  </si>
  <si>
    <t>The authors acknowledge agencies and organizations responsible for providing data: the European Space Agency Climate Change Initiative and the Sea Surface Temperature Climate Change Initiative project together with the Centre for Environmental Data Analysis created and provided SST data. M. Marin and M. Feng are partly supported by a CAS-CSIRO collaboration project on comparative studies of marine ecosystems between Australia and China. M. Marin acknowledges support from the Australian Research Centre for Climate Extremes. M. Feng acknowledges the support from the Centre for Southern Hemisphere Oceans Research, a joint initiative between the Qingdao National Laboratory for Marine Science and Technology (QNLM), CSIRO, University of New South Wales, and University of Tasmania. H. Phillips and N. Bindoff acknowledge funding from the Earth Systems and Climate Change Hub of the Australian Government's National Environmental Science Program. This project received grant funding from the Australian Government as part of the Antarctic Science Collaboration Initiative program (ASCI000002).</t>
  </si>
  <si>
    <t>e2021JC017930</t>
  </si>
  <si>
    <t>10.1029/2021JC017930</t>
  </si>
  <si>
    <t>WOS:000723095600002</t>
  </si>
  <si>
    <t>Neme, J; England, MH; Hogg, AM</t>
  </si>
  <si>
    <t>Neme, Julia; England, Matthew H.; Hogg, Andrew McC</t>
  </si>
  <si>
    <t>Seasonal and Interannual Variability of the Weddell Gyre From a High-Resolution Global Ocean-Sea Ice Simulation During 1958-2018</t>
  </si>
  <si>
    <t>Weddell Gyre; Southern Ocean; seasonal variability; interannual variability; extreme events; global coupled ocean-sea ice numerical model</t>
  </si>
  <si>
    <t>LARGE-SCALE CIRCULATION; ANTARCTIC BOTTOM WATER; SOUTHERN-OCEAN; SCOTIA SEA; DEEP; MODEL; TOPOGRAPHY; TRANSPORT; INFLOW; TRENDS</t>
  </si>
  <si>
    <t>The Weddell Gyre's variability on seasonal and interannual timescales is investigated using an ocean-sea ice model at three different horizontal resolutions. The model is evaluated against available observations to demonstrate that the highest resolution configuration (0.1 degrees in the horizontal) best reproduces observed features of the region. The simulations suggest that the gyre is subject to large variability in its circulation that is not captured by summer-biased or short-term observations. The Weddell Gyre's seasonal cycle consists of a summer minimum and a winter maximum and accounts for changes that are between one third and a half of its mean transport. On interannual time scales we find that the gyre's strength is correlated with the local Antarctic easterlies and that extreme events of gyre circulation are associated with changes in the characteristics of the warm inflow at the eastern boundary, that in turn drives changes in sea ice concentration.</t>
  </si>
  <si>
    <t>[Neme, Julia; England, Matthew H.] Univ New South Wales, Climate Change Res Ctr, Sydney, NSW, Australia; [Neme, Julia; England, Matthew H.] Univ New South Wales, ARC Ctr Excellence Climate Extremes, Sydney, NSW, Australia; [Neme, Julia; England, Matthew H.] Univ New South Wales, Australian Ctr Excellence Antarctic Sci, Sydney, NSW, Australia; [Hogg, Andrew McC] Australian Natl Univ, Res Sch Earth Sci, Canberra, ACT, Australia; [Hogg, Andrew McC] Australian Natl Univ, ARC Ctr Excellence Climate Extremes, Canberra, ACT, Australia</t>
  </si>
  <si>
    <t>University of New South Wales Sydney; University of New South Wales Sydney; University of New South Wales Sydney; Australian National University; Australian National University</t>
  </si>
  <si>
    <t>Neme, J (corresponding author), Univ New South Wales, Climate Change Res Ctr, Sydney, NSW, Australia.;Neme, J (corresponding author), Univ New South Wales, ARC Ctr Excellence Climate Extremes, Sydney, NSW, Australia.;Neme, J (corresponding author), Univ New South Wales, Australian Ctr Excellence Antarctic Sci, Sydney, NSW, Australia.</t>
  </si>
  <si>
    <t>j.neme@unsw.edu.au</t>
  </si>
  <si>
    <t>England, Matthew/A-7539-2011; Hogg, Andy McC./A-7553-2011</t>
  </si>
  <si>
    <t>England, Matthew/0000-0001-9696-2930; Hogg, Andy McC./0000-0001-5898-7635; Neme, Julia/0000-0002-3573-996X</t>
  </si>
  <si>
    <t>Australian Research Council; ARC Centre of Excellence for Climate Extremes; Climate Change Research Centre of the University of New South Wales</t>
  </si>
  <si>
    <t>Australian Research Council(Australian Research Council); ARC Centre of Excellence for Climate Extremes; Climate Change Research Centre of the University of New South Wales</t>
  </si>
  <si>
    <t>This work was supported by the Australian Research Council, including the ARC Centre of Excellence for Climate Extremes, and the Climate Change Research Centre of the University of New South Wales. Numerical simulations and their analysis were conducted at the NCI National Facility systems at the Australian National University through the National Computational Merit Allocation Scheme. We thank the COSIMA consortium for its continuous support and constructive discussions and Thomas W.K. Armitage for generously providing the satellite observations used to evaluate our numerical model.</t>
  </si>
  <si>
    <t>e2021JC017662</t>
  </si>
  <si>
    <t>10.1029/2021JC017662</t>
  </si>
  <si>
    <t>WOS:000723095600022</t>
  </si>
  <si>
    <t>Lau, HCP; Austermann, J; Holtzman, BK; Havlin, C; Lloyd, AJ; Book, C; Hopper, E</t>
  </si>
  <si>
    <t>Lau, H. C. P.; Austermann, J.; Holtzman, B. K.; Havlin, C.; Lloyd, A. J.; Book, C.; Hopper, E.</t>
  </si>
  <si>
    <t>Frequency Dependent Mantle Viscoelasticity via the Complex Viscosity: Cases From Antarctica</t>
  </si>
  <si>
    <t>JOURNAL OF GEOPHYSICAL RESEARCH-SOLID EARTH</t>
  </si>
  <si>
    <t>complex viscosity; frequency dependent lithosphere; transient deformation</t>
  </si>
  <si>
    <t>GLACIAL-ISOSTATIC-ADJUSTMENT; SEISMIC-WAVE ATTENUATION; SEA-LEVEL CHANGE; LITHOSPHERE-ASTHENOSPHERE BOUNDARY; RAPID BEDROCK UPLIFT; ENERGY-DISSIPATION; COMPOSITE RHEOLOGY; TRANSIENT CREEP; OLIVINE; MODEL</t>
  </si>
  <si>
    <t>Studies of glacial isostatic adjustment (GIA) often use paleoshorelines and present-day deformation to constrain the viscosity of the mantle and the thickness of the elastic lithosphere. However, several studies focused on similar locations have resulted in different estimates of these physical properties. We argue that these different estimates infer apparent viscosities and apparent lithospheric elastic thicknesses, dependent on the timescale of deformation. We use recently derived relationships between these frequency dependent apparent quantities and the underlying thermodynamic conditions to produce predictions of viscoelastic properties and lithospheric thickness across a broad spectrum of geophysical timescales for two Antarctic locations (Amundsen Sea Embayment and the Antarctic Peninsula). Our predictions are constrained by input from seismic tomography, require the self-consistent consideration of elastic, viscous, and transient rheological behavior and also include non-linear steady state viscosity, which have been determined by several laboratories. We demonstrate that when the full spectrum of viscoelasticity is considered, lithospheric thickness displays a significant range across frequency and that transient creep may play an important role across the timescales relevant for the GIA studies we explore. We suggest that observational studies could move toward a framework of determining the frequency dependence of viscoelastic quantities-rather than single, frequency independent values of viscosity. There remains much work to accomplish this both theoretically and observationally, but the eventual result would provide deeper insight into the rheological behavior of Earth.</t>
  </si>
  <si>
    <t>[Lau, H. C. P.; Book, C.] Univ Calif Berkeley, Dept Earth &amp; Planetary Sci, Berkeley, CA 94720 USA; [Austermann, J.; Holtzman, B. K.; Lloyd, A. J.; Hopper, E.] Columbia Univ, Lamont Doherty Earth Observ, Palisades, NY USA; [Havlin, C.] Univ Illinois, Sch Informat Sci, Urbana, IL 61801 USA</t>
  </si>
  <si>
    <t>University of California System; University of California Berkeley; Columbia University; University of Illinois System; University of Illinois Urbana-Champaign</t>
  </si>
  <si>
    <t>Lau, HCP (corresponding author), Univ Calif Berkeley, Dept Earth &amp; Planetary Sci, Berkeley, CA 94720 USA.</t>
  </si>
  <si>
    <t>hcplau@berkeley.edu</t>
  </si>
  <si>
    <t>Holtzman, Benjamin K/E-8423-2010</t>
  </si>
  <si>
    <t>Lloyd, Andrew/0000-0002-2253-1342; Holtzman, Benjamin/0000-0002-6226-7689; Havlin, Christopher/0000-0003-0585-8236; Lau, Harriet/0000-0003-0311-695X; Hopper, Emily/0000-0002-3704-6753; Austermann, Jacqueline/0000-0003-3754-5082</t>
  </si>
  <si>
    <t>UC Berkeley</t>
  </si>
  <si>
    <t>H. C. P. Lau acknowledges support from UC Berkeley. The authors thank the two anonymous reviewers who substantially improved the manuscript.</t>
  </si>
  <si>
    <t>2169-9313</t>
  </si>
  <si>
    <t>2169-9356</t>
  </si>
  <si>
    <t>J GEOPHYS RES-SOL EA</t>
  </si>
  <si>
    <t>J. Geophys. Res.-Solid Earth</t>
  </si>
  <si>
    <t>e2021JB022622</t>
  </si>
  <si>
    <t>10.1029/2021JB022622</t>
  </si>
  <si>
    <t>XE0QR</t>
  </si>
  <si>
    <t>WOS:000723102600005</t>
  </si>
  <si>
    <t>Ooi, MC; Goulden, EF; Smith, GG; Bridle, AR</t>
  </si>
  <si>
    <t>Ooi, Mei C.; Goulden, Evan F.; Smith, Gregory G.; Bridle, Andrew R.</t>
  </si>
  <si>
    <t>Predatory bacteria in the haemolymph of the cultured spiny lobster Panulirus ornatus</t>
  </si>
  <si>
    <t>MICROBIOLOGY-SGM</t>
  </si>
  <si>
    <t>Bdellovibrio and like organisms; predatory bacterium Halobacteriovorax; prey bacterium Vibrio; haemolymph; cultured spiny lobster</t>
  </si>
  <si>
    <t>SHRIMP PENAEUS-VANNAMEI; BDELLOVIBRIO; MARINE; IDENTIFICATION; ORGANISMS; DIVERSITY; AQUACULTURE; MECHANISMS; INFECTION; COMMUNITY</t>
  </si>
  <si>
    <t>Bdellovibrio and like organisms (BALOs) are Gram-negative obligate predators of other bacteria in a range of environments. The recent discovery of BALOs in the circulatory system of cultured spiny lobster P? ornatus warrants more investigation. We used a combination of co-culture agar and broth assays and transmission electron microscopy to show a Halobacteriovorax sp. strain Hbv preyed upon the model prey bacterium Vibrio sp. strain Vib. The haemolymph microbiome of juvenile P? ornatus was characterised following injection of phosphate buffered saline (control) or prey and/or predator bacteria for 3 d. The predator Hbv had no effect on survival compared to the control after 3 d. However, when compared to the prey only treatment group, lobsters injected with both prey and predator showed significantly lower abundance of genus Vibrio in the haemolymph bacterial community composition. This study indicates that predatory bacteria are not pathogenic and may assist in controlling microbial population growth in the haemolymph of lobsters.</t>
  </si>
  <si>
    <t>[Ooi, Mei C.; Goulden, Evan F.; Smith, Gregory G.; Bridle, Andrew R.] Univ Tasmania, Inst Marine &amp; Antarctic Studies, Hobart, Tas, Australia; [Goulden, Evan F.] Bribie Isl Res Ctr, Dept Agr &amp; Fisheries, Bribie Isl, Qld, Australia</t>
  </si>
  <si>
    <t>Ooi, MC (corresponding author), Univ Tasmania, Inst Marine &amp; Antarctic Studies, Hobart, Tas, Australia.</t>
  </si>
  <si>
    <t>Mei.Ooi@utas.edu.au</t>
  </si>
  <si>
    <t>Bridle, Andrew R/B-4117-2013; Smith, Gregory/C-9263-2013; Goulden, Evan/H-9691-2014; Mei-Chen, Ooi/F-5436-2015</t>
  </si>
  <si>
    <t>Smith, Gregory/0000-0002-8677-1230; Goulden, Evan/0000-0003-3991-5403; Mei-Chen, Ooi/0000-0002-8703-8460</t>
  </si>
  <si>
    <t>Australian Research Council Research Hub for Commercial Development of Rock Lobster Culture Systems [IH120100032]</t>
  </si>
  <si>
    <t>Australian Research Council Research Hub for Commercial Development of Rock Lobster Culture Systems(Australian Research Council)</t>
  </si>
  <si>
    <t>This work was supported by the Australian Research Council Research Hub for Commercial Development of Rock Lobster Culture Systems (IH120100032).</t>
  </si>
  <si>
    <t>MICROBIOLOGY SOC</t>
  </si>
  <si>
    <t>14-16 MEREDITH ST, LONDON, ENGLAND</t>
  </si>
  <si>
    <t>1350-0872</t>
  </si>
  <si>
    <t>1465-2080</t>
  </si>
  <si>
    <t>MICROBIOL-SGM</t>
  </si>
  <si>
    <t>Microbiology-(UK)</t>
  </si>
  <si>
    <t>10.1099/mic.0.001113</t>
  </si>
  <si>
    <t>XJ1SK</t>
  </si>
  <si>
    <t>WOS:000726576600003</t>
  </si>
  <si>
    <t>Karimidastenaei, Z; Kloeve, B; Sadegh, M; Haghighi, AT</t>
  </si>
  <si>
    <t>Karimidastenaei, Zahra; Kloeve, Bjoern; Sadegh, Mojtaba; Haghighi, Ali Torabi</t>
  </si>
  <si>
    <t>Polar Ice as an Unconventional Water Resource: Opportunities and Challenges</t>
  </si>
  <si>
    <t>WATER</t>
  </si>
  <si>
    <t>water scarcity; iceberg water utilization; global map; Mann-Kendall test</t>
  </si>
  <si>
    <t>SEA-ICE; BENTHIC COMMUNITIES; ICEBERG UTILIZATION; CARRYING-CAPACITY; AIR-TEMPERATURE; CLIMATE-CHANGE; MANN-KENDALL; OCEAN; TRANSPORT; IMPACT</t>
  </si>
  <si>
    <t>Global water resources are under pressure due to increasing population and diminishing conventional water resources caused by global warming. Water scarcity is a daunting global problem which has prompted efforts to find unconventional resources as an appealing substitute for conventional water, particularly in arid and semiarid regions. Ice is one such unconventional water resource, which is available mainly in the Arctic and Antarctic. In this study, opportunities and challenges in iceberg utilization as a source of freshwater were investigated on the basis of a systematic literature review (SLR). A search in three databases (Scopus, Web of Science, and ProQuest) yielded 47 separate studies from 1974 to 2019. The SLR indicated that harvesting iceberg water, one of the purest sources of water, offers benefits ranging from supplying freshwater and creating new jobs to avoiding iceberg damage to offshore structures. Economic considerations and risks associated with iceberg towing were identified as the main limitations to iceberg harvesting, while environmental impacts were identified as the main challenge to exploiting this resource. Assessment of trends in ice sheets in Arctic and Antarctic across different spatiotemporal scales indicated that the main sources of icebergs showed a statistically significant (p &lt; 0.01) decreasing trend for all months and seasons during 2005-2019.</t>
  </si>
  <si>
    <t>[Karimidastenaei, Zahra; Kloeve, Bjoern; Haghighi, Ali Torabi] Univ Oulu, Water Energy &amp; Environm Engn Res Unit, POB 4300, FIN-90014 Oulu, Finland; [Sadegh, Mojtaba] Boise State Univ, Dept Civil Engn, 1910 Univ Dr, Boise, ID 83725 USA</t>
  </si>
  <si>
    <t>University of Oulu; Idaho; Boise State University</t>
  </si>
  <si>
    <t>Karimidastenaei, Z (corresponding author), Univ Oulu, Water Energy &amp; Environm Engn Res Unit, POB 4300, FIN-90014 Oulu, Finland.</t>
  </si>
  <si>
    <t>Zahra.karimidastenaei@oulu.fi; Bjorn.Klove@oulu.fi; mojtabasadegh@boisestate.edu; ali.torabihaghighi@oulu.fi</t>
  </si>
  <si>
    <t>Karimidastenaei, Zahra/0000-0002-1201-2098; Torabi Haghighi, Ali/0000-0002-5157-0156</t>
  </si>
  <si>
    <t>Maa- ja vesitekniikan tuki r.y. (MVTT) [42563]</t>
  </si>
  <si>
    <t>Maa- ja vesitekniikan tuki r.y. (MVTT)</t>
  </si>
  <si>
    <t>This work was supported by the Maa- ja vesitekniikan tuki r.y. (MVTT), with project number 42563, to which the authors would like to express their deep gratitude.</t>
  </si>
  <si>
    <t>2073-4441</t>
  </si>
  <si>
    <t>WATER-SUI</t>
  </si>
  <si>
    <t>Water</t>
  </si>
  <si>
    <t>10.3390/w13223220</t>
  </si>
  <si>
    <t>Environmental Sciences; Water Resources</t>
  </si>
  <si>
    <t>Environmental Sciences &amp; Ecology; Water Resources</t>
  </si>
  <si>
    <t>XJ6PW</t>
  </si>
  <si>
    <t>WOS:000726908300001</t>
  </si>
  <si>
    <t>Choi, E; Kim, SH; Lee, SJ; Jo, E; Kim, J; Kim, JH; Parker, SJ; Chi, YM; Park, H</t>
  </si>
  <si>
    <t>Choi, Eunkyung; Kim, Sun Hee; Lee, Seung Jae; Jo, Euna; Kim, Jinmu; Kim, Jeong-Hoon; Parker, Steven J.; Chi, Young-Min; Park, Hyun</t>
  </si>
  <si>
    <t>A First Genome Survey and Genomic SSR Marker Analysis of Trematomus loennbergii Regan, 1913</t>
  </si>
  <si>
    <t>ANIMALS</t>
  </si>
  <si>
    <t>Trematomus loennbergii; scaly rockcod; repeat motif; SSR; microsatellite; Illumina</t>
  </si>
  <si>
    <t>ANTARCTIC NOTOTHENIOID FISHES; RADIATION; PERCIFORMES; EVOLUTION; REPEATS</t>
  </si>
  <si>
    <t>Simple Summary: The scaly rockcod (Trematomus loennbergii) is distributed in the Antarctic Ocean and this area is isolated by the Antarctic Circumpolar Current. It is important region to study evolutionary diversity. Trematomus is the main genus, having 11 species, and their habit distribution is well known. However, their genetic and genomic information is not studied. In addition, some species have similar morphology. In this study, a genome survey of T. loennbergii and microsatellite motif analysis were conducted to obtain genomic profile. The fundamental data such as genome size, heterozygosity ratio, duplication ration and microsatellite motifs were obtained. These data will provide a foundation for further whole-genome sequencing and the development of new molecular markers of T. loennbergii. Trematomus loennbergii Regan, 1913, is an evolutionarily important marine fish species distributed in the Antarctic Ocean. However, its genome has not been studied to date. In the present study, whole genome sequencing was performed using next-generation sequencing (NGS) technology to characterize its genome and develop genomic microsatellite markers. The 25-mer frequency distribution was estimated to be the best, and the genome size was predicted to be 815,042,992 bp. The heterozygosity, average rate of read duplication, and sequencing error rates were 0.536%, 0.724%, and 0.292%, respectively. These data were used to analyze microsatellite markers, and a total of 2,264,647 repeat motifs were identified. The most frequent repeat motif was di-nucleotide with 87.00% frequency, followed by tri-nucleotide (10.45%), tetra-nucleotide (1.94%), penta-nucleotide (0.34%), and hexa-nucleotide (0.27%). The AC repeat motif was the most abundant motif among di-nucleotides and among all repeat motifs. Among microsatellite markers, 181 markers were selected and PCR technology was used to validate several markers. A total of 15 markers produced only one band. In summary, these results provide a good basis for further studies, including evolutionary biology studies and population genetics of Antarctic fish species.</t>
  </si>
  <si>
    <t>[Choi, Eunkyung; Kim, Sun Hee; Lee, Seung Jae; Jo, Euna; Kim, Jinmu; Chi, Young-Min; Park, Hyun] Korea Univ, Coll Life Sci &amp; Biotechnol, Div Biotechnol, Seoul 02841, South Korea; [Kim, Sun Hee] Greenwitch Co, 20 Jeungpyeong,2 Sandan Ro, Doan Myeon 27902, Jeungpyeong Gun, South Korea; [Kim, Jeong-Hoon] Korea Polar Res Inst, Incheon 21990, South Korea; [Parker, Steven J.] Natl Inst Water &amp; Atmospher Res Ltd, 217 Akersten St Port Nelson, Nelson 7001, New Zealand</t>
  </si>
  <si>
    <t>Korea University; Korea Polar Research Institute (KOPRI); National Institute of Water &amp; Atmospheric Research (NIWA) - New Zealand</t>
  </si>
  <si>
    <t>Chi, YM; Park, H (corresponding author), Korea Univ, Coll Life Sci &amp; Biotechnol, Div Biotechnol, Seoul 02841, South Korea.</t>
  </si>
  <si>
    <t>amy_choi@korea.ac.kr; choihjdy@gmail.com; skullcap@korea.ac.kr; eunajo@kopri.re.kr; rlawlsan04@korea.ac.kr; jhkim94@kopri.re.kr; Steve.Parker@niwa.co.nz; ezeg@korea.ac.kr; hpark@korea.ac.kr</t>
  </si>
  <si>
    <t>Lee, Seungjae/0000-0002-2404-3107; Jo, Euna/0000-0003-2666-6743; Park, Hyun/0000-0002-8055-2010; Choi, Eunkyung/0000-0003-4823-2532; Kim, Jeong-Hoon/0000-0002-2397-2668</t>
  </si>
  <si>
    <t>project Ecosystem Structure and Function of Marine Protected Area (MPA) in Antarctica - Ministry of Oceans and Fisheries, Korea [PM21060, 20170336]; Korea University</t>
  </si>
  <si>
    <t>project Ecosystem Structure and Function of Marine Protected Area (MPA) in Antarctica - Ministry of Oceans and Fisheries, Korea; Korea University</t>
  </si>
  <si>
    <t>This study was supported by a grant from the project Ecosystem Structure and Function of Marine Protected Area (MPA) in Antarctica (PM21060) funded by the Ministry of Oceans and Fisheries (20170336), Korea and a Korea University Grant.</t>
  </si>
  <si>
    <t>2076-2615</t>
  </si>
  <si>
    <t>ANIMALS-BASEL</t>
  </si>
  <si>
    <t>Animals</t>
  </si>
  <si>
    <t>10.3390/ani11113186</t>
  </si>
  <si>
    <t>Agriculture, Dairy &amp; Animal Science; Veterinary Sciences; Zoology</t>
  </si>
  <si>
    <t>Agriculture; Veterinary Sciences; Zoology</t>
  </si>
  <si>
    <t>XG2MH</t>
  </si>
  <si>
    <t>WOS:000724591700001</t>
  </si>
  <si>
    <t>Liu, XY; Zhou, MY; Xing, S; Wu, T; He, HL; Bielicki, JK; Chen, JB</t>
  </si>
  <si>
    <t>Liu, Xiaoyu; Zhou, Mingyang; Xing, Shu; Wu, Tao; He, Hailun; Bielicki, John Kevin; Chen, Jianbin</t>
  </si>
  <si>
    <t>Identification and Biochemical Characterization of a Novel Hormone-Sensitive Lipase Family Esterase Est19 from the Antarctic Bacterium Pseudomonas sp. E2-15</t>
  </si>
  <si>
    <t>BIOMOLECULES</t>
  </si>
  <si>
    <t>esterase; Antarctic; HSL family; GESAG motif</t>
  </si>
  <si>
    <t>ENZYMES; PURIFICATION</t>
  </si>
  <si>
    <t>Esterases represent an important class of enzymes with a wide variety of industrial applications. A novel hormone-sensitive lipase (HSL) family esterase, Est19, from the Antarctic bacterium Pseudomonas sp. E2-15 is identified, cloned, and expressed. The enzyme possesses a GESAG motif containing an active serine (S) located within a highly conserved catalytic triad of Ser(155), Asp(253), and His(282) residues. The catalytic efficiency (k(cat)/K-m) of Est19 for the pNPC6 substrate is 148.68 s(-1)mM(-1) at 40 &amp; DEG;C. Replacing Glu(154) juxtaposed to the critical catalytic serine with Asp (E154 &amp; RARR;D substitution) reduced the activity and catalytic efficiency of the enzyme two-fold, with little change in the substrate affinity. The wild-type enzyme retained near complete activity over a temperature range of 10-60 &amp; DEG;C, while ~50% of its activity was retained at 0 &amp; DEG;C. A phylogenetic analysis suggested that Est19 and its homologs may represent a new subfamily of HSL. The thermal stability and stereo-specificity suggest that the Est19 esterase may be useful for cold and chiral catalyses.</t>
  </si>
  <si>
    <t>[Liu, Xiaoyu; Zhou, Mingyang; Xing, Shu; Wu, Tao; Chen, Jianbin] Qilu Univ Technol, Shandong Acad Sci, Sch Chem &amp; Chem Engn, Jinan 250353, Peoples R China; [He, Hailun] Cent South Univ, Sch Life Sci, State Key Lab Med Genet, Changsha 410013, Peoples R China; [Bielicki, John Kevin] Lawrence Berkeley Natl Lab, Berkeley, CA 94720 USA</t>
  </si>
  <si>
    <t>Qilu University of Technology; Central South University; United States Department of Energy (DOE); Lawrence Berkeley National Laboratory</t>
  </si>
  <si>
    <t>Zhou, MY; Chen, JB (corresponding author), Qilu Univ Technol, Shandong Acad Sci, Sch Chem &amp; Chem Engn, Jinan 250353, Peoples R China.</t>
  </si>
  <si>
    <t>liuxiaoyu27@126.com; myzhou@qlu.edu.cn; xingshu@qlu.edu.cn; 17806022232@163.com; helenhe@csu.edu.cn; jkbielicki@hotmail.com; jchen@qlu.edu.cn</t>
  </si>
  <si>
    <t>WANG, JIAXUAN/JMP-8599-2023; wen, liang/JNR-7720-2023; Zhang, Jun/JPK-7723-2023; Zhou, Mingyang/JRY-7534-2023; wang, zhiwen/JDV-9990-2023; XIE, WANYING/JNR-9259-2023; He, Hailun/L-4424-2018; Chen, Jianbin/HGF-1513-2022</t>
  </si>
  <si>
    <t>Zhou, Mingyang/0009-0001-8519-7118; Chen, Jianbin/0000-0003-1104-7237; Zhou, Mingyang/0000-0003-1624-3827</t>
  </si>
  <si>
    <t>National Natural Science Foundation of China [31400002, 22171154, 31370104, 21801144]; Qilu University of Technology (Shandong Academy of Sciences) Joint Fund for Young Doctors [2017BSH2016, 2017BSH2017]; International Cooperation Fund [QLUTGJHZ2018002]; Youth Innovative Talents Recruitment and Cultivation Program of Shandong Higher Education; Government Fund for Universities of Jinan City [2019GXRC021]</t>
  </si>
  <si>
    <t>National Natural Science Foundation of China(National Natural Science Foundation of China (NSFC)); Qilu University of Technology (Shandong Academy of Sciences) Joint Fund for Young Doctors; International Cooperation Fund; Youth Innovative Talents Recruitment and Cultivation Program of Shandong Higher Education; Government Fund for Universities of Jinan City</t>
  </si>
  <si>
    <t>This work was funded by the National Natural Science Foundation of China, grant numbers 31400002, 22171154, 31370104, and 21801144; Qilu University of Technology (Shandong Academy of Sciences) Joint Fund for Young Doctors, grant numbers 2017BSH2016 and 2017BSH2017, and the International Cooperation Fund, grant number QLUTGJHZ2018002; Youth Innovative Talents Recruitment and Cultivation Program of Shandong Higher Education, and Government Fund for Universities of Jinan City, grant number 2019GXRC021.</t>
  </si>
  <si>
    <t>2218-273X</t>
  </si>
  <si>
    <t>Biomolecules</t>
  </si>
  <si>
    <t>10.3390/biom11111552</t>
  </si>
  <si>
    <t>XH6KJ</t>
  </si>
  <si>
    <t>WOS:000725540700001</t>
  </si>
  <si>
    <t>Tong, C; Hock, K; Krueck, NC; Tyazhelnikov, V; Mumby, PJ</t>
  </si>
  <si>
    <t>Tong, Colm; Hock, Karlo; Krueck, Nils C.; Tyazhelnikov, Vladimir; Mumby, Peter J.</t>
  </si>
  <si>
    <t>An MPA Design Approach to Benefit Fisheries: Maximising Larval Export and Minimising Redundancy</t>
  </si>
  <si>
    <t>optimization algorithm; Caribbean; connectivity; design; complementarity; export; fisheries; fish larvae; MPA; redundancy</t>
  </si>
  <si>
    <t>MARINE RESERVES; CONNECTIVITY; CONSERVATION; FISH; POPULATIONS; MANAGEMENT</t>
  </si>
  <si>
    <t>In the design of marine protected areas (MPAs), tailoring reserve placement to facilitate larval export beyond reserve boundaries may support fished populations and fisheries through recruitment subsidies. Intuitively, capturing such connectivity could be purely based on optimising larval dispersal metrics such as export strength. However, this can lead to inefficient or redundant larval connectivity, as the subset of sites with the best connectivity metrics might share many of the same connections, making them, collectively, poor MPA candidates to provide recruitment subsidies to unprotected sites. We propose a simple, dynamic algorithm for reserve placement optimisation designed to select MPAs sequentially, maximising larval export to the overall network, whilst accounting for redundancy in supply from multiple sources. When applied to four regions in the Caribbean, the algorithm consistently outperformed approaches that did not consider supply redundancy, leading to, on average, 20% greater fished biomass in a simulated model. Improvements were most apparent in dense, strongly connected systems such as the Bahamas. Here, MPA placement without redundancy considerations produced fishery benefits worse than random MPA design. Our findings highlight the importance of considering redundancy in MPA design, and offer a novel, simple approach to improving MPA design for achieving fishery objectives.</t>
  </si>
  <si>
    <t>[Tong, Colm; Hock, Karlo; Mumby, Peter J.] Univ Queensland, Sch Biol Sci, Brisbane, Qld 4072, Australia; [Krueck, Nils C.] Univ Tasmania, Inst Marine &amp; Antarctic Studies, Hobart, Tas 7001, Australia; [Tyazhelnikov, Vladimir] Univ Sydney, Dept Econ, Sydney, NSW 2006, Australia</t>
  </si>
  <si>
    <t>University of Queensland; University of Tasmania; University of Sydney</t>
  </si>
  <si>
    <t>Tong, C; Mumby, PJ (corresponding author), Univ Queensland, Sch Biol Sci, Brisbane, Qld 4072, Australia.</t>
  </si>
  <si>
    <t>colm.tong@uqconnect.edu.au; k.hockl@uq.edu.au; Nils.Krueck@utas.edu.au; vladimir.tyazhelnikov@sydney.edu.au; p.j.mumby@uq.edu.au</t>
  </si>
  <si>
    <t>Mumby, Peter/F-9914-2010</t>
  </si>
  <si>
    <t>Krueck, Nils/0000-0003-2090-1423; Tyazhelnikov, Vladimir/0000-0003-3286-0542</t>
  </si>
  <si>
    <t>10.3390/d13110586</t>
  </si>
  <si>
    <t>XI0AZ</t>
  </si>
  <si>
    <t>WOS:000725787400001</t>
  </si>
  <si>
    <t>Xie, D; He, FY; Wang, XS; Wang, XG; Jin, QZ; Jin, J</t>
  </si>
  <si>
    <t>Xie, Dan; He, Fangyuan; Wang, Xiaosan; Wang, Xingguo; Jin, Qingzhe; Jin, Jun</t>
  </si>
  <si>
    <t>Diverse Krill Lipid Fractions Differentially Reduce LPS-Induced Inflammatory Markers in RAW264.7 Macrophages In Vitro</t>
  </si>
  <si>
    <t>krill oil; anti-inflammatory effect; RAW 264.7 cell; chemical composition</t>
  </si>
  <si>
    <t>POLYUNSATURATED FATTY-ACIDS; EUPHAUSIA-SUPERBA OIL; ANTIINFLAMMATORY ACTIVITY; KAPPA-B; EXTRACTION; EXPRESSION; MEDIATORS; SUPPLEMENTATION; PHOSPHOLIPIDS; ASTAXANTHIN</t>
  </si>
  <si>
    <t>Antarctic krill oil is an emerging marine lipid and expected to be a potential functional food due to its diverse nutrients, such as eicosapentaenoic acid (EPA), docosahexaenoic acid (DHA), phospholipids, astaxanthin and tocopherols. Although krill oil has been previously proved to have anti-inflammatory activity, there is little information about the relationship between its chemical compositions and anti-inflammatory activity. In this study, the RAW264.7 macrophages model was used to elucidate and compare the anti-inflammatory potential of different krill lipid fractions: KLF-A, KLF-H and KLF-E, which have increasing phospholipids, EPA and DHA contents but decreasing astaxanthin and tocopherols levels. Results showed that all the krill lipid fractions alleviated the inflammatory reaction by inhibition of production of nitric oxide (NO), release of tumor necrosis factor-alpha (TNF-alpha), interleukin (IL)-1 beta and IL-6 and gene expression of proinflammatory mediators including TNF-alpha, IL-1 beta, IL-6, cyclooxygenase-2 (COX-2) and inducible nitric oxide synthase (iNOS). In addition, KLF-E with the highest phospholipids, EPA and DHA contents showed the strongest inhibition effect on the LPS-induced proinflammatory mediator release and their gene expressions. The results would be helpful to provide powerful insights into the underlying anti-inflammatory mechanism of krill lipid and guiding the production of krill oil products with tailor-made anti-inflammatory activity.</t>
  </si>
  <si>
    <t>[Xie, Dan; He, Fangyuan] Anhui Polytech Univ, Coll Biol &amp; Food Engn, Beijing Zhong Rd, Wuhu 241000, Peoples R China; [Xie, Dan; Wang, Xiaosan; Wang, Xingguo; Jin, Qingzhe; Jin, Jun] Jiangnan Univ, Collaborat Innovat Ctr Food Safety &amp; Qual Control, Int Joint Res Lab Lipid Nutr &amp; Safety, Sch Food Sci &amp; Technol, 1800 Lihu Rd, Wuxi 214122, Jiangsu, Peoples R China</t>
  </si>
  <si>
    <t>Anhui Polytechnic University; Jiangnan University</t>
  </si>
  <si>
    <t>Jin, J (corresponding author), Jiangnan Univ, Collaborat Innovat Ctr Food Safety &amp; Qual Control, Int Joint Res Lab Lipid Nutr &amp; Safety, Sch Food Sci &amp; Technol, 1800 Lihu Rd, Wuxi 214122, Jiangsu, Peoples R China.</t>
  </si>
  <si>
    <t>xdwawj@163.com; Hfy1124900348@163.com; wxstongxue@163.com; wangxg1002@gmail.com; jqzwuxi@163.com; junjin@jiangnan.edu.cn</t>
  </si>
  <si>
    <t>Chen, Xiaojia/JYV-2395-2024; Jin, Jun/U-4130-2019</t>
  </si>
  <si>
    <t>Jin, Jun/0000-0002-6186-6882</t>
  </si>
  <si>
    <t>Natural Science Foundation of China [32102046]; Natural Science Foundation of Anhui Province [2008085QC142]; Scientific Research Foundation of Anhui Polytechnic University [2019YQQ017, Xjky2020063]</t>
  </si>
  <si>
    <t>Natural Science Foundation of China(National Natural Science Foundation of China (NSFC)); Natural Science Foundation of Anhui Province(Natural Science Foundation of Anhui Province); Scientific Research Foundation of Anhui Polytechnic University</t>
  </si>
  <si>
    <t>FundingThis research was funded by Natural Science Foundation of China, grant number 32102046, Natural Science Foundation of Anhui Province, grant number 2008085QC142 and Scientific Research Foundation of Anhui Polytechnic University, grant number 2019YQQ017; Xjky2020063.</t>
  </si>
  <si>
    <t>10.3390/foods10112887</t>
  </si>
  <si>
    <t>XH2UE</t>
  </si>
  <si>
    <t>WOS:000725295100001</t>
  </si>
  <si>
    <t>Zahri, KNM; Khalil, KA; Gomez-Fuentes, C; Zulkharnain, A; Sabri, S; Convey, P; Lim, S; Ahmad, SA</t>
  </si>
  <si>
    <t>Zahri, Khadijah Nabilah Mohd; Khalil, Khalilah Abdul; Gomez-Fuentes, Claudio; Zulkharnain, Azham; Sabri, Suriana; Convey, Peter; Lim, Sooa; Ahmad, Siti Aqlima</t>
  </si>
  <si>
    <t>Mathematical Modelling of Canola Oil Biodegradation and Optimisation of Biosurfactant Production by an Antarctic Bacterial Consortium Using Response Surface Methodology</t>
  </si>
  <si>
    <t>kinetic modelling; canola oil; degradation; biosurfactant; Antarctic bacteria; central composite design</t>
  </si>
  <si>
    <t>PSEUDOMONAS-AERUGINOSA; BACILLUS-SUBTILIS; ACINETOBACTER SP; KINETICS; HEMOLYSIS; BIOREMEDIATION; DEGRADATION; INHIBITION; BEHAVIOR; GROWTH</t>
  </si>
  <si>
    <t>An Antarctic soil bacterial consortium (reference BS14) was confirmed to biodegrade canola oil, and kinetic studies on this biodegradation were carried out. The purpose of this study was to examine the ability of BS14 to produce biosurfactants during the biodegradation of canola oil. Secondary mathematical equations were chosen for kinetic analyses (Monod, Haldane, Teissier-Edwards, Aiba and Yano models). At the same time, biosurfactant production was confirmed through a preliminary screening test and further optimised using response surface methodology (RSM). Mathematical modelling demonstrated that the best-fitting model was the Haldane model for both waste (WCO) and pure canola oil (PCO) degradation. Kinetic parameters including the maximum degradation rate (mu(max)) and maximum concentration of substrate tolerated (S-m) were obtained. For WCO degradation these were 0.365 min(-1) and 0.308%, respectively, while for PCO they were 0.307 min(-1) and 0.591%, respectively. The results of all preliminary screenings for biosurfactants were positive. BS14 was able to produce biosurfactant concentrations of up to 13.44 and 14.06 mg/mL in the presence of WCO and PCO, respectively, after optimisation. The optimum values for each factor were determined using a three-dimensional contour plot generated in a central composite design, where a combination of 0.06% salinity, pH 7.30 and 1.55% initial substrate concentration led to the highest biosurfactant production when using WCO. Using PCO, the highest biosurfactant yield was obtained at 0.13% salinity, pH 7.30 and 1.25% initial substrate concentration. This study could help inform the development of large-scale bioremediation applications, not only for the degradation of canola oil but also of other hydrocarbons in the Antarctic by utilising the biosurfactants produced by BS14.</t>
  </si>
  <si>
    <t>[Zahri, Khadijah Nabilah Mohd; Ahmad, Siti Aqlima] Univ Putra Malaysia, Fac Biotechnol &amp; Biomol Sci, Dept Biochem, Serdang 43400, Selangor, Malaysia; [Khalil, Khalilah Abdul] Univ Teknol MARA, Sch Biol, Fac Sci Appl, Sect 2, Shah Alam 45000, Selangor, Malaysia; [Gomez-Fuentes, Claudio] Univ Magallanes, Dept Chem Engn, Avda Bulnes 01855, Punta Arenas, Chile; [Gomez-Fuentes, Claudio; Ahmad, Siti Aqlima] Univ Magallanes, Ctr Res &amp; Antarct Environm Monitoring CIMAA, Avda Bulnes 01855, Punta Arenas, Chile; [Zulkharnain, Azham] Shibaura Inst Technol, Dept Biosci &amp; Engn, Coll Syst Engn &amp; Sci, Minuma Ku, 307 Fukasaku, Saitama 3378570, Japan; [Sabri, Suriana] Univ Putra Malaysia, Fac Biotechnol &amp; Biomol Sci, Dept Microbiol, Serdang 43400, Selangor, Malaysia; [Convey, Peter] British Antarctic Survey, NERC, High Cross,Madingley Rd, Cambridge CB3 0ET, England; [Convey, Peter] Univ Johannesburg, Dept Zool, POB 524, ZA-2006 Auckland Pk, South Africa; [Lim, Sooa] Hoseo Univ, Dept Pharmaceut Engn, Asan 31499, Chungnam, South Korea</t>
  </si>
  <si>
    <t>Universiti Putra Malaysia; Universiti Teknologi MARA; Universidad de Magallanes; Universidad de Magallanes; Shibaura Institute of Technology; Universiti Putra Malaysia; UK Research &amp; Innovation (UKRI); Natural Environment Research Council (NERC); NERC British Antarctic Survey; University of Johannesburg; Hoseo University</t>
  </si>
  <si>
    <t>Ahmad, SA (corresponding author), Univ Putra Malaysia, Fac Biotechnol &amp; Biomol Sci, Dept Biochem, Serdang 43400, Selangor, Malaysia.;Ahmad, SA (corresponding author), Univ Magallanes, Ctr Res &amp; Antarct Environm Monitoring CIMAA, Avda Bulnes 01855, Punta Arenas, Chile.</t>
  </si>
  <si>
    <t>khadijahnabilah95@gmail.com; khali552@uitm.edu.my; claudio.gomez@umag.cl; azham@shibaura-it.ac.jp; suriana@upm.edu.my; pcon@bas.ac.uk; salim0609@hoseo.edu; aqlima@upm.edu.my</t>
  </si>
  <si>
    <t>Convey, Peter/AAV-5728-2020; Zahri, Khadijah Nabilah Mohd/AEQ-4594-2022; Gomez-Fuentes, Claudio/ACN-8984-2022</t>
  </si>
  <si>
    <t>Convey, Peter/0000-0001-8497-9903; Gomez-Fuentes, Claudio/0000-0001-9060-7727; Zulkharnain, Azham/0000-0001-9173-8171; Zahri, Khadijah/0009-0000-2963-3109; Ahmad, Siti Aqlima/0000-0002-7625-3704; Sabri, Suriana/0000-0003-4027-5730</t>
  </si>
  <si>
    <t>Putra-IPM fund by Universiti Putra Malaysia (UPM) [GPM-2018/9660000, GPM-2019/9678900]; YPASM Smart Partnership Initiative by Sultan Mizan Antarctic Research Foundation (YPASM) [6300247]; Centro de Investigacion y Monitoreo Ambiental Antarctico (CIMAA); National Research Foundation of Korea (NRF) - Korea government (MSIT) [2021R1G1A1010154]; NERC</t>
  </si>
  <si>
    <t>Putra-IPM fund by Universiti Putra Malaysia (UPM); YPASM Smart Partnership Initiative by Sultan Mizan Antarctic Research Foundation (YPASM); Centro de Investigacion y Monitoreo Ambiental Antarctico (CIMAA); National Research Foundation of Korea (NRF) - Korea government (MSIT); NERC(UK Research &amp; Innovation (UKRI)Natural Environment Research Council (NERC))</t>
  </si>
  <si>
    <t>This project was financially supported by Putra-IPM fund under the research grant attached to S.A. Ahmad (GPM-2018/9660000, GPM-2019/9678900) disbursed by Universiti Putra Malaysia (UPM) and YPASM Smart Partnership Initiative (6300247) by Sultan Mizan Antarctic Research Foundation (YPASM) C. Gomez-Fuentes is supported by Centro de Investigacion y Monitoreo Ambiental Antarctico (CIMAA). S. Lim is supported by the National Research Foundation of Korea (NRF) grant (No. 2021R1G1A1010154) funded by the Korea government (MSIT). P. Convey is supported by NERC core funding to the BAS `Biodiversity, Evolution and Adaptation' Team.</t>
  </si>
  <si>
    <t>10.3390/foods10112801</t>
  </si>
  <si>
    <t>XG8ER</t>
  </si>
  <si>
    <t>WOS:000724981500001</t>
  </si>
  <si>
    <t>Dorokhova, EV; Rodriguez-Tovar, FJ; Dorokhov, DV; Kuleshova, LA; Mena, A; Glazkova, T; Krechik, VA</t>
  </si>
  <si>
    <t>Dorokhova, Evgenia V.; Rodriguez-Tovar, Francisco J.; Dorokhov, Dmitry V.; Kuleshova, Liubov A.; Mena, Anxo; Glazkova, Tatiana; Krechik, Viktor A.</t>
  </si>
  <si>
    <t>Landscape Mapping, Ichnological and Benthic Foraminifera Trends in a Deep-Water Gateway, Discovery Gap, NE Atlantic</t>
  </si>
  <si>
    <t>GEOSCIENCES</t>
  </si>
  <si>
    <t>habitat mapping; bathymetric position index; GIS; trace fossils; benthic foraminifera; computed tomography; bottom substrate; water temperature; suspended particulate matter; Antarctic Bottom Water</t>
  </si>
  <si>
    <t>ANTARCTIC BOTTOM WATER; IODP SITE U1385; ENVIRONMENTAL-INFLUENCES; QUANTITATIVE ESTIMATION; PRIMARY PRODUCTIVITY; CONTINENTAL-MARGIN; SHACKLETON SITE; IMAGE TREATMENT; NORTH-ATLANTIC; VEMA CHANNEL</t>
  </si>
  <si>
    <t>Multidisciplinary studies have allowed us to describe the abiotic landscapes and, thus, reveal the ichnological and benthic foraminifera trends in a deep-water gateway. Mesoscale landscape mapping is presented based on the bathymetric position index, substrate types and near-bottom water temperature. Four sediment cores, retrieved from the entrance, centre and exit of the gap, were subject to computed tomography, ichnological and benthic foraminifera studies. A high diversity of abiotic landscapes in the relatively small area of Discovery Gap is detected and its landscape is characterized by 23 landscape types. The most heterogeneous abiotic factor is a topography that is associated with sediment patchiness and substrate variability. The ichnological and tomographical studies of the sediment cores demonstrate lateral and temporal differences in the macrobenthic tracemaker behaviour. The ichnofossils assemblage of the sediment core can be assigned to the Zoophycos ichnofacies with a higher presence of Zoophycos in the entrance site of the gap and during glacial intervals. Higher benthic foraminifera diversity and species richness during the Holocene are also registered in the southern part of the gap compared to the northern part. The spatial and temporal differences in macro-benthos behavior and benthic foraminifera distribution in the deep-water gateway are proposed to relate to the topographical variations of the Antarctic Bottom Water and its influence on the hydrodynamic regime, nutrient transport, etc.</t>
  </si>
  <si>
    <t>[Dorokhova, Evgenia V.; Dorokhov, Dmitry V.; Kuleshova, Liubov A.; Krechik, Viktor A.] Russian Acad Sci, Shirshov Inst Oceanol, Moscow 117997, Russia; [Dorokhova, Evgenia V.; Dorokhov, Dmitry V.; Krechik, Viktor A.] Immanuel Kant Baltic Fed Univ, Inst Live Sci, Kaliningrad 236016, Russia; [Rodriguez-Tovar, Francisco J.] Univ Granada, Dept Estratig &amp; Paleontol, Granada 18002, Spain; [Mena, Anxo] Univ Vigo, Fac Marine Sci, Dept Marine Geosci, Vigo 36310, Spain; [Glazkova, Tatiana] Royal Holloway Univ London, Dept Earth Sci, Egham TW20 0EX, Surrey, England</t>
  </si>
  <si>
    <t>Russian Academy of Sciences; Shirshov Institute of Oceanology; Immanuel Kant Baltic Federal University; University of Granada; Universidade de Vigo; University of London; Royal Holloway University London</t>
  </si>
  <si>
    <t>Dorokhova, EV (corresponding author), Russian Acad Sci, Shirshov Inst Oceanol, Moscow 117997, Russia.;Dorokhova, EV (corresponding author), Immanuel Kant Baltic Fed Univ, Inst Live Sci, Kaliningrad 236016, Russia.</t>
  </si>
  <si>
    <t>zhdorokhova@gmail.com; fjrtovar@ugr.es; d_dorohov@mail.ru; lubov_kuleshova@mail.ru; anxomena@uvigo.gal; Tatiana.Glazkova.2016@live.rhul.ac.uk; myemail.gav@gmail.com</t>
  </si>
  <si>
    <t>Dorokhova, Evgenia V/L-3075-2016; Krechik, Viktor/J-9941-2016; Dorokhov, Dmitry/E-9060-2018</t>
  </si>
  <si>
    <t>Kuleshova, Liubov/0000-0002-8511-225X; Krechik, Viktor/0000-0001-6440-060X; Dorokhov, Dmitry/0000-0003-1226-8429; Dorokhova, Evgenia/0000-0002-0079-7342; Mena, Anxo/0000-0002-1909-1104; Rodriguez-Tovar, Francisco/0000-0002-1400-2715</t>
  </si>
  <si>
    <t>Russian Science Foundation [19-17-00246]; Secretaria de Estado de I+D+I, Spain [CGL2015-66835-P, PID2019-104625RB-100]; FEDER Andalucia [B-RNM-072-UGR18]; Junta de Andalucia [P18-460 RT-4074]; Scientific Excellence Unit (Universidad de Granada) [UCE-2016-05]; Russian Science Foundation [19-17-00246] Funding Source: Russian Science Foundation</t>
  </si>
  <si>
    <t>Russian Science Foundation(Russian Science Foundation (RSF)); Secretaria de Estado de I+D+I, Spain(Spanish Government); FEDER Andalucia; Junta de Andalucia(Junta de Andalucia); Scientific Excellence Unit (Universidad de Granada); Russian Science Foundation(Russian Science Foundation (RSF))</t>
  </si>
  <si>
    <t>The bathymetric position index analysis and bottom substrates classification were carried out within framework of the state assignment of IO RAS (Theme No. 0128-2021-0016). The landscape mapping, benthic foraminiferal and hydrological studies were supported by the Russian Science Foundation (grant No. 19-17-00246). Research by RT was funded by Projects CGL2015-66835-P and PID2019-104625RB-100 (Secretaria de Estado de I+D+I, Spain), B-RNM-072-UGR18 (FEDER Andalucia), and P18-460 RT-4074 (Junta de Andalucia), and Scientific Excellence Unit UCE-2016-05 (Universidad de Granada). Work by TG was done within the framework of The Drifters Research Group at Royal Holloway University of London (RHUL).</t>
  </si>
  <si>
    <t>2076-3263</t>
  </si>
  <si>
    <t>Geosciences</t>
  </si>
  <si>
    <t>10.3390/geosciences11110474</t>
  </si>
  <si>
    <t>XH0MB</t>
  </si>
  <si>
    <t>WOS:000725136600001</t>
  </si>
  <si>
    <t>Muggia, L; Coleine, C; De Carolis, R; Cometto, A; Selbmann, L</t>
  </si>
  <si>
    <t>Muggia, Lucia; Coleine, Claudia; De Carolis, Roberto; Cometto, Agnese; Selbmann, Laura</t>
  </si>
  <si>
    <t>Antarctolichenia onofrii gen. nov. sp. nov. from Antarctic Endolithic Communities Untangles the Evolution of Rock-Inhabiting and Lichenized Fungi in Arthoniomycetes</t>
  </si>
  <si>
    <t>JOURNAL OF FUNGI</t>
  </si>
  <si>
    <t>algae; Lichenostigmatales; melanization; microbial communities; phylogeny; Stichococcus</t>
  </si>
  <si>
    <t>MCMURDO DRY VALLEYS; PHYLOGENETIC-RELATIONSHIPS; ASCOMYCOTA TREE; ARTHONIALES; PHOTOBIONTS; LIFE; CLASSIFICATION; LICHENOTHELIA; CHLOROPHYTA; SANDSTONE</t>
  </si>
  <si>
    <t>Microbial endolithic communities are the main and most widespread life forms in the coldest and hyper-arid desert of the McMurdo Dry Valleys and other ice-free areas across Victoria Land, Antarctica. There, the lichen-dominated communities are complex and self-supporting assemblages of phototrophic and heterotrophic microorganisms, including bacteria, chlorophytes, and both free-living and lichen-forming fungi living at the edge of their physiological adaptability. In particular, among the free-living fungi, microcolonial, melanized, and anamorphic species are highly recurrent, while a few species were sometimes found to be associated with algae. One of these fungi is of paramount importance for its peculiar traits, i.e., a yeast-like habitus, co-growing with algae and being difficult to propagate in pure culture. In the present study, this taxon is herein described as the new genus Antarctolichenia and its type species is A. onofrii, which represents a transitional group between the free-living and symbiotic lifestyle in Arthoniomycetes. The phylogenetic placement of Antarctolichenia was studied using three rDNA molecular markers and morphological characters were described. In this study, we also reappraise the evolution and the connections linking the lichen-forming and rock-inhabiting lifestyles in the basal lineages of Arthoniomycetes (i.e., Lichenostigmatales) and Dothideomycetes.</t>
  </si>
  <si>
    <t>[Muggia, Lucia; De Carolis, Roberto; Cometto, Agnese] Univ Trieste, Dept Life Sci, Via Giorgieri 10, I-34127 Trieste, Italy; [Coleine, Claudia; Selbmann, Laura] Univ Tuscia, Dept Ecol &amp; Biol Sci, I-01100 Viterbo, Italy; [Selbmann, Laura] Italian Antarctic Natl Museum MNA, Mycol Sect, I-16128 Genoa, Italy</t>
  </si>
  <si>
    <t>University of Trieste; Tuscia University</t>
  </si>
  <si>
    <t>Selbmann, L (corresponding author), Univ Tuscia, Dept Ecol &amp; Biol Sci, I-01100 Viterbo, Italy.;Selbmann, L (corresponding author), Italian Antarctic Natl Museum MNA, Mycol Sect, I-16128 Genoa, Italy.</t>
  </si>
  <si>
    <t>lmuggia@units.it; coleine@unitus.it; roberto.decarolis@phd.units.it; agnese.cometto@phd.units.it; selbmann@unitus.it</t>
  </si>
  <si>
    <t>Coleine, Claudia/AAE-1889-2020; Selbmann, Laura/L-3056-2013; MUGGIA, LUCIA/F-7401-2016</t>
  </si>
  <si>
    <t>Coleine, Claudia/0000-0002-9289-6179; Selbmann, Laura/0000-0002-8967-3329; MUGGIA, LUCIA/0000-0003-0390-6169</t>
  </si>
  <si>
    <t>Italian National Program for Antarctic Research (PNRA)</t>
  </si>
  <si>
    <t>This research was funded by the Italian National Program for Antarctic Research (PNRA).</t>
  </si>
  <si>
    <t>2309-608X</t>
  </si>
  <si>
    <t>J FUNGI</t>
  </si>
  <si>
    <t>J. Fungi</t>
  </si>
  <si>
    <t>10.3390/jof7110935</t>
  </si>
  <si>
    <t>Microbiology; Mycology</t>
  </si>
  <si>
    <t>XJ0XZ</t>
  </si>
  <si>
    <t>Green Submitted, gold, Green Published</t>
  </si>
  <si>
    <t>WOS:000726523500001</t>
  </si>
  <si>
    <t>Giordano, D</t>
  </si>
  <si>
    <t>Giordano, Daniela</t>
  </si>
  <si>
    <t>Bioactive Molecules from Extreme Environments II</t>
  </si>
  <si>
    <t>MARINE DRUGS</t>
  </si>
  <si>
    <t>DERMACOCCUS-ABYSSI; DEEP; MYCALOL; LUTEIN; STRAIN</t>
  </si>
  <si>
    <t>[Giordano, Daniela] CNR, Inst Biosci &amp; BioResources IBBR, Via Pietro Castellino 111, I-80131 Naples, Italy; [Giordano, Daniela] Dept Marine Biotechnol, Staz Zool Anton Dohrn SZN, Villa Comunale, I-80121 Naples, Italy</t>
  </si>
  <si>
    <t>Consiglio Nazionale delle Ricerche (CNR); Istituto di Bioscienze e Biorisorse (IBBR-CNR)</t>
  </si>
  <si>
    <t>Giordano, D (corresponding author), CNR, Inst Biosci &amp; BioResources IBBR, Via Pietro Castellino 111, I-80131 Naples, Italy.;Giordano, D (corresponding author), Dept Marine Biotechnol, Staz Zool Anton Dohrn SZN, Villa Comunale, I-80121 Naples, Italy.</t>
  </si>
  <si>
    <t>daniela.giordano@ibbr.cnr.it</t>
  </si>
  <si>
    <t>Giordano, Daniela/AFK-7772-2022</t>
  </si>
  <si>
    <t>Giordano, Daniela/0000-0002-8891-6245</t>
  </si>
  <si>
    <t>Italian National Programme for Antarctic Research (PNRA) [2016/AZ1.06-Project PNRA16_00043, 2016/AZ1.20-Project PNRA16_00128]; [2016/AZ1.06]; [PNRA16_00043]; [2016/AZ1.20]; [PNRA16_00128]</t>
  </si>
  <si>
    <t>Italian National Programme for Antarctic Research (PNRA); ; ; ;</t>
  </si>
  <si>
    <t>This study was funded by the Italian National Programme for Antarctic Research (PNRA) (2016/AZ1.06-Project PNRA16_00043 and 2016/AZ1.20-Project PNRA16_00128).</t>
  </si>
  <si>
    <t>1660-3397</t>
  </si>
  <si>
    <t>MAR DRUGS</t>
  </si>
  <si>
    <t>Mar. Drugs</t>
  </si>
  <si>
    <t>10.3390/md19110642</t>
  </si>
  <si>
    <t>Chemistry, Medicinal; Pharmacology &amp; Pharmacy</t>
  </si>
  <si>
    <t>Pharmacology &amp; Pharmacy</t>
  </si>
  <si>
    <t>XI6MD</t>
  </si>
  <si>
    <t>WOS:000726222200001</t>
  </si>
  <si>
    <t>Shilling, AJ; Heiser, S; Amsler, CD; McClintock, JB; Baker, BJ</t>
  </si>
  <si>
    <t>Shilling, Andrew J.; Heiser, Sabrina; Amsler, Charles D.; McClintock, James B.; Baker, Bill J.</t>
  </si>
  <si>
    <t>Hidden Diversity in an Antarctic Algal Forest: Metabolomic Profiling Linked to Patterns of Genetic Diversification in the Antarctic Red Alga Plocamium sp.</t>
  </si>
  <si>
    <t>halogenated monoterpenes; metabolite diversity; haplotype diversity; Plocamium; Antarctica</t>
  </si>
  <si>
    <t>MARINE NATURAL-PRODUCTS; HALOGENATED MONOTERPENE METABOLITES; POLYHALOGENATED MONOTERPENES; POTTER COVE; R-PACKAGE; A-C; MACROALGAE; CARTILAGINEUM; RHODOPHYTA; MACROEVOLUTION</t>
  </si>
  <si>
    <t>The common Antarctic red alga Plocamium sp. is rich in halogenated monoterpenes with known anticancer and antimicrobial properties and extracts of Plocamium sp. have strong ecological activity in deterring feeding by sympatric herbivores. Plocamium sp. collected near Anvers Island, Antarctica showed a high degree of secondary metabolite diversity between separate individuals. GC/MS results revealed 15 different combinations of metabolites (chemogroups) across individuals, which were apparent at 50% or greater Bray-Curtis similarity and also clearly distinguishable by eye when comparing chromatographic profiles of the secondary metabolomes. Sequencing of the mitochondrial cox1 gene revealed six distinct haplotypes, of which the most common two had been previously reported (now referred to as Haplotypes 1 and 2). With the exception of one individual, three of the chemogroups were only produced by individuals in Haplotype 1. All the other 12 chemogroups were produced by individuals in Haplotype 2, with five of these chemogroups also present in one of the four new, less common haplotypes that only differed from Haplotype 2 by one base pair. The functional relevance of this metabolomic and genetic diversity is unknown, but they could have important ecological and evolutionary ramifications, thus potentially providing a foundation for differential selection.</t>
  </si>
  <si>
    <t>[Shilling, Andrew J.; Baker, Bill J.] Univ S Florida, Dept Chem, 4202 E Fowler Ave, Tampa, FL 33620 USA; [Heiser, Sabrina; Amsler, Charles D.; McClintock, James B.] Univ Alabama Birmingham, Dept Biol, 1300 Univ Blvd, Birmingham, AL 35233 USA</t>
  </si>
  <si>
    <t>State University System of Florida; University of South Florida; University of Alabama System; University of Alabama Birmingham</t>
  </si>
  <si>
    <t>Baker, BJ (corresponding author), Univ S Florida, Dept Chem, 4202 E Fowler Ave, Tampa, FL 33620 USA.;Amsler, CD (corresponding author), Univ Alabama Birmingham, Dept Biol, 1300 Univ Blvd, Birmingham, AL 35233 USA.</t>
  </si>
  <si>
    <t>ashillin@mail.usf.edu; heiser@uab.edu; amsler@uab.edu; mcclinto@uab.edu; bibaker@usf.edu</t>
  </si>
  <si>
    <t>Baker, Bill/N-4312-2019; Heiser, Sabrina/HJH-9098-2023</t>
  </si>
  <si>
    <t>Heiser, Sabrina/0000-0003-3307-3233; Baker, Bill/0000-0003-3033-5779; Amsler, Charles/0000-0002-4843-3759</t>
  </si>
  <si>
    <t>National Science Foundation awards from the Antarctic Organisms and Ecosystems Program [PLR-1341333]; Endowed University; University of Alabama at Birmingham</t>
  </si>
  <si>
    <t>National Science Foundation awards from the Antarctic Organisms and Ecosystems Program(National Science Foundation (NSF)NSF - Directorate for Geosciences (GEO)); Endowed University; University of Alabama at Birmingham</t>
  </si>
  <si>
    <t>This research was funded by the National Science Foundation awards PLR-1341333 (C.D.A. and J.B.M.) and PLR-1341339 (B.J.B.) from the Antarctic Organisms and Ecosystems Program. J.B.M. acknowledges the support of an Endowed University Professorship in Polar and Marine Biology provided by the University of Alabama at Birmingham.</t>
  </si>
  <si>
    <t>10.3390/md19110607</t>
  </si>
  <si>
    <t>XG9MX</t>
  </si>
  <si>
    <t>WOS:000725071100001</t>
  </si>
  <si>
    <t>Zhai, XC; Wang, ZX; Zheng, ZJ; Xu, R; Dou, FL; Xu, N; Zhang, XY</t>
  </si>
  <si>
    <t>Zhai, Xiaochun; Wang, Zhixiong; Zheng, Zhaojun; Xu, Rui; Dou, Fangli; Xu, Na; Zhang, Xingying</t>
  </si>
  <si>
    <t>Sea Ice Monitoring with CFOSAT Scatterometer Measurements Using Random Forest Classifier</t>
  </si>
  <si>
    <t>CSCAT; RFSCAT; sea ice distribution; random forest classifier; microwave feature extraction</t>
  </si>
  <si>
    <t>BAND SCATTEROMETER; PASSIVE MICROWAVE; EXTENT; CLIMATE; IDENTIFICATION; RADIOMETER; OSCAT</t>
  </si>
  <si>
    <t>The Ku-band scatterometer called CSCAT onboard the Chinese-French Oceanography Satellite (CFOSAT) is the first spaceborne rotating fan-beam scatterometer (RFSCAT). This paper performs sea ice monitoring with the CSCAT backscatter measurements in polar areas. The CSCAT measurements have the characteristics of diverse incidence and azimuth angles and separation between open water and sea ice. Hence, five microwave feature parameters, which show different sensitivity to ice or water, are defined and derived from the CSCAT measurements firstly. Then the random forest classifier is selected for sea ice monitoring because of its high overall accuracy of 99.66% and 93.31% in the Arctic and Antarctic, respectively. The difference of features ranked by importance in different seasons and regions shows that the combination of these parameters is effective in discriminating sea ice from water under various conditions. The performance of the algorithm is validated against the sea ice edge data from the EUMETSAT Ocean and Sea Ice Satellite Application Facility (OSI SAF) on a global scale in a period from 1 January 2019 to 10 May 2021. The mean sea ice area differences between CSCAT and OSI SAF product in the Arctic and Antarctic are 0.2673 million km(2) and -0.4446 million km(2), respectively, and the sea ice area relative errors of CSCAT are less than 10% except for summer season in both poles. However, the overall sea ice area derived from CSCAT is lower than the OSI SAF sea ice area in summer. This may be because the CSCAT is trained by radiometer sea ice concentration data while the radiometer measurement of sea ice is significantly affected by melting in the summer season. In conclusion, this research verifies the capability of CSCAT in monitoring polar sea ice using a machine learning-aided random forest classifier. This presented work can give guidance to sea ice monitoring with radar backscatter measurements from other spaceborne scatterometers, particular for the recently launched FY-3E scatterometer (called WindRad).</t>
  </si>
  <si>
    <t>[Zhai, Xiaochun; Zheng, Zhaojun; Dou, Fangli; Xu, Na; Zhang, Xingying] China Meteorol Adm, Natl Satellite Meteorol Ctr, Beijing 100081, Peoples R China; [Zhai, Xiaochun; Zheng, Zhaojun; Dou, Fangli; Xu, Na; Zhang, Xingying] FengYun Meteorol Satellite Innovat Ctr FY MSIC, Beijing 100081, Peoples R China; [Zhai, Xiaochun; Zheng, Zhaojun; Dou, Fangli; Xu, Na; Zhang, Xingying] China Meteorol Adm, Natl Satellite Meteorol Ctr, Key Lab Radimetr Calibrat &amp; Validat Environm Sate, Beijing 100081, Peoples R China; [Wang, Zhixiong] Nanjing Univ Informat Sci &amp; Technol, Sch Marine Sci, Nanjing 210044, Peoples R China; [Xu, Rui] Ocean Univ China, Dept Marine Technol, Qingdao 266100, Peoples R China</t>
  </si>
  <si>
    <t>China Meteorological Administration; China Meteorological Administration; Nanjing University of Information Science &amp; Technology; Ocean University of China</t>
  </si>
  <si>
    <t>Zhai, XC (corresponding author), China Meteorol Adm, Natl Satellite Meteorol Ctr, Beijing 100081, Peoples R China.;Zhai, XC (corresponding author), FengYun Meteorol Satellite Innovat Ctr FY MSIC, Beijing 100081, Peoples R China.;Zhai, XC (corresponding author), China Meteorol Adm, Natl Satellite Meteorol Ctr, Key Lab Radimetr Calibrat &amp; Validat Environm Sate, Beijing 100081, Peoples R China.</t>
  </si>
  <si>
    <t>zhaixc@cma.gov.cn; wangzhixiong@nuist.edu.cn; zhengzj@cma.gov.cn; xurui8002@stu.ouc.edu.cn; doufl@cma.gov.cn; xuna@cma.gov.cn; zhangxy@cma.gov.cn</t>
  </si>
  <si>
    <t>ZHENG, Zhaojun/0000-0002-7331-1905; wang, zhixiong/0000-0003-1672-2705</t>
  </si>
  <si>
    <t>Climate Change Science Foundation of the China Meteorological Administration [CCSF201336]; Fengyun Satellite Application Advance Plan Project of the China Meteorological Administration [FY-APP-2021.0505]; China Youth Foundation of the National Satellite Meteorological Center [412672]</t>
  </si>
  <si>
    <t>Climate Change Science Foundation of the China Meteorological Administration; Fengyun Satellite Application Advance Plan Project of the China Meteorological Administration; China Youth Foundation of the National Satellite Meteorological Center</t>
  </si>
  <si>
    <t>This research was funded by the Climate Change Science Foundation of the China Meteorological Administration (No. CCSF201336), the Fengyun Satellite Application Advance Plan Project of the China Meteorological Administration (No. FY-APP-2021.0505), and the China Youth Foundation of the National Satellite Meteorological Center (No. 412672).</t>
  </si>
  <si>
    <t>10.3390/rs13224686</t>
  </si>
  <si>
    <t>XH2RL</t>
  </si>
  <si>
    <t>WOS:000725288000001</t>
  </si>
  <si>
    <t>Casagrande, F; Neto, FAB; de Souza, RB; Nobre, P</t>
  </si>
  <si>
    <t>Casagrande, Fernanda; Neto, Francisco A. B.; de Souza, Ronald B.; Nobre, Paulo</t>
  </si>
  <si>
    <t>Polar Amplification and Ice Free Conditions under 1.5, 2 and 3 °C of Global Warming as Simulated by CMIP5 and CMIP6 Models</t>
  </si>
  <si>
    <t>climate change; Paris agreement; Arctic; Antarctica; polar amplification; ice-free</t>
  </si>
  <si>
    <t>ANTARCTIC SEA-ICE; ARCTIC AMPLIFICATION; CLIMATE-CHANGE; IMPACTS</t>
  </si>
  <si>
    <t>Simple SummaryPolar regions are more sensitive to the increase in atmospheric CO2 concentration than the rest of the world. This phenomenon is known as the Polar Amplification and is related to many nonlinear, complex coupled ocean-atmosphere processes with effects beyond high latitudes. Aiming to account for the Polar Amplification, this study used global climate simulations to investigate the effects of three different global warming thresholds (1.5, 2 and 3 &amp; DEG;C) in the warming and sea ice conditions of both poles. Our results shown high climate sensitivity in the Arctic and Antarctica as a response to the increase in atmospheric CO2 concentration. The warming signal is not symmetric in the two poles: the Arctic warms faster than Antarctica in all climate scenarios. Global warming crosses the minimum (maximum) future scenarios thresholds of +1.5 &amp; DEG;C (+3 &amp; DEG;C) around 2024 (2063). The equivalent Arctic (Antarctic) warming for these years is 3.6 (1.5) &amp; DEG;C and (3.2) 6.6 &amp; DEG;C, respectively. Although limited, Global Climate models used here are important tools to help on better understand the projected effects of climate change in high latitudes.One of the most visible signs of global warming is the fast change in the polar regions. The increase in Arctic temperatures, for instance, is almost twice as large as the global average in recent decades. This phenomenon is known as the Arctic Amplification and reflects several mutually supporting processes. An equivalent albeit less studied phenomenon occurs in Antarctica. Here, we used numerical climate simulations obtained from CMIP5 and CMIP6 to investigate the effects of +1.5, 2 and 3 &amp; DEG;C warming thresholds for sea ice changes and polar amplification. Our results show robust patterns of near-surface air-temperature response to global warming at high latitudes. The year in which the average air temperatures brought from CMIP5 and CMIP6 models rises by 1.5 &amp; DEG;C is 2024. An average rise of 2 &amp; DEG;C (3 &amp; DEG;C) global warming occurs in 2042 (2063). The equivalent warming at northern (southern) high latitudes under scenarios of 1.5 &amp; DEG;C global warming is about 3 &amp; DEG;C (1.8 &amp; DEG;C). In scenarios of 3 &amp; DEG;C global warming, the equivalent warming in the Arctic (Antarctica) is close to 7 &amp; DEG;C (3.5 &amp; DEG;C). Ice-free conditions are found in all warming thresholds for both the Arctic and Antarctica, especially from the year 2030 onwards.</t>
  </si>
  <si>
    <t>[Casagrande, Fernanda; Neto, Francisco A. B.; de Souza, Ronald B.; Nobre, Paulo] Natl Inst Space Res INPE, Earth Syst Numer Modeling Div, Rod Presidente Dutra Km 40, BR-12630000 Cachoeira Paulista, Brazil</t>
  </si>
  <si>
    <t>Casagrande, F (corresponding author), Natl Inst Space Res INPE, Earth Syst Numer Modeling Div, Rod Presidente Dutra Km 40, BR-12630000 Cachoeira Paulista, Brazil.</t>
  </si>
  <si>
    <t>fernanda.casagrande@inpe.br; agustinhofbn@gmail.com; ronald.buss@inpe.br; paulo.nobre@inpe.br</t>
  </si>
  <si>
    <t>Souza, Ronald Buss de/R-5867-2016</t>
  </si>
  <si>
    <t>Souza, Ronald Buss de/0000-0003-3346-3370; Casagrande, Fernanda/0000-0002-1679-6096; de Brito Neto, Francisco Agustinho/0000-0001-5858-7287</t>
  </si>
  <si>
    <t>National Institute of Science and Technology for Climate Change Phase 2 under CNPq [465501/2014-1]; FAPESP [2014/50848-9]; National Coordination for High Level Education and Training (CAPES) [88887.136402/2017-00]; National Institute for Science and Technology of the Cryosphere [CNPq 465680/2014-3 + FAPERGS 17/2551-0000518-0]; [CAPES 88887-145668/2017-00]; [CAPES 88887.123929/2015-00]</t>
  </si>
  <si>
    <t>National Institute of Science and Technology for Climate Change Phase 2 under CNPq; FAPESP(Fundacao de Amparo a Pesquisa do Estado de Sao Paulo (FAPESP)); National Coordination for High Level Education and Training (CAPES); National Institute for Science and Technology of the Cryosphere; ;</t>
  </si>
  <si>
    <t>This research was funded in Brazil by the following projects: (i) National Institute of Science and Technology for Climate Change Phase 2 under CNPq Grant 465501/2014-1, FAPESP Grant 2014/50848-9 and the National Coordination for High Level Education and Training (CAPES) Grant 88887.136402/2017-00; (ii) National Institute for Science and Technology of the Cryosphere (CNPq 465680/2014-3 + FAPERGS 17/2551-0000518-0); (iii) Use and Development of the BESM Model for Studying the Ocean-Atmosphere-Cryosphere in High and Medium Latitudes (CAPES 88887-145668/2017-00); (iv) Development of the Brazilian Earth System Model-BESM and Generation of Climate Change Scenarios, Aiming at Impact Studies on Water Resources (CAPES 88887.123929/2015-00).</t>
  </si>
  <si>
    <t>10.3390/atmos12111494</t>
  </si>
  <si>
    <t>XG4FE</t>
  </si>
  <si>
    <t>WOS:000724709500001</t>
  </si>
  <si>
    <t>Lodygin, E; Abakumov, E; Nizamutdinov, T</t>
  </si>
  <si>
    <t>Lodygin, Evgeny; Abakumov, Evgeny; Nizamutdinov, Timur</t>
  </si>
  <si>
    <t>The Content of Polyarenes in Soils of Antarctica: Variability across Landscapes</t>
  </si>
  <si>
    <t>LAND</t>
  </si>
  <si>
    <t>polycyclic aromatic hydrocarbons; soil; Antarctica; PAH isomer ratios</t>
  </si>
  <si>
    <t>POLYCYCLIC AROMATIC-HYDROCARBONS; FRASER-RIVER BASIN; HEAVY-METALS; SEDIMENTS; CONTAMINATION; RATIOS; ISLAND</t>
  </si>
  <si>
    <t>Soil cover of the Earth is faced with intensive polychemical contamination. The pathways of the key pollutants are not investigated enough. Thus, the occasional transportation of soils to remote regions could serve as an informative tool for the elaboration of threshold levels of hazardous materials concentration. One of the most striking examples of such transboundary impact was the transfer of soils and grounds to the Antarctic stations Russkaya and Leningradskaya (before the implementation of the Madrid Protocol in 1991). Thus, the complex investigation of qualitative and quantitative composition of polycyclic aromatic hydrocarbons (PAHs) in soils of various genesis (transported from Eurasia and pristine) of Antarctic have been conducted by the method of high-performance liquid chromatography (HPLC) in a gradient elution mode. The variability of PAHs content was evaluated across landscapes: pristine (the Hudson Mountains and the Haswell Archipelago), contaminated soils (stations Myrniy, Druzhnaya 4 and Bellinshausen) and unique samples of former agrosoils transported by fly in-fly of polar staff from St. Petersburg to Antarctic for local polar greenhouses in the Soviet times, when it was not strictly prohibited. The selected objects of study allow us to not only estimate the degree of contamination of Antarctic soils and grounds, but to also make it possible to assess the rate of PAH degradation in Antarctic conditions. Both high molecular and low molecular PAHs are accumulated following intense anthropogenic activity (fossil organic fuel combustion). The PAHs pool is dominated by low molecular weight representatives (naphthalene, phenanthrene, fluoranthene, pyrene). In most cases, the highest concentrations of benz(a)pyrene does not exceed the Russian Threshold Standard rate, which is the strictest one in the world. The statistical analysis of raw data allowed us to conclude that the contamination of pristine soils of Antarctica across variable landscapes is at the very initial stage. However, we recorded extremely high levels of PAHs in the transported former agrosoils. We can assume that our data could be used as background levels for the elaboration of threshold concentrations of the PAHs for such an internationally managed region as Antarctica.</t>
  </si>
  <si>
    <t>[Lodygin, Evgeny] Russian Acad Sci, Komi Sci Ctr, Inst Biol, Ural Branch, Syktyvkar 167982, Russia; [Abakumov, Evgeny; Nizamutdinov, Timur] St Petersburg State Univ, Dept Appl Ecol, St Petersburg 199178, Russia</t>
  </si>
  <si>
    <t>Russian Academy of Sciences; Komi Science Centre of the Ural Branch of the Russian Academy of Sciences; Institute of Biology, Komi Scientific Centre, Ural Branch RAS; Saint Petersburg State University</t>
  </si>
  <si>
    <t>Abakumov, E (corresponding author), St Petersburg State Univ, Dept Appl Ecol, St Petersburg 199178, Russia.</t>
  </si>
  <si>
    <t>lodigin@ib.komisc.ru; e_abakumov@mail.ru; timur_nizam@mail.ru</t>
  </si>
  <si>
    <t>Abakumov, Evgeny/AAO-8580-2020; Abakumov, e_abakumov@mail.ru/ADJ-1297-2022; Nizamutdinov, Timur/AAA-9686-2021; Lodygin, Evgeny/D-1858-2012</t>
  </si>
  <si>
    <t>Abakumov, Evgeny/0000-0002-5248-9018; Abakumov, e_abakumov@mail.ru/0000-0002-5248-9018; Nizamutdinov, Timur/0000-0003-2600-5494; Lodygin, Evgeny/0000-0002-0675-524X; Abakumov, Evgeniy/0000-0003-3703-9147</t>
  </si>
  <si>
    <t>Federal budge; RFBR</t>
  </si>
  <si>
    <t>Federal budge; RFBR(Russian Foundation for Basic Research (RFBR))</t>
  </si>
  <si>
    <t>The reported study was funded by the Federal budget (no. AAAA-A17-117122290011-5) and RFBR grant (No. 19-05-50107).</t>
  </si>
  <si>
    <t>2073-445X</t>
  </si>
  <si>
    <t>LAND-BASEL</t>
  </si>
  <si>
    <t>Land</t>
  </si>
  <si>
    <t>10.3390/land10111162</t>
  </si>
  <si>
    <t>Environmental Studies</t>
  </si>
  <si>
    <t>XE5MX</t>
  </si>
  <si>
    <t>WOS:000723432700001</t>
  </si>
  <si>
    <t>Collins, KS; Klapaukh, R; Crampton, JS; Gazley, MF; Schipper, CI; Maksimenko, A; Hines, BR</t>
  </si>
  <si>
    <t>Collins, Katie S.; Klapaukh, Roman; Crampton, James S.; Gazley, Michael F.; Schipper, C. Ian; Maksimenko, Anton; Hines, Benjamin R.</t>
  </si>
  <si>
    <t>Going round the twist-an empirical analysis of shell coiling in helicospiral gastropods</t>
  </si>
  <si>
    <t>PALEOBIOLOGY</t>
  </si>
  <si>
    <t>NEW-ZEALAND; MORPHOGENESIS; SHAPE; FORM; STRUTHIOLARIIDAE; MORPHOMETRICS; POPULATIONS; PHYLOGENY; DIVERSITY; PATTERNS</t>
  </si>
  <si>
    <t>The logarithmic helicospiral has been the most widely accepted model of regularly coiled molluscan form since it was proposed by Moseley and popularized by Thompson and Raup. It is based on an explicit assumption that shells are isometric and grow exponentially, and an implicit assumption that the external form of the shell follows the internal shape, which implies that the parameters of the spiral could be reconstructed from the external whorl profile. In this contribution, we show that these assumptions fail on all 25 gastropod species we examine. Using a dataset of 176 fossil and modern gastropod shells, we construct an empirical morphospace of coiling using the parameters of whorl expansion rate, translation rate, and rate of increasing distance from coiling axis, plus rate of aperture shape change, from their best-fit models. We present a case study of change in shell form through geologic time in the austral family Struthiolariidae to demonstrate the utility of our approach for evolutionary paleobiology. We fit various functions to the shell-coiling parameters to demonstrate that the best morphological model is not the same for each parameter. We present a set of R routines that will calculate helicospiral parameters from sagittal sections through coiled shells and allow workers to compare models and choose appropriate sets of parameters for their own datasets. Shell-form parameters in the Struthiolariidae highlight a hitherto neglected hypothesis of relationship between Antarctic Perissodonta and the enigmatic Australian genus Tylospira that fits the biogeographic and stratigraphic distribution of both genera.</t>
  </si>
  <si>
    <t>[Collins, Katie S.] Nat Hist Museum, Cromwell Rd, London SW7 5BD, England; [Klapaukh, Roman] UCL, Gower St, London WC1E 6BT, England; [Crampton, James S.; Schipper, C. Ian; Hines, Benjamin R.] Victoria Univ Wellington, Sch Geog Environm &amp; Earth Sci, POB 600, Wellington, New Zealand; [Gazley, Michael F.] RSC Min &amp; Mineral Explorat, 93 Terrace, Wellington, New Zealand; [Maksimenko, Anton] Australian Synchrotron, 800 Blackburn Rd, Clayton, Vic 3168, Australia</t>
  </si>
  <si>
    <t>Natural History Museum London; University of London; University College London; Victoria University Wellington</t>
  </si>
  <si>
    <t>Collins, KS (corresponding author), Nat Hist Museum, Cromwell Rd, London SW7 5BD, England.</t>
  </si>
  <si>
    <t>k.collins@nhm.ac.uk; r.klapaukh@ucl.ac.uk; James.Crampton@vuw.ac.nz; m.gazley@gmail.com; Ian.Schipper@vuw.ac.nz; antonmx@gmail.com; benhines89@gmail.com</t>
  </si>
  <si>
    <t>Crampton, James/G-1381-2012</t>
  </si>
  <si>
    <t>Crampton, James/0000-0003-3270-9981; Hines, Benjamin/0000-0001-6177-7137; Klapaukh, Roman/0000-0002-6869-733X; Collins, Katie/0000-0002-3379-4201</t>
  </si>
  <si>
    <t>0094-8373</t>
  </si>
  <si>
    <t>1938-5331</t>
  </si>
  <si>
    <t>Paleobiology</t>
  </si>
  <si>
    <t>PII S0094837321000087</t>
  </si>
  <si>
    <t>10.1017/pab.2021.8</t>
  </si>
  <si>
    <t>Biodiversity Conservation; Ecology; Evolutionary Biology; Paleontology</t>
  </si>
  <si>
    <t>Biodiversity &amp; Conservation; Environmental Sciences &amp; Ecology; Evolutionary Biology; Paleontology</t>
  </si>
  <si>
    <t>XF0DO</t>
  </si>
  <si>
    <t>WOS:000723750300008</t>
  </si>
  <si>
    <t>He, ZL; Zhang, ZS; Guo, ZT; Scotese, CR; Deng, CL</t>
  </si>
  <si>
    <t>He, Zhilin; Zhang, Zhongshi; Guo, Zhengtang; Scotese, Christopher R.; Deng, Chenglong</t>
  </si>
  <si>
    <t>Middle Miocene (∼14 Ma) and Late Miocene (∼6 Ma) Paleogeographic Boundary Conditions</t>
  </si>
  <si>
    <t>PALEOCEANOGRAPHY AND PALEOCLIMATOLOGY</t>
  </si>
  <si>
    <t>SOUTHERN TIBET; CENTRAL ANDES; NEOGENE STRATIGRAPHY; ISOTOPE EVIDENCE; STABLE-ISOTOPES; SURFACE UPLIFT; LUNPOLA BASIN; CLIMATE; ELEVATION; EVOLUTION</t>
  </si>
  <si>
    <t>During the Miocene, major global cooling occurred during two intervals: the middle Miocene (similar to 14-13 Ma) and the late Miocene (similar to 7-6 Ma). The Antarctic Ice Sheet expanded substantially at similar to 14-13 Ma, and glaciation in the Northern Hemisphere was initiated at similar to 7-6 Ma. Although the causes of these two global cooling events remain unclear, paleoclimate modeling provides an important approach for investigating the mechanisms. However, paleoclimate modeling relies on paleogeographic boundary conditions, and many uncertainties remain regarding the land-sea distribution, topography, and bathymetry of the Miocene; specifically, previous published paleogeographic reconstructions for the middle and late Miocene show several discrepancies with each other. Here, we present two new sets of global topographic and bathymetric boundary conditions for the middle Miocene (similar to 14 Ma) and late Miocene (similar to 6 Ma). Our new reconstructions use a published plate kinematics model, oceanic lithospheric paleo-ages, and oceanic sediment thicknesses and incorporate global fossil records, stratigraphy, lithofacies, paleoenvironment, and paleoelevation data. With these data, we further constrain the conditions of several important intercontinental and marginal seas surrounding Eurasia and the Arctic, the depth of major seaways in tropical latitudes and middle-high latitudes of the Northern Hemisphere, and global paleotopography, especially that of the Tibetan Plateau and the Andes.</t>
  </si>
  <si>
    <t>[He, Zhilin; Guo, Zhengtang] Chinese Acad Sci, Inst Geol &amp; Geophys, Key Lab Cenozo Geol &amp; Environm, Beijing, Peoples R China; [He, Zhilin; Deng, Chenglong] Chinese Acad Sci, Innovat Acad Earth Sci, Beijing, Peoples R China; [Zhang, Zhongshi] China Univ Geosci, Sch Environm Studies, Dept Atmospher Sci, Wuhan, Peoples R China; [Zhang, Zhongshi] Chinese Acad Sci, Inst Atmospher Phys, Nansen Zhu Int Res Ctr, Beijing, Peoples R China; [Guo, Zhengtang] CAS Ctr Excellence Life &amp; Paleoenvironm, Beijing, Peoples R China; [Guo, Zhengtang; Deng, Chenglong] Univ Chinese Acad Sci, Beijing, Peoples R China; [Scotese, Christopher R.] Northwestern Univ, Dept Earth &amp; Planetary Sci, Evanston, IL USA; [Deng, Chenglong] Chinese Acad Sci, Inst Geol &amp; Geophys, State Key Lab Lithospher Evolut, Beijing, Peoples R China</t>
  </si>
  <si>
    <t>Chinese Academy of Sciences; Institute of Geology &amp; Geophysics, CAS; Chinese Academy of Sciences; China University of Geosciences; Chinese Academy of Sciences; Institute of Atmospheric Physics, CAS; Chinese Academy of Sciences; University of Chinese Academy of Sciences, CAS; Northwestern University; Chinese Academy of Sciences; Institute of Geology &amp; Geophysics, CAS</t>
  </si>
  <si>
    <t>He, ZL (corresponding author), Chinese Acad Sci, Inst Geol &amp; Geophys, Key Lab Cenozo Geol &amp; Environm, Beijing, Peoples R China.;He, ZL (corresponding author), Chinese Acad Sci, Innovat Acad Earth Sci, Beijing, Peoples R China.</t>
  </si>
  <si>
    <t>hezhilin@mail.iggcas.ac.cn</t>
  </si>
  <si>
    <t>zhang, zhi/HPH-4905-2023; Zhang, zs/GXN-3521-2022; Zhang, Zhongshi/ADE-5510-2022; Guo, Zhengtang/B-6854-2008; ?, ??/B-8871-2009</t>
  </si>
  <si>
    <t>Zhang, Zhongshi/0000-0002-2354-1622; Guo, Zhengtang/0000-0003-2259-9715; ?, ??/0000-0003-1848-3170; He, zhilin/0000-0002-6160-1649</t>
  </si>
  <si>
    <t>National Natural Science Foundation of China [41690114, 41888101, 42007398, 42125502]</t>
  </si>
  <si>
    <t>National Natural Science Foundation of China(National Natural Science Foundation of China (NSFC))</t>
  </si>
  <si>
    <t>The authors are grateful to Editor M. Huber and several anonymous reviewers for their constructive comments and suggestions. The authors thank G. Ramstein, C. Contoux, and N. Tan for helpful discussions and R. D. Muller, A. Dutkiewicz, and J. Bloemendal for their help. This work was supported by the National Natural Science Foundation of China (grant nos. 41690114, 41888101, 42007398, and 42125502).</t>
  </si>
  <si>
    <t>2572-4517</t>
  </si>
  <si>
    <t>2572-4525</t>
  </si>
  <si>
    <t>PALEOCEANOGR PALEOCL</t>
  </si>
  <si>
    <t>Paleoceanogr. Paleoclimatology</t>
  </si>
  <si>
    <t>e2021PA004298</t>
  </si>
  <si>
    <t>10.1029/2021PA004298</t>
  </si>
  <si>
    <t>Geosciences, Multidisciplinary; Oceanography; Paleontology</t>
  </si>
  <si>
    <t>Geology; Oceanography; Paleontology</t>
  </si>
  <si>
    <t>XD1SA</t>
  </si>
  <si>
    <t>WOS:000722490500003</t>
  </si>
  <si>
    <t>Gupta, P</t>
  </si>
  <si>
    <t>Gupta, Pratibha</t>
  </si>
  <si>
    <t>First report of diversity of Cyanobacteria of Broknes Peninsula of Larsemann Hills, East Antarctica</t>
  </si>
  <si>
    <t>CRYPTOGAMIE ALGOLOGIE</t>
  </si>
  <si>
    <t>Survey; collection; identification; systematic enumeration; Antarctica</t>
  </si>
  <si>
    <t>FRESH-WATER; SCHIRMACHER-OASIS; ECOLOGY; FLORA</t>
  </si>
  <si>
    <t>Antarctica is an extreme environment and contains many unique geological, glaciological and biological features. However, due to changes in dimatic conditions Antarctica is affected by Global warming. the Larsemann Hills area is located in East Antarctica approximately halfway between Vest fold Hills and Amery Ice Shelf on South-eastern coast of Prydz Bay which includes two main peninsulas, the western named Stornes and the eastern named Broknes. The Antarctic environment is highly sensitive and susceptible to the impacts of human activities and has much less natural ability to recover from disturbance than the environment of other continents. Due to coastal location and ice free landscape, Larsemann Hills is an attractive area for human activities which consit on scientific expeditions as well as touristic activities which are currently increasing. It is hypothesized that due to increase in land use pressure, the growth and diversity of Cyanobacteria in this area may be affected. The aim of this study was to record Cyanobacteria from freshwater bodies, rocks and terrestrial habitats. Considering the two main peninsulas, Stornes peninsula comes under the Antarctic Specially Protected Area (ACPA) so the samples were collected from diverse habitats of Broknes Peninsula. Altogether, 16 species of Cyanobacteria belonging to nine genera were recorded from diverse habitat of Broknes Peninsula of Larsemann Hills. This is the first Indian study report of Cyanobacteria of Broknes peninsula of Larsemann Hills. All species are reported for the first time and therefore constitutes new record from this area.</t>
  </si>
  <si>
    <t>[Gupta, Pratibha] Govt India AJCBIBG, Bot Survey India, Minist Environm Forest &amp; Climate Change, Botanic Garden Howrah 711103, India</t>
  </si>
  <si>
    <t>Botanical Survey of India (BSI)</t>
  </si>
  <si>
    <t>Gupta, P (corresponding author), Govt India AJCBIBG, Bot Survey India, Minist Environm Forest &amp; Climate Change, Botanic Garden Howrah 711103, India.</t>
  </si>
  <si>
    <t>drpratibha2011@rediffmail.com</t>
  </si>
  <si>
    <t>Gupta, Pratibha/HKO-2334-2023</t>
  </si>
  <si>
    <t>ADAC-CRYPTOGAMIE</t>
  </si>
  <si>
    <t>PARIS</t>
  </si>
  <si>
    <t>12 RUE DE BUFFON, 75005 PARIS, FRANCE</t>
  </si>
  <si>
    <t>0181-1568</t>
  </si>
  <si>
    <t>1776-0984</t>
  </si>
  <si>
    <t>CRYPTOGAMIE ALGOL</t>
  </si>
  <si>
    <t>Cryptogam. Algol.</t>
  </si>
  <si>
    <t>10.5252/cryptogamie-algologie2021v42a15</t>
  </si>
  <si>
    <t>XE8ZI</t>
  </si>
  <si>
    <t>WOS:000723671000001</t>
  </si>
  <si>
    <t>Cauquoin, A; Werner, M</t>
  </si>
  <si>
    <t>Cauquoin, Alexandre; Werner, Martin</t>
  </si>
  <si>
    <t>High-Resolution Nudged Isotope Modeling With ECHAM6-Wiso: Impacts of Updated Model Physics and ERA5 Reanalysis Data</t>
  </si>
  <si>
    <t>JOURNAL OF ADVANCES IN MODELING EARTH SYSTEMS</t>
  </si>
  <si>
    <t>GCM; water isotopes; ERA5; nudging; water cycle</t>
  </si>
  <si>
    <t>DEUTERIUM EXCESS; WATER ISOTOPES; RICE PADDY; VARIABILITY; PRECIPITATION; CLIMATE; CIRCULATION; MOISTURE; O-18</t>
  </si>
  <si>
    <t>We present here results of new isotope-enabled simulations with an enhanced ECHAM6-wiso model version nudged to the ERA5 reanalyses, at two different spatial resolutions, for the period 1979-2018. The isotopic content of snow on sea ice is considered, yielding surface water vapor with lower isotope ratios over sea ice covered areas, and the kinetic fractionation factors for oceanic evaporation are assumed as independent of wind speed. Also, the supersaturation equation was slightly re-tuned for a better agreement with the Antarctic isotope observations. In addition to the spatial resolution, the impacts of the improved ECHAM6 model physics and the chosen updated ERA5 reanalyses data set on our simulation results are investigated. For this purpose, detailed comparisons to simulation results obtained from the predecessor ECHAM5-wiso model nudged to ERA5 reanalyses and from ECHAM6-wiso nudged to ERA-Interim are performed. Compared to the ERA-Interim reanalyses, the nudging to ERA5 does not result in substantial changes of modeled surface isotope values on a global scale but water transport over the tropics clearly changed, with increased precipitation amounts over the Amazonian area and related changes of isotopic contents in water vapor in the high troposphere. An ECHAM6-wiso simulation at high spatial resolution (0.9 degrees horizontal resolution and 95 vertical levels) generally further improves the modeling of annual mean isotope values. The modeling of temporal isotopic variations at seasonal and (sub-)daily time scales is also slightly improved for the high spatial resolution configuration. The latter will be very useful for an improved interpretation of various water isotope records.</t>
  </si>
  <si>
    <t>[Cauquoin, Alexandre] Univ Tokyo, Inst Ind Sci IIS, Kashiwa, Chiba, Japan; [Cauquoin, Alexandre; Werner, Martin] Alfred Wegener Inst AWI, Helmholtz Ctr Polar &amp; Marine Sci, Bremerhaven, Germany</t>
  </si>
  <si>
    <t>University of Tokyo; Helmholtz Association; Alfred Wegener Institute, Helmholtz Centre for Polar &amp; Marine Research</t>
  </si>
  <si>
    <t>Cauquoin, A (corresponding author), Univ Tokyo, Inst Ind Sci IIS, Kashiwa, Chiba, Japan.;Cauquoin, A (corresponding author), Alfred Wegener Inst AWI, Helmholtz Ctr Polar &amp; Marine Sci, Bremerhaven, Germany.</t>
  </si>
  <si>
    <t>cauquoin@iis.u-tokyo.ac.jp</t>
  </si>
  <si>
    <t>Werner, Martin/C-8067-2014; Cauquoin, Alexandre/HCH-9930-2022</t>
  </si>
  <si>
    <t>Werner, Martin/0000-0002-6473-0243; Cauquoin, Alexandre/0000-0002-4620-4696</t>
  </si>
  <si>
    <t>German Federal Ministry of Education and Research (BMBF) as Research for Sustainability initiative (FONA); Integrated Research Program for Advancing Climate Models (TOUGOU) [JPMXD0717935457]; JRPs-LEAD; DFG; Japan Society for the Promotion of Science (JSPS) [JP 19F19024]</t>
  </si>
  <si>
    <t>German Federal Ministry of Education and Research (BMBF) as Research for Sustainability initiative (FONA)(Federal Ministry of Education &amp; Research (BMBF)); Integrated Research Program for Advancing Climate Models (TOUGOU); JRPs-LEAD; DFG(German Research Foundation (DFG)); Japan Society for the Promotion of Science (JSPS)(Ministry of Education, Culture, Sports, Science and Technology, Japan (MEXT)Japan Society for the Promotion of Science)</t>
  </si>
  <si>
    <t>This work has been supported by the German Federal Ministry of Education and Research (BMBF) as Research for Sustainability initiative (FONA), the Integrated Research Program for Advancing Climate Models (TOUGOU, grant no. JPMXD0717935457), and the JRPs-LEAD with DFG. The first author was supported by the Japan Society for the Promotion of Science (JSPS) via a Grant-in-Aid for JSPS International Research Fellows (JP 19F19024). We thank the two anonymous reviewers for their useful comments and suggestions that helped to improve this paper. We thank the ECMWF for the ERA-Interim and ERA5 reanalysis data sets.</t>
  </si>
  <si>
    <t>1942-2466</t>
  </si>
  <si>
    <t>J ADV MODEL EARTH SY</t>
  </si>
  <si>
    <t>J. Adv. Model. Earth Syst.</t>
  </si>
  <si>
    <t>e2021MS002532</t>
  </si>
  <si>
    <t>10.1029/2021MS002532</t>
  </si>
  <si>
    <t>XE1GW</t>
  </si>
  <si>
    <t>WOS:000723144900015</t>
  </si>
  <si>
    <t>Mehlmann, C; Danilov, S; Losch, M; Lemieux, JF; Hutter, N; Richter, T; Blain, P; Hunke, EC; Korn, P</t>
  </si>
  <si>
    <t>Mehlmann, C.; Danilov, S.; Losch, M.; Lemieux, J. F.; Hutter, N.; Richter, T.; Blain, P.; Hunke, E. C.; Korn, P.</t>
  </si>
  <si>
    <t>Simulating Linear Kinematic Features in Viscous-Plastic Sea Ice Models on Quadrilateral and Triangular Grids With Different Variable Staggering</t>
  </si>
  <si>
    <t>EVP MODEL; DEFORMATION; FRAMEWORK; RHEOLOGY; DYNAMICS</t>
  </si>
  <si>
    <t>Observations in polar regions show that sea ice deformations are often narrow linear features. These long bands of deformations are referred to as Linear Kinematic Features (LKFs). Viscous-plastic sea ice models have the capability to simulate LKFs and more generally sea ice deformations. Moreover, viscous-plastic models simulate a larger number and more refined LKFs as the spatial resolution is increased. Besides grid spacing, other aspects of a numerical implementation, such as the placement of velocities and the associated degrees of freedom, may impact the formation of simulated LKFs. To explore these effects this study compares numerical solutions of sea ice models with different velocity staggering in a benchmark problem. Discretizations based on A-,B-, and C-grid systems on quadrilateral meshes have similar resolution properties as an approximation with an A-grid staggering on triangular grids (with the same total number of vertices). CD-grid approximations with a given grid spacing have properties, specifically the number and length of simulated LKFs, that are qualitatively similar to approximations on conventional Arakawa A-grid, B-grid, and C-grid approaches with half the grid spacing or less, making the CD-discretization more efficient with respect to grid resolution. One reason for this behavior is the fact that the CD-grid approach has a higher number of degrees of freedom to discretize the velocity field. The higher effective resolution of the CD-discretization makes it an attractive alternative to conventional discretizations. Plain Language Summary Sea ice in the Arctic and Antarctic Oceans plays an important role in the exchange of heat and freshwater between the atmosphere and the ocean and hence in the climate in general. Satellite observations of polar regions show that the ice drift sometimes produces long features that are either cracks (leads) and zones of thicker sea ice (pressure ridges). This phenomenon is called deformation. It is mathematically described by the non-uniform way in which the ice moves. For numerical models of sea ice motion it is difficult to represent this deformation accurately. Details of the numerics may affect the way these models simulate leads and ridges, their number and length. Specifically, we find by comparing different numerical models, that the way the model variables are ordered on a computational grid to solve the mathematical equations of sea ice motion has an effect of how many deformation features can be represented on a grid with a given spacing between grid points. A new discretization (ordering of model variables) turns out to resolve more details of the approximated field than traditional methods.</t>
  </si>
  <si>
    <t>[Mehlmann, C.; Korn, P.] Max Planck Inst Meteorol, Hamburg, Germany; [Danilov, S.; Losch, M.; Hutter, N.] Helmholtz Zentrum Polar &amp; Meeresforsch, Alfred Wegener Inst, Bremerhaven, Germany; [Lemieux, J. F.] Rech Previs Numer &amp; Sonnementale, Environm &amp; Changement Climat Canal, Dorval, PQ, Canada; [Richter, T.] Otto von Guericke Univ, Magdeburg, Germany; [Blain, P.] Serv Meteorol Canada, Environm &amp; Changement Climat Canada, Dorval, PQ, Canada; [Hunke, E. C.] Los Alamos Natl Lab, Los Alamos, NM USA</t>
  </si>
  <si>
    <t>Max Planck Society; Helmholtz Association; Alfred Wegener Institute, Helmholtz Centre for Polar &amp; Marine Research; Otto von Guericke University; Environment &amp; Climate Change Canada; Meteorological Service of Canada; United States Department of Energy (DOE); Los Alamos National Laboratory</t>
  </si>
  <si>
    <t>Mehlmann, C (corresponding author), Max Planck Inst Meteorol, Hamburg, Germany.</t>
  </si>
  <si>
    <t>carolin.mehlmann@mpimet.mpg.de</t>
  </si>
  <si>
    <t>Danilov, Sergey/S-6184-2016; Richter, Thomas/ISR-9938-2023; Hutter, Nils/AAL-5556-2020; Losch, Martin/S-5896-2016</t>
  </si>
  <si>
    <t>Danilov, Sergey/0000-0001-8098-182X; Richter, Thomas/0000-0003-0206-3606; Hutter, Nils/0000-0003-3450-9422; Losch, Martin/0000-0002-3824-5244; Lemieux, Jean-Francois/0000-0003-2084-5759; Blain, Philippe/0000-0002-2409-836X; Mehlmann, Carolin/0000-0001-7329-5178; Hunke, Elizabeth/0000-0002-7033-6031</t>
  </si>
  <si>
    <t>The authors thank Bruno Tremblay and the two anonymous reviewers for their valuable comments on our manuscript. Open access funding enabled and organized by Projekt DEAL.</t>
  </si>
  <si>
    <t>e2021MS002523</t>
  </si>
  <si>
    <t>10.1029/2021MS002523</t>
  </si>
  <si>
    <t>WOS:000723144900001</t>
  </si>
  <si>
    <t>Riel, B; Minchew, B; Bischoff, T</t>
  </si>
  <si>
    <t>Riel, B.; Minchew, B.; Bischoff, T.</t>
  </si>
  <si>
    <t>Data-Driven Inference of the Mechanics of Slip Along Glacier Beds Using Physics-Informed Neural Networks: Case Study on Rutford Ice Stream, Antarctica</t>
  </si>
  <si>
    <t>WEST ANTARCTICA; TIDAL MODULATION; INVERSE PROBLEMS; BASAL FRICTION; PART 1; FLOW; SYSTEM; MODEL; ACCELERATION; ASSIMILATION</t>
  </si>
  <si>
    <t>Reliable projections of sea-level rise depend on accurate representations of how fast-flowing glaciers slip along their beds. The mechanics of slip are often parameterized as a constitutive relation (or sliding law) whose proper form remains uncertain. Here, we present a novel deep learning-based framework for learning the time evolution of drag at glacier beds from time-dependent ice velocity and elevation observations. We use a feedforward neural network, informed by the governing equations of ice flow, to infer spatially and temporally varying basal drag and associated uncertainties from data. We test the framework on 1D and 2D ice flow simulation outputs and demonstrate the recovery of the underlying basal mechanics under various levels of observational and modeling uncertainties. We apply this framework to time-dependent velocity data for Rutford Ice Stream, Antarctica, and present evidence that ocean-tide-driven changes in subglacial water pressure drive changes in ice flow over the tidal cycle. Plain Language Summary The relation between slip of glaciers along their beds and the level of basal drag at the ice-bed interface is a critical component of ice dynamics for fast-flowing glaciers and ice streams. However, uncertainty surrounding the proper form of this relation, often referred to as the sliding law, has hindered efforts to reliably project the contribution of the Greenland and Antarctic ice sheets to future sea-level rise. Here, we utilize the tools of physics-informed deep learning to learn the evolution of drag at glacier beds from time-dependent ice velocity and elevation observations. By training a neural network with both data reconstruction losses and ice physics-based losses, we are able to reconstruct the evolution of drag for glaciers and ice streams undergoing changes in flow speed and surface elevations. Thus, we can investigate the relation between slip and basal drag without specifying the form of the sliding law. We use this approach to present observational evidence that ocean-tide-driven changes in flow speed for Rutford Ice Stream, Antarctica are driven by changes in subglacial water pressure. Ultimately, this approach provides a natural way to integrate our existing knowledge of ice flow physics with remote sensing data in order to improve flow models.</t>
  </si>
  <si>
    <t>[Riel, B.; Minchew, B.] MIT, Dept Earth Atmospher &amp; Planetary Sci, Cambridge, MA 02139 USA; [Bischoff, T.] CALTECH, Climate Modeling Alliance, Pasadena, CA 91125 USA</t>
  </si>
  <si>
    <t>Massachusetts Institute of Technology (MIT); California Institute of Technology</t>
  </si>
  <si>
    <t>Riel, B (corresponding author), MIT, Dept Earth Atmospher &amp; Planetary Sci, Cambridge, MA 02139 USA.</t>
  </si>
  <si>
    <t>briel@mit.edu</t>
  </si>
  <si>
    <t>Bischoff, Tobias/0000-0003-3930-2762</t>
  </si>
  <si>
    <t>Earl A Killian III (1978); Waidy Lee Fund; NEC Corporation Fund for Research in Computers and Communications; Microsoft AI For Earth computing grant</t>
  </si>
  <si>
    <t>Earl A Killian III (1978); Waidy Lee Fund; NEC Corporation Fund for Research in Computers and Communications; Microsoft AI For Earth computing grant(Microsoft)</t>
  </si>
  <si>
    <t>The authors thank three anonymous reviewers for their constructive feedback for improving the quality of this work. Funding for this work was provided by the Earl A Killian III (1978) and Waidy Lee Fund and the NEC Corporation Fund for Research in Computers and Communications. Computing resources were partially funded through a Microsoft AI For Earth computing grant.</t>
  </si>
  <si>
    <t>e2021MS002621</t>
  </si>
  <si>
    <t>10.1029/2021MS002621</t>
  </si>
  <si>
    <t>WOS:000723144900014</t>
  </si>
  <si>
    <t>Knoblauch, C; Beer, C; Schuett, A; Sauerland, L; Liebner, S; Steinhof, A; Rethemeyer, J; Grigoriev, MN; Faguet, A; Pfeiffer, EM</t>
  </si>
  <si>
    <t>Knoblauch, Christian; Beer, Christian; Schuett, Alexander; Sauerland, Lewis; Liebner, Susanne; Steinhof, Axel; Rethemeyer, Janet; Grigoriev, Mikhail N.; Faguet, Alexey; Pfeiffer, Eva-Maria</t>
  </si>
  <si>
    <t>Carbon Dioxide and Methane Release Following Abrupt Thaw of Pleistocene Permafrost Deposits in Arctic Siberia</t>
  </si>
  <si>
    <t>JOURNAL OF GEOPHYSICAL RESEARCH-BIOGEOSCIENCES</t>
  </si>
  <si>
    <t>thaw slump; thermal erosion; respiration; carbon decomposition; tundra; modeling</t>
  </si>
  <si>
    <t>SOIL ORGANIC-MATTER; NET ECOSYSTEM EXCHANGE; LENA RIVER DELTA; ACTIVE-LAYER; TEMPERATURE SENSITIVITY; POLYGONAL TUNDRA; UNFROZEN WATER; CO2 PRODUCTION; GAS-PRODUCTION; HIGH-LATITUDE</t>
  </si>
  <si>
    <t>The decomposition of thawing permafrost organic matter (OM) to the greenhouse gases (GHG) carbon dioxide (CO2) and methane forms a positive feedback to global climate change. Data on in situ GHG fluxes from thawing permafrost OM are scarce and OM degradability is largely unknown, causing high uncertainties in the permafrost-carbon climate feedback. We combined in situ CO2 and methane flux measurements at an abrupt permafrost thaw feature with laboratory incubations and dynamic modeling to quantify annual CO2 release from thawing permafrost OM, estimate its in situ degradability and evaluate the explanatory power of incubation experiments. In July 2016 and 2019, CO2 fluxes ranged between 0.24 and 2.6 g CO2-C m(-2) d(-1). Methane fluxes were low, which coincided with the absence of active methanogens in the Pleistocene permafrost. CO2 fluxes were lower three years after initial thaw after normalizing these fluxes to thawed carbon, indicating the depletion of labile carbon. Higher CO2 fluxes from thawing Pleistocene permafrost than from Holocene permafrost indicate OM preservation for millennia and give evidence that microbial activity in the permafrost was not substantial. Short-term incubations overestimated in situ CO2 fluxes but underestimated methane fluxes. Two independent models simulated median annual CO2 fluxes of 160 and 184 g CO2-C m(-2) from the thaw slump, which include 25%-31% CO2 emissions during winter. Annual CO2 fluxes represent 0.8% of the carbon pool thawed in the surface soil. Our results demonstrate the potential of abrupt thaw processes to transform the tundra from carbon neutral into a substantial GHG source.</t>
  </si>
  <si>
    <t>[Knoblauch, Christian; Beer, Christian; Schuett, Alexander; Sauerland, Lewis; Pfeiffer, Eva-Maria] Univ Hamburg, Inst Soil Sci, Hamburg, Germany; [Knoblauch, Christian; Beer, Christian; Schuett, Alexander; Pfeiffer, Eva-Maria] Univ Hamburg, Ctr Earth Syst Res &amp; Sustainabil, Hamburg, Germany; [Sauerland, Lewis] Univ Stockholm, Inst Environm Sci ACES, Stockholm, Sweden; [Liebner, Susanne] GFZ German Res Ctr Geosci, Sect Geomicrobiol, Potsdam, Germany; [Liebner, Susanne] Univ Potsdam, Inst Biochem &amp; Biol, Potsdam, Germany; [Steinhof, Axel] Max Planck Inst Biogeochem, Jena, Germany; [Rethemeyer, Janet] Univ Cologne, Inst Geol &amp; Mineral, Cologne, Germany; [Grigoriev, Mikhail N.] Russian Acad Sci, Melnikov Permafrost Inst, Siberian Branch, Yakutsk, Russia; [Faguet, Alexey] Trofimuk Inst Petr Geol &amp; Geophys, Novosibirsk, Russia</t>
  </si>
  <si>
    <t>University of Hamburg; University of Hamburg; Stockholm University; Helmholtz Association; Helmholtz-Center Potsdam GFZ German Research Center for Geosciences; University of Potsdam; Max Planck Society; University of Cologne; Melnikov Permafrost Institute, Siberian Branch of the RAS; Russian Academy of Sciences; Russian Academy of Sciences; Trofimuk Institute of Petroleum Geology &amp; Geophysics</t>
  </si>
  <si>
    <t>Knoblauch, C (corresponding author), Univ Hamburg, Inst Soil Sci, Hamburg, Germany.;Knoblauch, C (corresponding author), Univ Hamburg, Ctr Earth Syst Res &amp; Sustainabil, Hamburg, Germany.</t>
  </si>
  <si>
    <t>Christian.Knoblauch@uni-hamburg.de</t>
  </si>
  <si>
    <t>Rethemeyer, Janet/G-4019-2013; Liebner, Susanne/R-3749-2019; Beer, Christian/D-2296-2013; Grigoriev, Mikhail/J-7655-2016; Knoblauch, Christian/L-6776-2015</t>
  </si>
  <si>
    <t>Liebner, Susanne/0000-0002-9389-7093; Beer, Christian/0000-0002-5377-3344; Sauerland, Lewis/0000-0002-6169-876X; Grigoriev, Mikhail/0000-0003-1997-9506; Knoblauch, Christian/0000-0002-7147-1008</t>
  </si>
  <si>
    <t>German Ministry of Education and Research (CarboPerm Project, BMBF) [03G0836]; Ministry of Education and Research (KoPf Project, BMBF) [03F0764]; Projekt DEAL; Ministry of Education and Research (KOPF-Synthesis project) [03F0834]; Cluster of Excellence CliSAP (EXC177) at the Universitat Hamburg - German Research Foundation (DFG); Cluster of Excellence CLICCS (EXC2037/1) at the Universitat Hamburg - German Research Foundation (DFG); [DFG-BE 6485/1-1]</t>
  </si>
  <si>
    <t>German Ministry of Education and Research (CarboPerm Project, BMBF)(Federal Ministry of Education &amp; Research (BMBF)); Ministry of Education and Research (KoPf Project, BMBF)(Federal Ministry of Education &amp; Research (BMBF)); Projekt DEAL; Ministry of Education and Research (KOPF-Synthesis project); Cluster of Excellence CliSAP (EXC177) at the Universitat Hamburg - German Research Foundation (DFG)(German Research Foundation (DFG)); Cluster of Excellence CLICCS (EXC2037/1) at the Universitat Hamburg - German Research Foundation (DFG)(German Research Foundation (DFG));</t>
  </si>
  <si>
    <t>The authors would like to thank the members of the joint Russian-German field campaign Lena 2016 and 2019, especially Oleg Novikov (Sukachev Institute of Forest, Krasnoyarsk), Gabriel Noren (University of Cologne), Anne Morgenstern and Guido Grosse (Alfred Wegener Institute for Polar and Marine Research, Potsdam, Germany), and Leonid Tsibizov (Trofimuk's Institute of Petroleum Geology and Geophysics, Novosibirsk, Russia), our Russian cooperation partner Dmitry Yu. Bolshiyanov (Arctic and Antarctic Research Institute, St. Petersburg, Russia) and the crew of the Russian research station Samoylov for logistical and technical support. We are grateful to Cornelia Ruhland and David Holl (Institute of Soil Science, Universitat Hamburg) for help with the incubation measurements and for providing annual CO2 flux data from Samoylov, respectively, and to Carolin Jarling (GFZ German Research Centre for Geosciences, Potsdam) for help with the molecular analysis of methanogens. C. Knoblauch, S. Liebner, J. Rethemeyer, and E.-M. Pfeiffer were supported by the German Ministry of Education and Research (CarboPerm Project, BMBF grant 03G0836; KoPf Project, BMBF grant 03F0764 and KOPF-Synthesis project \03F0834). C. Knoblauch and E.M. Pfeiffer received additional support from the Clusters of Excellence CliSAP (EXC177) and CLICCS (EXC2037/1) at the Universitat Hamburg funded by the German Research Foundation (DFG). CB acknowledges financial support by DFG-BE 6485/1-1. Open access funding enabled and organized by Projekt DEAL.</t>
  </si>
  <si>
    <t>2169-8953</t>
  </si>
  <si>
    <t>2169-8961</t>
  </si>
  <si>
    <t>J GEOPHYS RES-BIOGEO</t>
  </si>
  <si>
    <t>J. Geophys. Res.-Biogeosci.</t>
  </si>
  <si>
    <t>e2021JG006543</t>
  </si>
  <si>
    <t>10.1029/2021JG006543</t>
  </si>
  <si>
    <t>Environmental Sciences; Geosciences, Multidisciplinary</t>
  </si>
  <si>
    <t>XD1KF</t>
  </si>
  <si>
    <t>WOS:000722469900003</t>
  </si>
  <si>
    <t>Chen, XC; Huang, WT; Ban, C; Kosch, MJ; Murphy, DJ; Hu, ZJ; Liu, JJ; He, F; Wang, R; Yang, HG; Hu, HQ</t>
  </si>
  <si>
    <t>Chen, Xiangcai; Huang, Wentao; Ban, Chao; Kosch, Michael J.; Murphy, Damian J.; Hu, Zejun; Liu, Jianjun; He, Fang; Wang, Rui; Yang, Huigen; Hu, Hongqiao</t>
  </si>
  <si>
    <t>Dynamic Properties of a Sporadic Sodium Layer Revealed by Observations Over Zhongshan, Antarctica: A Case Study</t>
  </si>
  <si>
    <t>JOURNAL OF GEOPHYSICAL RESEARCH-SPACE PHYSICS</t>
  </si>
  <si>
    <t>ELECTRIC-FIELD; LIDAR OBSERVATIONS; NEUTRAL WIND; LATITUDE; RADAR; GENERATION; SUPERDARN; TROMSO; EVENT</t>
  </si>
  <si>
    <t>A sodium Doppler lidar system with three-directional measurements of sodium density, atmospheric wind field, and temperature was established at Zhongshan (69.4 degrees S, 76.4 degrees E), Antarctica. On November 14, 2019, a sporadic sodium layer (SSL) was observed at an altitude range of 93-103 km. The temporal/spatial sodium density variations of this SSL are associated with a strong sporadic E (E-s) layer at nearly the same height, which is modulated by the convective electric field. By considering the structures and the time lags of the SSL's growth at three positions, the SSL appears to have a horizontal advection in an approximately westward direction with a velocity of the order of 80 m/s. This is consistent with the zonal wind velocity derived from the lidar system itself. The temporal/spatial sodium density variations strongly indicate that the formation and perturbation of SSLs are related to the evolution of E-S layers due to varied electric fields and atmospheric gravity waves, while it is advected by the horizontal wind. Plain Language Summary A sporadic E layer (E-s) could be formed by metallic ions and then modified or transported by the action of magnetospheric electric fields in the high latitude ionosphere. It has been widely proposed that E-s layers play an important role in the formation of sporadic sodium layers (SSL), but detailed studies of their dynamic process and evolution are still lacking. A three-frequency Sodium (Na) resonance fluorescence Doppler lidar has been recently deployed by the Polar Research Institute of China, which could measure the sodium density, temperature, and wind profiles simultaneously in three directions. To clarify the dynamic properties of E-s/SSL, we have performed observations of an event at Zhongshan Station (69.4 degrees S, 76.4 degrees E), Antarctica, which includes sodium density profiles and wind velocity measured by the multidirectional lidar system, detection of the E-s layer by a collocated Digisonde radar, F region ion velocity, that is, electric field, derived by the SuperDARN HF radar network, as well as gravity wave perturbations determined from the Davis medium frequency radar.</t>
  </si>
  <si>
    <t>[Chen, Xiangcai; Huang, Wentao; Hu, Zejun; Liu, Jianjun; He, Fang; Wang, Rui; Yang, Huigen; Hu, Hongqiao] Polar Res Inst China, MNR Key Lab Polar Sci, Shanghai, Peoples R China; [Ban, Chao] Chinese Acad Sci, Key Lab Middle Atmosphere &amp; Global Environm Obser, Inst Atmospher Phys, Beijing, Peoples R China; [Kosch, Michael J.] Univ Lancaster, Dept Phys, Lancaster, England; [Kosch, Michael J.] South African Natl Space Agcy, Hermanus, South Africa; [Kosch, Michael J.] Univ Western Cape, Dept Phys &amp; Astron, Cape Town, South Africa; [Murphy, Damian J.] Australian Antarctic Div, Antarctic Climate Program, Dept Agr Water &amp; Environm, Kingston, Tas, Australia</t>
  </si>
  <si>
    <t>Polar Research Institute of China; Chinese Academy of Sciences; Institute of Atmospheric Physics, CAS; Lancaster University; University of the Western Cape; Australian Antarctic Division</t>
  </si>
  <si>
    <t>Chen, XC; Huang, WT (corresponding author), Polar Res Inst China, MNR Key Lab Polar Sci, Shanghai, Peoples R China.</t>
  </si>
  <si>
    <t>chenxiangcai@pric.org.cn; huangwentao@pric.org.cn</t>
  </si>
  <si>
    <t>Hu, Ze-Jun/X-8090-2019; Chen, Xiangcai/S-9746-2019; Ban, Chao/AAI-9187-2020</t>
  </si>
  <si>
    <t>Hu, Ze-Jun/0000-0003-2448-2094; Chen, Xiangcai/0000-0002-6325-5049; Kosch, Michael Jurgen/0000-0003-2846-3915; Liu, Jianjun/0000-0003-0465-6210; Wang, Rui/0000-0003-1905-2647</t>
  </si>
  <si>
    <t>National Key Research and Development Program of China [2016YFC1400300, 2021YFE0106400, 2018YFC1407300]; National Natural Science Foundation of China [41774166, 41704159, 41831072]; International Cooperation Advance Research on Key Scientific Issues of the International Meridian Project [A131901W14]; Institute of Applied Meteorology; Australian Antarctic Science project [4445]; National Science Funding Agency of Australia; National Science Funding Agency of Canada; National Science Funding Agency of China; National Science Funding Agency of France; National Science Funding Agency of Italy; National Science Funding Agency of Japan; National Science Funding Agency of Norway; National Science Funding Agency of South Africa; National Science Funding Agency of UK; National Science Funding Agency of USA</t>
  </si>
  <si>
    <t>National Key Research and Development Program of China; National Natural Science Foundation of China(National Natural Science Foundation of China (NSFC)); International Cooperation Advance Research on Key Scientific Issues of the International Meridian Project; Institute of Applied Meteorology; Australian Antarctic Science project; National Science Funding Agency of Australia; National Science Funding Agency of Canada; National Science Funding Agency of China; National Science Funding Agency of France; National Science Funding Agency of Italy; National Science Funding Agency of Japan; National Science Funding Agency of Norway; National Science Funding Agency of South Africa; National Science Funding Agency of UK; National Science Funding Agency of USA</t>
  </si>
  <si>
    <t>This work is supported by the National Key Research and Development Program of China (Grant numbers 2016YFC1400300, 2021YFE0106400, and 2018YFC1407300), the National Natural Science Foundation of China (Grant numbers 41774166, 41704159, and 41831072), the International Cooperation Advance Research on Key Scientific Issues of the International Meridian Project (A131901W14), and the fund from Institute of Applied Meteorology. The author also acknowledges the use of data from the Chinese Meridian Project. SuperDARN is a collection of scientific HF radars funded by the National Science Funding Agencies of Australia, Canada, China, France, Italy, Japan, Norway, South Africa, the UK, and the USA. The operation of the Davis MF radar is supported under the Australian Antarctic Science project 4445.</t>
  </si>
  <si>
    <t>2169-9380</t>
  </si>
  <si>
    <t>2169-9402</t>
  </si>
  <si>
    <t>J GEOPHYS RES-SPACE</t>
  </si>
  <si>
    <t>J. Geophys. Res-Space Phys.</t>
  </si>
  <si>
    <t>e2021JA029787</t>
  </si>
  <si>
    <t>10.1029/2021JA029787</t>
  </si>
  <si>
    <t>XE0SB</t>
  </si>
  <si>
    <t>WOS:000723106200027</t>
  </si>
  <si>
    <t>Chisham, G; Freeman, MP</t>
  </si>
  <si>
    <t>Chisham, G.; Freeman, M. P.</t>
  </si>
  <si>
    <t>A Statistical Model of Vorticity in the Polar Ionosphere and Implications for Extreme Values</t>
  </si>
  <si>
    <t>ionosphere; vorticity; turbulence; SuperDARN</t>
  </si>
  <si>
    <t>FIELD-ALIGNED CURRENTS; INTERPLANETARY MAGNETIC-FIELD; SUPERDARN HF-RADARS; BIRKELAND CURRENTS; MAGNETOSPHERE; DYNAMICS; DISTRIBUTIONS; EXCITATION; FLOWS</t>
  </si>
  <si>
    <t>Measurements of vorticity in the Earth's ionosphere enable the characterization of turbulent structure in the ionospheric plasma flow and how it varies spatially in relation to large-scale magnetic field-aligned current (FAC) systems. We have determined the spatial variation of the probability density function (PDF) of ionospheric vorticity measurements made by the Super Dual Auroral Radar Network (SuperDARN) across the northern polar ionosphere for the 6-year interval 2000-2005 inclusive. These PDFs are highly leptokurtic, with heavy tails, and are well-modeled by Tsallis q-exponential probability distributions. The parameters of the model q-exponential distributions have been determined using maximum likelihood estimation, resulting in a statistical model of ionospheric vorticity that covers the polar ionosphere. The spatial variation of the model parameters is highly variable, with the shape and scale of the model distributions varying systematically in relation to the well-known FAC regions, showing that FACs have a major influence on the character of ionospheric plasma vorticity. From the model distributions, we estimate the probability of observing extreme vorticity values with the SuperDARN radars (beyond thresholds of 5, 10, 20, and 40 mHz) across the northern polar ionosphere.</t>
  </si>
  <si>
    <t>[Chisham, G.; Freeman, M. P.] British Antarctic Survey, Cambridge, England</t>
  </si>
  <si>
    <t>Chisham, G (corresponding author), British Antarctic Survey, Cambridge, England.</t>
  </si>
  <si>
    <t>gchi@bas.ac.uk</t>
  </si>
  <si>
    <t>Freeman, Mervyn/E-5687-2019</t>
  </si>
  <si>
    <t>Chisham, Gareth/0000-0003-1151-5934</t>
  </si>
  <si>
    <t>Natural Environment Research Council (NERC), United Kingdom Research and Innovation (UKRI); NERC [NE/V002732/1]; national scientific funding agency of Australia; national scientific funding agency of Canada; national scientific funding agency of China; national scientific funding agency of France; national scientific funding agency of Italy; national scientific funding agency of Japan; national scientific funding agency of Norway; national scientific funding agency of South Africa; national scientific funding agency of United Kingdom; national scientific funding agency of United States</t>
  </si>
  <si>
    <t>Natural Environment Research Council (NERC), United Kingdom Research and Innovation (UKRI); NERC(UK Research &amp; Innovation (UKRI)Natural Environment Research Council (NERC)); national scientific funding agency of Australia; national scientific funding agency of Canada; national scientific funding agency of China; national scientific funding agency of France; national scientific funding agency of Italy; national scientific funding agency of Japan; national scientific funding agency of Norway; national scientific funding agency of South Africa; national scientific funding agency of United Kingdom; national scientific funding agency of United States</t>
  </si>
  <si>
    <t>This study is part of the British Antarctic Survey (BAS) Polar Science for Planet Earth Programme. It was funded by the Natural Environment Research Council (NERC), part of United Kingdom Research and Innovation (UKRI). M. P. Freeman was also supported by the NERC grant NE/V002732/1 (SWIM-MR-T). The authors acknowledge the use of SuperDARN data. SuperDARN is a collection of radars funded by the national scientific funding agencies of Australia, Canada, China, France, Italy, Japan, Norway, South Africa, United Kingdom, and United States.</t>
  </si>
  <si>
    <t>e2021JA029307</t>
  </si>
  <si>
    <t>10.1029/2021JA029307</t>
  </si>
  <si>
    <t>WOS:000723106200024</t>
  </si>
  <si>
    <t>Verasoundarapandian, G; Zakaria, NN; Shaharuddin, NA; Khalil, KA; Puasa, NA; Azmi, AA; Gomez-Fuentes, C; Zulkharnain, A; Wong, CY; Rahman, MF; Ahmad, SA</t>
  </si>
  <si>
    <t>Verasoundarapandian, Gayathiri; Zakaria, Nur Nadhirah; Shaharuddin, Noor Azmi; Khalil, Khalilah Abdul; Puasa, Nurul Aini; Azmi, Alyza Azzura; Gomez-Fuentes, Claudio; Zulkharnain, Azham; Wong, Chiew Yen; Rahman, Muhammad Fahdli; Ahmad, Siti Aqlima</t>
  </si>
  <si>
    <t>Coco Peat as Agricultural Waste Sorbent for Sustainable Diesel-Filter System</t>
  </si>
  <si>
    <t>PLANTS-BASEL</t>
  </si>
  <si>
    <t>diesel spills; agriculture waste; coco peat; biosorbent; filter system</t>
  </si>
  <si>
    <t>OIL-SPILL CLEANUP; COIR PITH; AQUEOUS-SOLUTIONS; REMOVAL; WATER; ADSORPTION; SURFACE; HYDROPHOBICITY; KINETICS; RAW</t>
  </si>
  <si>
    <t>Oil spill incidents are hazardous and have prolonged damage to the marine environment. Management and spill clean-up procedures are practical and rapid, with several shortcomings. Coco peat (CP) and coco fibre (CF) are refined from coconut waste, and their abundance makes them desirable for diesel spillage treatment. Using a filter-based system, the selectivity of coco peat sorbent was tested using CP, CF and peat-fibre mix (CPM). CP exhibited maximal diesel sorption capacity with minimal seawater uptake, thus being selected for further optimisation analysis. The heat treatment considerably improved the sorption capacity and efficiency of diesel absorbed by CP, as supported by FTIR and VPSEM-EDX analysis. Conventional one-factor-at-a-time (OFAT) examined the performance of diesel sorption by CP under varying parameters, namely temperature, time of heating, packing density and diesel concentration. The significant factors were statistically evaluated using response surface methodology (RSM) via Plackett-Burman design (PB) and central composite design (CCD). Three significant (p &lt; 0.05) factors (time, packing density and diesel concentration) were identified by PB and further analysed for interactions among the parameters. CCD predicted efficiency of diesel absorbed at 59.92% (71.90 mL) (initial diesel concentration of 30% v/v) and the experimental model validated the design with 59.17% (71.00 mL) diesel sorbed at the optimised conditions of 14.1 min of heating (200 &amp; DEG;C) with packing density of 0.08 g/cm(3) and 30% (v/v) of diesel concentration. The performance of CP in RSM (59.17%) was better than that in OFAT (58.33%). The discoveries imply that natural sorbent materials such as CP in oil spill clean-up operations can be advantageous and environmentally feasible. This study also demonstrated the diesel-filter system as a pilot study for the prospective up-scale application of oil spills.</t>
  </si>
  <si>
    <t>[Verasoundarapandian, Gayathiri; Zakaria, Nur Nadhirah; Shaharuddin, Noor Azmi; Puasa, Nurul Aini; Ahmad, Siti Aqlima] Univ Putra Malaysia, Fac Biotechnol &amp; Biomol Sci, Dept Biochem, Serdang 43400, Selangor, Malaysia; [Shaharuddin, Noor Azmi] Univ Putra Malaysia, Inst Plantat Studies, Serdang 43400, Selangor, Malaysia; [Khalil, Khalilah Abdul] Univ Teknol MARA, Fac Appl Sci, Sch Biol, Shah Alam 40450, Selangor, Malaysia; [Azmi, Alyza Azzura] Univ Malaysia Terengganu, Fac Sci &amp; Marine Environm, Terengganu 21030, Malaysia; [Gomez-Fuentes, Claudio] Univ Magallanes, Dept Chem Engn, Avda Bulnes, Punta Arenas 01855, Chile; [Gomez-Fuentes, Claudio; Ahmad, Siti Aqlima] Univ Magallanes, Ctr Res &amp; Antarctic Environm Monitoring CIMAA, Avda Bulnes, Punta Arenas 01855, Chile; [Zulkharnain, Azham] Shibaura Inst Technol, Coll Syst Engn &amp; Sci, Dept Biosci &amp; Engn, Minuma Ku, 307 Fukasaku, Saitama 3378570, Japan; [Wong, Chiew Yen] Int Med Univ, Sch Hlth Sci, Kuala Lumpur 57000, Malaysia; [Rahman, Muhammad Fahdli] Merbau Agrotechnol M Sdn Bhd, JA2391,Jalan Sungai Renggi 2, Merlimau 77300, Melaka, Malaysia; [Ahmad, Siti Aqlima] Univ Putra Malaysia, Inst Trop Forestry &amp; Forest Prod INTROP, Lab Bioresource Management, Serdang 43400, Selangor, Malaysia</t>
  </si>
  <si>
    <t>Universiti Putra Malaysia; Universiti Putra Malaysia; Universiti Teknologi MARA; Universiti Malaysia Terengganu; Universidad de Magallanes; Universidad de Magallanes; Shibaura Institute of Technology; International Medical University Malaysia; Universiti Putra Malaysia</t>
  </si>
  <si>
    <t>Ahmad, SA (corresponding author), Univ Putra Malaysia, Fac Biotechnol &amp; Biomol Sci, Dept Biochem, Serdang 43400, Selangor, Malaysia.;Ahmad, SA (corresponding author), Univ Magallanes, Ctr Res &amp; Antarctic Environm Monitoring CIMAA, Avda Bulnes, Punta Arenas 01855, Chile.;Ahmad, SA (corresponding author), Univ Putra Malaysia, Inst Trop Forestry &amp; Forest Prod INTROP, Lab Bioresource Management, Serdang 43400, Selangor, Malaysia.</t>
  </si>
  <si>
    <t>gayathiri1802@gmail.com; nadhirahairakaz@gmail.com; noorazmi@upm.edu.my; khali552@uitm.edu.my; nurulainipuasa@gmail.com; alyza.azzura@umt.edu.my; daudio.gomez@umag.cl; azham@shibaura-it.ac.jp; wongchiewyen@imu.edu.my; merbau.agrotechnology@gmail.com; aqlima@upm.edu.my</t>
  </si>
  <si>
    <t>Gomez-Fuentes, Claudio/ACN-8984-2022; Yen, Wong Chiew/AFY-1719-2022</t>
  </si>
  <si>
    <t>Gomez-Fuentes, Claudio/0000-0001-9060-7727; Verasoundarapandian, Gayathiri/0000-0002-7200-8648; Ahmad, Siti Aqlima/0000-0002-7625-3704; Zulkharnain, Azham/0000-0001-9173-8171; Wong, Chiew-Yen/0000-0003-0534-6206</t>
  </si>
  <si>
    <t>Putra?IPM fund; Merbau Agro technology; Centro de Investigacion y Monitoreo Ambiental Antarctico (CIMAA); Graduate Research Fellowship (GRF) from Universiti Putra Malaysia; Majlis Amanah Rakyat (MARA)</t>
  </si>
  <si>
    <t>This project was financially supported by the Putra?IPM fund under the research grant attached to S.A. Ahmad (GPM?2019/9678900) disbursed by Universiti Putra Malaysia (UPM). The coco peat and coco fibre were sponsored by Merbau Agrotechnology (M) Sdn. Bhd. C. Gomez-Fuentes was supported by Centro de Investigacion y Monitoreo Ambiental Antarctico (CIMAA). G. Verasoundarapandian wa funded by a Graduate Research Fellowship (GRF) from Universiti Putra Malaysia. N.A. Puasa was funded by a personal scholarship from Majlis Amanah Rakyat (MARA).</t>
  </si>
  <si>
    <t>2223-7747</t>
  </si>
  <si>
    <t>Plants-Basel</t>
  </si>
  <si>
    <t>10.3390/plants10112468</t>
  </si>
  <si>
    <t>XE4TQ</t>
  </si>
  <si>
    <t>WOS:000723382300001</t>
  </si>
  <si>
    <t>Cullen, A; Burton-Johnson, A</t>
  </si>
  <si>
    <t>Cullen, Andrew; Burton-Johnson, Alex</t>
  </si>
  <si>
    <t>New zircon radiometric U-Pb ages and Lu-Hf isotopic data from the ultramafic-mafic sequences of Ranau and Telupid (Sabah, eastern Malaysia): Time to reconsider the geological evolution of Southeast Asia?</t>
  </si>
  <si>
    <t>GEOLOGY</t>
  </si>
  <si>
    <t>PORPHYRY-COPPER-DEPOSIT; BORNEO; GENESIS</t>
  </si>
  <si>
    <t>[Cullen, Andrew] Univ Oklahoma, Norman, OK 73072 USA; [Burton-Johnson, Alex] British Antarctic Survey, Cambridge CB3 0ET, England</t>
  </si>
  <si>
    <t>University of Oklahoma System; University of Oklahoma - Norman; UK Research &amp; Innovation (UKRI); Natural Environment Research Council (NERC); NERC British Antarctic Survey</t>
  </si>
  <si>
    <t>Cullen, A (corresponding author), Univ Oklahoma, Norman, OK 73072 USA.</t>
  </si>
  <si>
    <t>abcullen@hotmail.com; alerto@bas.ac.uk</t>
  </si>
  <si>
    <t>GEOLOGICAL SOC AMER, INC</t>
  </si>
  <si>
    <t>BOULDER</t>
  </si>
  <si>
    <t>PO BOX 9140, BOULDER, CO 80301-9140 USA</t>
  </si>
  <si>
    <t>0091-7613</t>
  </si>
  <si>
    <t>1943-2682</t>
  </si>
  <si>
    <t>E541</t>
  </si>
  <si>
    <t>10.1130/G49414C.1</t>
  </si>
  <si>
    <t>WR7MP</t>
  </si>
  <si>
    <t>WOS:000714680800003</t>
  </si>
  <si>
    <t>Liu, CD; Qi, JW; Li, J; Tang, QH; Xu, WX; Zhou, XH; Meng, WJ</t>
  </si>
  <si>
    <t>Liu, Changda; Qi, Jiawei; Li, Jie; Tang, Qiuhua; Xu, Wenxue; Zhou, Xinghua; Meng, Wenjun</t>
  </si>
  <si>
    <t>Accurate Refraction Correction-Assisted Bathymetric Inversion Using ICESat-2 and Multispectral Data</t>
  </si>
  <si>
    <t>ICESat-2; multispectral data; refraction correction; sea-surface undulations; satellite-derived bathymetry</t>
  </si>
  <si>
    <t>PHOTON-COUNTING LIDAR; SHALLOW-WATER; DEPTH; SENTINEL-2; CLOUD</t>
  </si>
  <si>
    <t>Shallow-water depth information is essential for ship navigation and fishery farming. However, the accurate acquisition of shallow-water depth has been a challenge for marine mapping. Combining Ice, Cloud, and Land Elevation Satellite-2 (ICESat-2) bathymetry data with multispectral data, satellite-derived bathymetry is a promising solution through which to obtain bathymetric information quickly and accurately. This study proposes a photon refraction correction method considering sea-surface undulations to address errors in the underwater photons obtained by the ICESat-2. First, the instantaneous sea surface and beam emission angle are integrated to determine the sea-surface incidence angle. Next, the distance of photon propagation in water is determined using sea-surface undulation and Snell's law. Finally, position correction is performed through geometric relationships. The corrected photons were combined with the multispectral data for bathymetric inversion, and a bathymetric map of the Yongle Atoll area was obtained. A bathymetric chart was created using the corrected photons and the multispectral data in the Yongle Atoll. Comparing the results of different refraction correction methods with the data measured shows that the refraction correction method proposed in this paper can effectively correct bathymetry errors: the root mean square error is 1.48 m and the R2 is 0.86.</t>
  </si>
  <si>
    <t>[Liu, Changda; Li, Jie; Tang, Qiuhua; Xu, Wenxue; Zhou, Xinghua; Meng, Wenjun] MNR, Inst Oceanog 1, Qingdao 266061, Peoples R China; [Qi, Jiawei; Meng, Wenjun] Shandong Univ Sci &amp; Technol, Coll Geodesy &amp; Geomat, Qingdao 266590, Peoples R China; [Zhou, Xinghua] Shandong Univ Sci &amp; Technol, Coll Marine Sci &amp; Engn, Qingdao 266590, Peoples R China</t>
  </si>
  <si>
    <t>Shandong University of Science &amp; Technology; Shandong University of Science &amp; Technology</t>
  </si>
  <si>
    <t>Li, J (corresponding author), MNR, Inst Oceanog 1, Qingdao 266061, Peoples R China.</t>
  </si>
  <si>
    <t>cdliu@fio.org.cn; jiaweiqi2019@sdust.edu.cn; lijie@fio.org.cn; tangqiuhua@fio.org.cn; xuwx@fio.org.cn; xhzhou@fio.org.cn; mengwenjun@sdust.edu.cn</t>
  </si>
  <si>
    <t>Zhou, Xiangfeng/KDO-8724-2024; zhou, xing/GQP-4516-2022; zhou, xt/GWZ-9212-2022</t>
  </si>
  <si>
    <t>Tang, Qiuhua/0000-0001-8839-1859; Xu, Wenxue/0000-0002-9015-5131; Qi, Jiawei/0000-0001-8379-3293; Li, Jie/0000-0001-5865-3440</t>
  </si>
  <si>
    <t>National Natural Science Foundation of China [41871381, 41876111, 41401537]; National Key Research and Development Program of China [2018YFC0309901]; Chinese Arctic and Antarctic Administration Project [IRASCC 2020-2022]</t>
  </si>
  <si>
    <t>National Natural Science Foundation of China(National Natural Science Foundation of China (NSFC)); National Key Research and Development Program of China; Chinese Arctic and Antarctic Administration Project</t>
  </si>
  <si>
    <t>Funding This research is supported by the National Natural Science Foundation of China (41871381, 41876111, 41401537); National Key Research and Development Program of China (2018YFC0309901); Chinese Arctic and Antarctic Administration Project (IRASCC 2020-2022).</t>
  </si>
  <si>
    <t>10.3390/rs13214355</t>
  </si>
  <si>
    <t>XC9TT</t>
  </si>
  <si>
    <t>WOS:000722353800001</t>
  </si>
  <si>
    <t>Belcher, SRG; Clilverd, MA; Rodger, CJ; Cook, S; Thomson, NR; Brundell, JB; Raita, T</t>
  </si>
  <si>
    <t>Belcher, Samuel R. G.; Clilverd, Mark A.; Rodger, Craig J.; Cook, Sophie; Thomson, Neil R.; Brundell, James B.; Raita, Tero</t>
  </si>
  <si>
    <t>Solar Flare X-Ray Impacts on Long Subionospheric VLF Paths</t>
  </si>
  <si>
    <t>SPACE WEATHER-THE INTERNATIONAL JOURNAL OF RESEARCH AND APPLICATIONS</t>
  </si>
  <si>
    <t>VLF propagation; solar flares; regression analysis; X-ray flares; nowcasting; ICAO</t>
  </si>
  <si>
    <t>AMPLITUDE; SIGNALS; PHASE</t>
  </si>
  <si>
    <t>Solar flares increase the electron number concentration in the daytime ionosphere, potentially affecting radiowave propagation over several frequency ranges. In this study, we use ionospheric observations to determine both peak magnitudes and time variations of solar flare X-rays without using the direct measurement from the flare. Ground-based observations of VLF transmitter phase perturbations are compared against measured X-ray flux levels during solar flares. Flare fluxes derived here from VLF phases on a west-east subionospheric path are compared with those from a previously analyzed north-south path. Using a wider selection of solar flares, including M-class flares for the first time, the best-fit equations and root mean square (RMS) errors are computed with improved standard deviation (SD) uncertainty estimates for the peak fluxes. Good agreement is found between peak long X-ray wavelength fluxes (XL, 0.1-0.8 nm) derived for M-class and X-class flares and those measured by the GOES satellites. Linear regression analysis on the two paths shows the uncertainties increase in inverse proportion to the path length. Investigations were made with a limited set of operational parameters that could be used to derive XL fluxes. No increases in RMS or SD uncertainty levels were introduced by the removal of satellite-based regression parameters such as the XL flux level measured before the flare onset. As such, these techniques support the idea of nowcasting M-class and X-class flares from entirely ground-based measurements.</t>
  </si>
  <si>
    <t>[Belcher, Samuel R. G.; Rodger, Craig J.; Cook, Sophie; Thomson, Neil R.; Brundell, James B.] Univ Otago, Dept Phys, Dunedin, New Zealand; [Clilverd, Mark A.] British Antarctic Survey UKRI NERC, Cambridge, England; [Raita, Tero] Univ Oulu, Sodankyla Geophys Observ, Sodankyla, Finland</t>
  </si>
  <si>
    <t>University of Otago; UK Research &amp; Innovation (UKRI); Natural Environment Research Council (NERC); NERC British Antarctic Survey; University of Oulu</t>
  </si>
  <si>
    <t>Clilverd, MA (corresponding author), British Antarctic Survey UKRI NERC, Cambridge, England.</t>
  </si>
  <si>
    <t>macl@bas.ac.uk</t>
  </si>
  <si>
    <t>Rodger, Craig/A-1501-2011; Brundell, James/F-3196-2013</t>
  </si>
  <si>
    <t>Cook, Sophie/0000-0002-8141-2941; Rodger, Craig J./0000-0002-6770-2707</t>
  </si>
  <si>
    <t>AntarcticaNZ; UK Research and Innovation (UKRI-NERC) through National Capability Space Weather Observatory funding (NC-SS SWO)</t>
  </si>
  <si>
    <t>The authors would like to thank AntarcticaNZ for providing support for the VLF observations made at Arrival Heights through event K060, NOAA for providing the GOES X-ray flux data, and the Canadian Natural Research Council for the solar UV, F10.7 cm flux. The authors would like to thank Paul Muir of Otago University for his assistance with Figure 1. MAC would like to acknowledge support from the UK Research and Innovation (UKRI-NERC) through National Capability Space Weather Observatory funding (NC-SS SWO).</t>
  </si>
  <si>
    <t>1542-7390</t>
  </si>
  <si>
    <t>SPACE WEATHER</t>
  </si>
  <si>
    <t>Space Weather</t>
  </si>
  <si>
    <t>e2021SW002820</t>
  </si>
  <si>
    <t>10.1029/2021SW002820</t>
  </si>
  <si>
    <t>Astronomy &amp; Astrophysics; Geochemistry &amp; Geophysics; Meteorology &amp; Atmospheric Sciences</t>
  </si>
  <si>
    <t>XD1JH</t>
  </si>
  <si>
    <t>WOS:000722467500001</t>
  </si>
  <si>
    <t>Rogers, NC; Wild, JA; Eastoe, EF; Hubert, J</t>
  </si>
  <si>
    <t>Rogers, N. C.; Wild, J. A.; Eastoe, E. F.; Hubert, J.</t>
  </si>
  <si>
    <t>Climatological Statistics of Extreme Geomagnetic Fluctuations With Periods From 1 s to 60 min</t>
  </si>
  <si>
    <t>geomagnetic fluctuations; geomagnetically induced currents; GIC; extreme value theory</t>
  </si>
  <si>
    <t>MULTI-INSTRUMENT OBSERVATIONS; SPACE WEATHER EVENTS; SOLAR-WIND; INDUCED CURRENTS; GEOELECTRIC FIELD; MAGNETIC-FIELD; WAVE POWER; PULSATIONS; PHASE; GENERATION</t>
  </si>
  <si>
    <t>Using a global database of 125 magnetometers covering several decades, we present occurrence statistics for fluctuations of the horizontal geomagnetic field (dB(h)/dt) exceeding the 99.97th percentile (P-99.97) for both ramp changes (R-n) and the root-mean-square (S-n) of fluctuations over periods, tau, from 1 to 60 min and describe their variation with geomagnetic latitude and magnetic local time (MLT). Rates of exceedance are explained by reference to the magneto-ionospheric processes dominant in different latitude and MLT sectors, including ULF waves, interplanetary shocks, auroral substorm currents, and traveling convection vortices. By fitting generalized Pareto tail distributions above P-99.97, we predict return levels (RLs) for R-n and S-n over return periods of between 5 and 500 years. P-99.97 and RLs increase monotonically with frequency (1/tau) (with a few exceptions at auroral latitudes) and this is well modeled by quadratic functions whose coefficients vary smoothly with latitude. For UK magnetometers providing 1-s cadence measurements, the analysis is extended to cover periods from 1 to 60 s and empirical Magnetotelluric Transfer functions are used to predict percentiles and return levels of the geoelectric field over a wide frequency range (2 x 10(-4) to 4 x 10(-2) Hz) assuming a sinusoidal field fluctuation. These results help identify the principal causes of field fluctuations leading to extreme geomagnetically induced currents (GIC) in ground infrastructure over a range of timescales and they inform the choice of frequency dependence to use with dB(h)/dt as a GIC proxy.</t>
  </si>
  <si>
    <t>[Rogers, N. C.; Wild, J. A.; Eastoe, E. F.] Univ Lancaster, Lancaster, England; [Hubert, J.] British Geol Survey, Edinburgh, Midlothian, Scotland</t>
  </si>
  <si>
    <t>Lancaster University; UK Research &amp; Innovation (UKRI); Natural Environment Research Council (NERC); NERC British Geological Survey</t>
  </si>
  <si>
    <t>Rogers, NC (corresponding author), Univ Lancaster, Lancaster, England.</t>
  </si>
  <si>
    <t>n.rogers1@lancaster.ac.uk</t>
  </si>
  <si>
    <t>Wild, James Anderson/HKN-7736-2023</t>
  </si>
  <si>
    <t>Wild, James Anderson/0000-0001-8025-8869; Hubert, Juliane/0000-0003-0526-5609; Rogers, Neil/0000-0002-8423-6306</t>
  </si>
  <si>
    <t>UK Natural Environment Research Council (NERC) [NE/P016715/1, NE/P017231/1]; NERC [NE/P016715/1, NE/P017231/1] Funding Source: UKRI</t>
  </si>
  <si>
    <t>UK Natural Environment Research Council (NERC)(UK Research &amp; Innovation (UKRI)Natural Environment Research Council (NERC)); NERC(UK Research &amp; Innovation (UKRI)Natural Environment Research Council (NERC))</t>
  </si>
  <si>
    <t>This work was funded by the UK Natural Environment Research Council (NERC) under grants NE/P016715/1 and NE/P017231/1 as part of the UK Space Weather Impacts on Groundbased Systems (SWIGS) project. Magnetometer data were provided by SuperMAG (available from https://supermag.jhuapl.edu) and the authors gratefully acknowledge contributions from the SuperMAG collaborators: Intermagnet; USGS, J. J. Love; CARISMA, PI I. Mann; CANMOS; The S-RAMP Database, PI K. Yumoto and Dr K. Shiokawa; The SPIDR database; AARI, PI Oleg Troshichev; The MACCS program, PI M. Engebretson, Geomagnetism Unit of the Geological Survey of Canada; GIMA; MEASURE, UCLA IGPP and Florida Institute of Technology; SAMBA, PI E. Zesta; 210 Chain, PI K. Yumoto; and SAMNET, PI F. Honary; The IMAGE magnetometer network, PI L. Juusola; AUTUMN, PI M. Connors; DTU Space, PI A. Willer; South Pole and McMurdo Magnetometer, PI's L.J. Lanzarotti and A. T. Weatherwax; ICESTAR; RAPIDMAG; British Antarctic Survey; McMac, PI Dr P. Chi; BGS, PI Dr S. Macmillan; Pushkov Institute of Terrestrial Magnetism, Ionosphere and Radio Wave Propagation (IZMIRAN); GFZ, PI Dr J. Matzka; MFGI, PI B. Heilig; IGFPAS, PI J. Reda; University of L'Aquila, PI M. Vellante; BCMT, V. Lesur and A. Chambodut; Data obtained in cooperation with Geoscience Australia, PI M. Costelloe; AALPIP, co-PIs B. Clauer and M. Hartinger; SuperMAG, PI J. W. Gjerloev; Sodankyla Geophysical Observatory, PI T. Raita; Polar Geophysical Institute, A. Yahnin and Y. Sakharov; Geological Survey of Sweden, G. Schwartz; Swedish Institute of Space Physics, M. Yamauchi; UiT the Arctic University of Norway, M. G. Johnsen; and Finnish Meteorological Institute, PI K. Kauristie.</t>
  </si>
  <si>
    <t>e2021SW002824</t>
  </si>
  <si>
    <t>10.1029/2021SW002824</t>
  </si>
  <si>
    <t>WOS:000722467500005</t>
  </si>
  <si>
    <t>Manghisoni, M; Re, V; Riceputi, E; Sonzogni, M; Ratti, L; Fabris, L</t>
  </si>
  <si>
    <t>Manghisoni, Massimo; Re, Valerio; Riceputi, Elisa; Sonzogni, Mauro; Ratti, Lodovico; Fabris, Lorenzo</t>
  </si>
  <si>
    <t>Low-Noise Analog Channel for the Readout of the Si(Li) Detector of the GAPS Experiment</t>
  </si>
  <si>
    <t>IEEE TRANSACTIONS ON NUCLEAR SCIENCE</t>
  </si>
  <si>
    <t>Detectors; Transconductance; X-rays; Threshold voltage; Temperature measurement; Strips; Input devices; CMOS; dynamic signal compression; front-end; low-noise</t>
  </si>
  <si>
    <t>CHARGE SENSITIVE AMPLIFIER; DYNAMIC COMPRESSION; SIGNAL</t>
  </si>
  <si>
    <t>This work is focused on the design and the experimental characterization of an analog channel developed for the readout of lithium-drifted silicon detectors of the General AntiParticle Spectrometer (GAPS) experiment aimed at the search for dark matter. The instrument is designed for the identification of antideuteron particles from cosmic rays during an Antarctic balloon mission scheduled for late 2022. A low-noise analog front-end, featuring a dynamic signal compression to comply with the wide input range, has been designed in commercial 180-nm CMOS technology. The channel was fabricated in 2018 and is the first building block toward the development of a multichannel readout ASIC. The article will provide a description of the design criteria, the architecture of the channel, and a summary of the results of the experimental characterization.</t>
  </si>
  <si>
    <t>[Manghisoni, Massimo; Re, Valerio; Riceputi, Elisa; Sonzogni, Mauro] Univ Bergamo, Dipartimento Ingn &amp; Sci Applicate, I-24044 Dalmine, Italy; [Manghisoni, Massimo; Re, Valerio; Riceputi, Elisa; Sonzogni, Mauro; Ratti, Lodovico] Ist Nazl Fis Nucl INFN, Sez Pavia, I-27100 Pavia, Italy; [Ratti, Lodovico] Univ Pavia, Dipartimento Ingn Ind &amp; Informaz, I-27100 Pavia, Italy; [Fabris, Lorenzo] Oak Ridge Natl Lab, Oak Ridge, TN 37831 USA</t>
  </si>
  <si>
    <t>University of Bergamo; Istituto Nazionale di Fisica Nucleare (INFN); University of Pavia; United States Department of Energy (DOE); Oak Ridge National Laboratory</t>
  </si>
  <si>
    <t>Manghisoni, M (corresponding author), Univ Bergamo, Dipartimento Ingn &amp; Sci Applicate, I-24044 Dalmine, Italy.</t>
  </si>
  <si>
    <t>massimo.manghisoni@unibg.it</t>
  </si>
  <si>
    <t>RICEPUTI, Elisa/JED-9502-2023; Fabris, Lorenzo/E-4653-2013</t>
  </si>
  <si>
    <t>RICEPUTI, Elisa/0000-0002-0542-553X; Re, Valerio/0000-0003-0697-3420; Sonzogni, Mauro/0000-0001-6702-2632; Fabris, Lorenzo/0000-0001-5605-5615; Manghisoni, Massimo/0000-0001-5559-0894</t>
  </si>
  <si>
    <t>IEEE-INST ELECTRICAL ELECTRONICS ENGINEERS INC</t>
  </si>
  <si>
    <t>PISCATAWAY</t>
  </si>
  <si>
    <t>445 HOES LANE, PISCATAWAY, NJ 08855-4141 USA</t>
  </si>
  <si>
    <t>0018-9499</t>
  </si>
  <si>
    <t>1558-1578</t>
  </si>
  <si>
    <t>IEEE T NUCL SCI</t>
  </si>
  <si>
    <t>IEEE Trans. Nucl. Sci.</t>
  </si>
  <si>
    <t>10.1109/TNS.2021.3118980</t>
  </si>
  <si>
    <t>Engineering, Electrical &amp; Electronic; Nuclear Science &amp; Technology</t>
  </si>
  <si>
    <t>Engineering; Nuclear Science &amp; Technology</t>
  </si>
  <si>
    <t>XA2YF</t>
  </si>
  <si>
    <t>WOS:000720518400015</t>
  </si>
  <si>
    <t>Nagaraj, H; Owen, K; Lea, MA; Miller, BS</t>
  </si>
  <si>
    <t>Nagaraj, Harsha; Owen, Kylie; Lea, Mary-Anne; Miller, Brian S.</t>
  </si>
  <si>
    <t>Acoustic analysis of crabeater seal (Lobodon carcinophaga) vocalizations in the Southern Kerguelen Plateau region of East Antarctica</t>
  </si>
  <si>
    <t>JOURNAL OF THE ACOUSTICAL SOCIETY OF AMERICA</t>
  </si>
  <si>
    <t>MALE HARBOR SEALS; UNDERWATER VOCALIZATIONS; HYDRURGA-LEPTONYX; LEOPARD SEALS; ICE SEALS; BEHAVIOR; ABUNDANCE; ECOLOGY; LAND; DIET</t>
  </si>
  <si>
    <t>Crabeater seals are circumpolar, ice-dependent seals that produce distinct vocalizations during the breeding season. This study provides the first description of the acoustic repertoire of the crabeater seal in East Antarctica, using data from a stationary hydrophone at 1.8 km depth in the Southern Kerguelen Plateau region in 2014-2015. Two call types were identified in the data set: the low and the high moan calls. Of the 8821 calls detected, 92.5% were classified as low moan calls and 7.5% were high moan calls. The mean duration of the two call types was similar (2.3 and 2.8 s, respectively), however, the high moan calls had a higher frequency range (1020-4525 Hz, n = 11) than the low moan calls (360-2753 Hz, n = 120). The calls were primarily detected in the austral spring. Diel analysis showed that the low moan calls were mostly made at nighttime or proximal to dusk and dawn. The results of this study could aid in the development of automated detectors for crabeater seal vocalizations. This would facilitate comparisons of the distribution and abundance of the species using extant acoustic data and could increase knowledge on the breeding behavior of crabeater seals. (c) 2021 Acoustical Society of America.</t>
  </si>
  <si>
    <t>[Nagaraj, Harsha; Owen, Kylie; Lea, Mary-Anne] Univ Tasmania, Inst Marine &amp; Antarctic Studies, Hobart, Tas 7005, Australia; [Owen, Kylie] Swedish Museum Nat Hist, Dept Environm Res &amp; Monitoring, S-10405 Stockholm, Sweden; [Miller, Brian S.] Australian Antarctic Div, 203 Channel Highway, Kingston, Tas 7050, Australia; [Lea, Mary-Anne] Univ Tasmania, Australian Ctr Excellence Antarctic Sci, Hobart, Tas 7005, Australia</t>
  </si>
  <si>
    <t>University of Tasmania; Swedish Museum of Natural History; Australian Antarctic Division; University of Tasmania</t>
  </si>
  <si>
    <t>Nagaraj, H (corresponding author), Univ Tasmania, Inst Marine &amp; Antarctic Studies, Hobart, Tas 7005, Australia.</t>
  </si>
  <si>
    <t>nharsha1996@gmail.com</t>
  </si>
  <si>
    <t>Owen, Kylie/K-9400-2015; Lea, Mary-Anne/E-9054-2013</t>
  </si>
  <si>
    <t>Miller, Brian/0000-0001-7615-3044; Lea, Mary-Anne/0000-0001-8318-9299</t>
  </si>
  <si>
    <t>ACOUSTICAL SOC AMER AMER INST PHYSICS</t>
  </si>
  <si>
    <t>STE 1 NO 1, 2 HUNTINGTON QUADRANGLE, MELVILLE, NY 11747-4502 USA</t>
  </si>
  <si>
    <t>0001-4966</t>
  </si>
  <si>
    <t>1520-8524</t>
  </si>
  <si>
    <t>J ACOUST SOC AM</t>
  </si>
  <si>
    <t>J. Acoust. Soc. Am.</t>
  </si>
  <si>
    <t>10.1121/10.0006789</t>
  </si>
  <si>
    <t>Acoustics; Audiology &amp; Speech-Language Pathology</t>
  </si>
  <si>
    <t>WY6WC</t>
  </si>
  <si>
    <t>WOS:000719419200001</t>
  </si>
  <si>
    <t>Wang, HM; Wang, YP; Cai, K; Zhu, SY; Zhang, XX; Chen, LF</t>
  </si>
  <si>
    <t>Wang, Hongmei; Wang, Yapeng; Cai, Kun; Zhu, Songyan; Zhang, Xinxin; Chen, Liangfu</t>
  </si>
  <si>
    <t>Evaluating the Performance of Ozone Products Derived from CrIS/NOAA20, AIRS/Aqua and ERA5 Reanalysis in the Polar Regions in 2020 Using Ground-Based Observations</t>
  </si>
  <si>
    <t>polar ozone; CrIS; AIRS; ERA5; performance evaluation</t>
  </si>
  <si>
    <t>TROPOSPHERIC OZONE; TEMPERATURE; VALIDATION; DOBSON; QUALITY; BREWER; VARIABILITY; TRANSPORT; DEPLETION; PROFILES</t>
  </si>
  <si>
    <t>Quantifying spatiotemporal polar ozone changes can promote our understanding of global stratospheric ozone depletion, polar ozone-related chemical processes, and atmospheric dynamics. By means of ground-level measurements, satellite observations, and re-analyzed meteorology, the global spatial and temporal distribution characteristics of the total column ozone (TCO) and ozone profile can be quantitatively described. In this study, we evaluated the ozone datasets from CrIS/NOAA20, AIRS/Aqua, and ERA5/ECWMF for their performance in polar regions in 2020, along with the in situ observations of the Dobson, Brewer, and ozonesonde instruments, which are regarded as benchmarks. The results showed that the ERA5 reanalysis ozone field had good consistency with the ground observations (R &gt; 0.95) and indicated whether the TCO or ozone profile was less affected by the site location. In contrast, both CrIS and AIRS could capture the ozone loss process resulting from the Antarctic/Arctic ozone hole at a monthly scale, but their ability to characterize the Arctic ozone hole was weaker than in the Antarctic. Specifically, the TCO values derived from AIRS were apparently higher in March 2020 than those of ERA5, which made it difficult to assess the area and depth of the ozone hole during this period. Moreover, the pattern of CrIS TCO was abnormal and tended to deviate from the pattern that characterized ERA5 and AIRS at the Alert site during the Arctic ozone loss process in 2020, which demonstrates that CrIS ozone products have limited applicability at this ground site. Furthermore, the validation of the ozone profile shows that AIRS and CrIS do not have good vertical representation in the polar regions and are not able to characterize the location and depth of ozone depletion. Overall, the results reveal the shortcomings of the ozone profiles derived from AIRS and CrIS observations and the reliability of the ERA5 reanalysis ozone field in polar applications. A more suitable prior method and detection sensitivity improvement on CrIS and AIRS ozone products would improve their reliability and applicability in polar regions.</t>
  </si>
  <si>
    <t>[Wang, Hongmei; Zhang, Xinxin] Nantong Univ, Sch Elect Engn, Nantong 226019, Peoples R China; [Wang, Hongmei; Chen, Liangfu] Beijing Normal Univ, Chinese Acad Sci, Aerosp Informat Res Inst, State Key Lab Remote Sensing Sci, Beijing 100101, Peoples R China; [Wang, Yapeng] China Meteorol Adm, Natl Satellite Meteorol Ctr, Key Lab Radiometr Calibrat &amp; Validat Environm Sat, Beijing 100081, Peoples R China; [Wang, Yapeng] China Meteorol Adm, Natl Satellite Meteorol Ctr, FengYun Meteorol Satellite Innovat Ctr FY MSIC, Beijing 100081, Peoples R China; [Cai, Kun] Henan Univ, Coll Environm &amp; Planning, Kaifeng 475004, Peoples R China; [Zhu, Songyan] Univ Exeter, Dept Geog, Rennes Dr, Exeter EX4 4RJ, Devon, England</t>
  </si>
  <si>
    <t>Nantong University; Beijing Normal University; Chinese Academy of Sciences; Aerospace Information Research Institute, CAS; China Meteorological Administration; China Meteorological Administration; Henan University; University of Exeter</t>
  </si>
  <si>
    <t>Wang, YP (corresponding author), China Meteorol Adm, Natl Satellite Meteorol Ctr, Key Lab Radiometr Calibrat &amp; Validat Environm Sat, Beijing 100081, Peoples R China.;Wang, YP (corresponding author), China Meteorol Adm, Natl Satellite Meteorol Ctr, FengYun Meteorol Satellite Innovat Ctr FY MSIC, Beijing 100081, Peoples R China.</t>
  </si>
  <si>
    <t>wanghongmei@ntu.edu.cn; wangyp@cnaa.gov.cn; ckhenu@vip.henu.edu.cn; sz394@exeter.ac.uk; zhangxinxin@ntu.edu.cn; chenlf@aircas.ac.cn</t>
  </si>
  <si>
    <t>Li, Shiyue/KFA-3709-2024; QIU, LI/JPK-7397-2023; yang, xu/JMP-5558-2023; Zhang, Xinxin/HZJ-1742-2023; zou, yao/KCK-8222-2024</t>
  </si>
  <si>
    <t>Zhang, Xinxin/0000-0001-6069-5391; Wang, Hongmei/0000-0002-9716-8293</t>
  </si>
  <si>
    <t>Open Fund of the State Key Laboratory of Remote Sensing Science [OFSLRSS201913]; National Natural Science Foundation of China [41901269]</t>
  </si>
  <si>
    <t>Open Fund of the State Key Laboratory of Remote Sensing Science; National Natural Science Foundation of China(National Natural Science Foundation of China (NSFC))</t>
  </si>
  <si>
    <t>This research is supported by the Open Fund of the State Key Laboratory of Remote Sensing Science (Grant Number OFSLRSS201913) and the National Natural Science Foundation of China (Grant Number 41901269).</t>
  </si>
  <si>
    <t>10.3390/rs13214375</t>
  </si>
  <si>
    <t>WX1FG</t>
  </si>
  <si>
    <t>WOS:000718348800001</t>
  </si>
  <si>
    <t>Kim, TK; Hong, JM; Kim, KH; Han, SJ; Kim, I; Oh, H; Yim, JH</t>
  </si>
  <si>
    <t>Kim, Tai Kyoung; Hong, Ju-Mi; Kim, Kyung Hee; Han, Se Jong; Kim, Il-Chan; Oh, Hyuncheol; Yim, Joung Han</t>
  </si>
  <si>
    <t>Potential of Ramalin and Its Derivatives for the Treatment of Alzheimer's Disease</t>
  </si>
  <si>
    <t>MOLECULES</t>
  </si>
  <si>
    <t>Alzheimer's disease; ramalin; derivatives; therapeutic potential; antioxidant; beta-secratase; anti-inflammatory</t>
  </si>
  <si>
    <t>OXIDATIVE STRESS; MITOCHONDRIAL DYSFUNCTION; BIOLOGICAL EVALUATION; BETA; ANTIOXIDANT; BACE1; ACID; NEURODEGENERATION; EXPRESSION; INHIBITORS</t>
  </si>
  <si>
    <t>The pathogenesis of Alzheimer's disease (AD) is still unclear, and presently there is no cure for the disease that can be used for its treatment or to stop its progression. Here, we investigated the therapeutic potential of ramalin (isolated from the Antarctic lichen, Ramalina terebrata), which exhibits various physiological activities, in AD. Specifically, derivatives were synthesized based on the structure of ramalin, which has a strong antioxidant effect, BACE-1 inhibition activity, and anti-inflammatory effects. Therefore, ramalin and its derivatives exhibit activity against multiple targets associated with AD and can serve as potential therapeutic agents for the disease.</t>
  </si>
  <si>
    <t>[Kim, Tai Kyoung; Hong, Ju-Mi; Kim, Kyung Hee; Han, Se Jong; Kim, Il-Chan; Yim, Joung Han] Korea Polar Res Inst, Div Polar Life Sci, Incheon 21990, South Korea; [Kim, Kyung Hee] Hanseo Univ, Dept Chem, Seosan 31962, South Korea; [Oh, Hyuncheol] Wonkwang Univ, Coll Pharm, Iksan 54538, South Korea</t>
  </si>
  <si>
    <t>Korea Polar Research Institute (KOPRI); Hanseo University; Wonkwang University</t>
  </si>
  <si>
    <t>Yim, JH (corresponding author), Korea Polar Res Inst, Div Polar Life Sci, Incheon 21990, South Korea.</t>
  </si>
  <si>
    <t>hoh@wcu.ac.kr</t>
  </si>
  <si>
    <t>Hong, Jumi/0000-0003-2409-9968</t>
  </si>
  <si>
    <t>Korea Polar Research Institute, KOPRI [PM21010]</t>
  </si>
  <si>
    <t>Korea Polar Research Institute, KOPRI(Korea Polar Research Institute of Marine Research Placement (KOPRI))</t>
  </si>
  <si>
    <t>FundingThis research was funded by the Korea Polar Research Institute, KOPRI, grant number PM21010.</t>
  </si>
  <si>
    <t>1420-3049</t>
  </si>
  <si>
    <t>Molecules</t>
  </si>
  <si>
    <t>10.3390/molecules26216445</t>
  </si>
  <si>
    <t>Biochemistry &amp; Molecular Biology; Chemistry, Multidisciplinary</t>
  </si>
  <si>
    <t>Biochemistry &amp; Molecular Biology; Chemistry</t>
  </si>
  <si>
    <t>WX3CS</t>
  </si>
  <si>
    <t>WOS:000718478800001</t>
  </si>
  <si>
    <t>Gao, C; Xia, J; Zhou, XH; Liang, YT; Jiang, Y; Wang, MW; Shao, HB; Shi, XC; Guo, C; He, H; Wang, HL; He, JF; Hu, DH; Wang, XY; Zhao, JP; Zhang, YZ; Sung, YY; Mok, WJ; Wong, LL; McMinn, A; Suttle, CA; Wang, M</t>
  </si>
  <si>
    <t>Gao, Chen; Xia, Jun; Zhou, Xinhao; Liang, Yantao; Jiang, Yong; Wang, Meiwen; Shao, Hongbing; Shi, Xiaochong; Guo, Cui; He, Hui; Wang, Hualong; He, Jianfeng; Hu, Denghui; Wang, Xiaoyu; Zhao, Jinping; Zhang, Yu-Zhong; Sung, Yeong Yik; Mok, Wen Jye; Wong, Li Lian; McMinn, Andrew; Suttle, Curtis A.; Wang, Min</t>
  </si>
  <si>
    <t>Viral Characteristics of the Warm Atlantic and Cold Arctic Water Masses in the Nordic Seas</t>
  </si>
  <si>
    <t>APPLIED AND ENVIRONMENTAL MICROBIOLOGY</t>
  </si>
  <si>
    <t>DNA virome; Nordic Seas; microbial community; metagenomics; water masses and currents</t>
  </si>
  <si>
    <t>GIANT VIRUS; DNA VIRUSES; OCEAN; CARBON; ABUNDANT; GENOME; SUMMER; PROCHLOROCOCCUS; DISTRIBUTIONS; CHLOROPHYLL</t>
  </si>
  <si>
    <t>Nordic Seas are the subarctic seas connecting the Arctic Ocean and North Atlantic Ocean with complex water masses, experiencing an abrupt climate change. Though knowledge of the marine virosphere has expanded rapidly, the diversity of viruses and their relationships with host cells and water masses in the Nordic Seas remain to be fully revealed. Here, we establish the Nordic Sea DNA virome (NSV) data set of 55,315 viral contigs including 1,478 unique viral populations from seven stations influenced by both the warm Atlantic and cold Arctic water masses. Caudovirales dominated in the seven NSVs, especially in the warm Atlantic waters. The major giant nucleocytoplasmic large DNA viruses (NCLDVs) contributed a significant proportion of the classified viral contigs in the NSVs (32.2%), especially in the cold Arctic waters (44.9%). The distribution patterns of Caudovirales and NCLDVs were a reflection of the community structure of their hosts in the corresponding water masses and currents. Latitude, pH, and flow speed were found to be key factors influencing the microbial communities and coinfluencing the variation of viral communities. Network analysis illustrated the tight coupling between the variation of viral communities and microbial communities in the Nordic Seas. This study suggests a probable linkage between viromes, host cells, and surface water masses from both the cool Arctic and warm Atlantic Oceans. IMPORTANCE This is a systematic study of Nordic Sea viromes using metagenomic analysis. The viral diversity, community structure, and their relationships with host cells and the complex water masses from both the cool Arctic and the warm Atlantic oceans were illustrated. The NCLDVs and Caudovirales are proposed as the viral characteristics of the cold Arctic and warm Atlantic waters, respectively. This study provides an important background for the viromes in the subarctic seas connecting the Arctic Ocean and North Atlantic Ocean and sheds light on their responses to abrupt climate change in the future.</t>
  </si>
  <si>
    <t>[Gao, Chen; Xia, Jun; Zhou, Xinhao; Liang, Yantao; Jiang, Yong; Wang, Meiwen; Shao, Hongbing; Shi, Xiaochong; Guo, Cui; He, Hui; Wang, Hualong; Wang, Xiaoyu; McMinn, Andrew; Wang, Min] Ocean Univ China, Coll Marine Life Sci, Inst Evolut &amp; Marine Biodivers, Key Lab Polar Oceanog &amp; Global Ocean Change, Qingdao, Peoples R China; [Gao, Chen; Xia, Jun; Zhou, Xinhao; Liang, Yantao; Jiang, Yong; Wang, Meiwen; Shao, Hongbing; Shi, Xiaochong; Guo, Cui; He, Hui; Wang, Hualong; Wang, Xiaoyu; McMinn, Andrew; Wang, Min] Ocean Univ China, Coll Marine Life Sci, Frontiers Sci Ctr Deep Ocean Multispheres &amp; Earth, Key Lab Polar Oceanog &amp; Global Ocean Change, Qingdao, Peoples R China; [Gao, Chen; Liang, Yantao; Jiang, Yong; Shao, Hongbing; Guo, Cui; He, Hui; Wang, Hualong; Sung, Yeong Yik; Mok, Wen Jye; Wong, Li Lian; Wang, Min] UMT OUC Joint Ctr Marine Studies, Qingdao, Peoples R China; [He, Jianfeng] Polar Res Inst China, SOA Key Lab Polar Sci, Shanghai, Peoples R China; [Hu, Denghui] Chinese Acad Sci, Inst Oceanol, CAS Key Lab Ocean Circulat &amp; Waves, Qingdao, Peoples R China; [Zhao, Jinping] Ocean Univ China, Key Lab Polar Oceanog &amp; Global Ocean Change, Qingdao, Peoples R China; [Zhang, Yu-Zhong] Ocean Univ China, Coll Marine Life Sci, Qingdao, Peoples R China; [Zhang, Yu-Zhong] Ocean Univ China, Frontiers Sci Ctr Deep Ocean Multispheres &amp; Earth, Qingdao, Peoples R China; [Zhang, Yu-Zhong] Shandong Univ, Marine Biotechnol Res Ctr, State Key Lab Microbial Technol, Qingdao, Peoples R China; [Sung, Yeong Yik; Mok, Wen Jye; Wong, Li Lian] Univ Malaysia Terengganu, Inst Marine Biotechnol, Kuala Nerus, Malaysia; [McMinn, Andrew] Univ Tasmania, Inst Marine &amp; Antarctic Studies, Hobart, Tas, Australia; [Suttle, Curtis A.] Univ British Columbia, Dept Earth, Vancouver, BC, Canada; [Suttle, Curtis A.] Univ British Columbia, Dept Ocean &amp; Atmospher Sci, Vancouver, BC, Canada; [Suttle, Curtis A.] Univ British Columbia, Dept Microbiol &amp; Immunol, Vancouver, BC, Canada; [Suttle, Curtis A.] Univ British Columbia, Dept Bot, Vancouver, BC, Canada; [Suttle, Curtis A.] Univ British Columbia, Inst Oceans &amp; Fisheries, Vancouver, BC, Canada; [Wang, Min] Affiliated Hosp Qingdao Univ, Qingdao, Peoples R China; [Xia, Jun] Kyoto Univ, Inst Chem Res, Bioinformat Ctr, Kyoto, Japan</t>
  </si>
  <si>
    <t>Ocean University of China; Ocean University of China; Polar Research Institute of China; Chinese Academy of Sciences; Institute of Oceanology, CAS; Ocean University of China; Ocean University of China; Ocean University of China; Shandong University; Universiti Malaysia Terengganu; University of Tasmania; University of British Columbia; University of British Columbia; University of British Columbia; University of British Columbia; University of British Columbia; Qingdao University; Kyoto University</t>
  </si>
  <si>
    <t>Liang, YT; Wang, M (corresponding author), Ocean Univ China, Coll Marine Life Sci, Inst Evolut &amp; Marine Biodivers, Key Lab Polar Oceanog &amp; Global Ocean Change, Qingdao, Peoples R China.;Liang, YT; Wang, M (corresponding author), Ocean Univ China, Coll Marine Life Sci, Frontiers Sci Ctr Deep Ocean Multispheres &amp; Earth, Key Lab Polar Oceanog &amp; Global Ocean Change, Qingdao, Peoples R China.;Liang, YT; Wang, M (corresponding author), UMT OUC Joint Ctr Marine Studies, Qingdao, Peoples R China.;Wang, M (corresponding author), Affiliated Hosp Qingdao Univ, Qingdao, Peoples R China.</t>
  </si>
  <si>
    <t>liangyantao@ouc.edu.cn; mingwang@ouc.edu.cn</t>
  </si>
  <si>
    <t>Wang, Xiaoyu/GXM-3262-2022; Wang, meiwen/IXN-2116-2023; Li, Yan/JRW-0176-2023; Mok, Wen Jye/AAF-9229-2019; WONG, LI LIAN/ABE-1887-2022; Wang, Min/AFR-9645-2022; Jiang, Yong/AGK-3016-2022; Gao, Chen/AAT-5126-2021; Sung, Yeong Yik/AAA-2654-2020</t>
  </si>
  <si>
    <t>Mok, Wen Jye/0000-0002-7629-8312; Wang, Min/0000-0002-2357-589X; Jiang, Yong/0000-0002-4072-1668; Gao, Chen/0000-0001-9892-7928; Sung, Yeong Yik/0000-0001-5897-9037; Jiang, Yong/0000-0001-6055-488X; liang, yan tao/0000-0002-2477-8197</t>
  </si>
  <si>
    <t>National Key Research and Development Program of China [2018YFC1406704, 2017YFA0603200]; Marine S&amp;T Fund of Shandong Province for Pilot National Laboratory for Marine Science and Technology (Qingdao, China) [2018SDKJ0406-6]; Natural Science Foundation of China [41976117, 42120104006, 42176111, 41676178, 41906126, 42176149, 41806131]; Fundamental Research Funds for the Central Universities [201812002, 202072002]; response and feedback of the Southern Ocean to climate change; State Oceanic Administration, People's Republic of China [GASI-02-PAC-ST-Msaut]; Pilot Qingdao National Laboratory for Marine Science and Technology [2016ASKJ14]; Center for High Performance Computing and System Simulation; Pilot National Laboratory for Marine Science and Technology (Qingdao); Key R&amp;D Project in Shandong Province [2019GHY112079]; MEL Visiting Fellowship Program [MELRS1511]</t>
  </si>
  <si>
    <t>National Key Research and Development Program of China; Marine S&amp;T Fund of Shandong Province for Pilot National Laboratory for Marine Science and Technology (Qingdao, China); Natural Science Foundation of China(National Natural Science Foundation of China (NSFC)); Fundamental Research Funds for the Central Universities(Fundamental Research Funds for the Central Universities); response and feedback of the Southern Ocean to climate change; State Oceanic Administration, People's Republic of China; Pilot Qingdao National Laboratory for Marine Science and Technology; Center for High Performance Computing and System Simulation; Pilot National Laboratory for Marine Science and Technology (Qingdao); Key R&amp;D Project in Shandong Province; MEL Visiting Fellowship Program</t>
  </si>
  <si>
    <t>This study was supported by the National Key Research and Development Program of China (2018YFC1406704 and 2017YFA0603200), the Marine S&amp;T Fund of Shandong Province for Pilot National Laboratory for Marine Science and Technology (Qingdao, China; 2018SDKJ0406-6), the Natural Science Foundation of China (41976117, 42120104006, 42176111, 41676178, 41906126, 42176149, and 41806131), the Fundamental Research Funds for the Central Universities (201812002 and 202072002), the response and feedback of the Southern Ocean to climate change (RFSOCC2020-2025), the Global Change and AirSea Interface Project supported by the State Oceanic Administration, People's Republic of China, cruises for an oceanographic survey of South-central Western Pacific in Autumn (GASI-02-PAC-ST-Msaut), the Scientific and Technological Innovation Project Financially Supported by Pilot Qingdao National Laboratory for Marine Science and Technology (2016ASKJ14), the Center for High Performance Computing and System Simulation, the Pilot National Laboratory for Marine Science and Technology (Qingdao), a Key R&amp;D Project in Shandong Province (2019GHY112079), and the MEL Visiting Fellowship Program (MELRS1511).</t>
  </si>
  <si>
    <t>0099-2240</t>
  </si>
  <si>
    <t>1098-5336</t>
  </si>
  <si>
    <t>APPL ENVIRON MICROB</t>
  </si>
  <si>
    <t>Appl. Environ. Microbiol.</t>
  </si>
  <si>
    <t>e01160-21</t>
  </si>
  <si>
    <t>10.1128/AEM.01160-21</t>
  </si>
  <si>
    <t>Biotechnology &amp; Applied Microbiology; Microbiology</t>
  </si>
  <si>
    <t>WP5KB</t>
  </si>
  <si>
    <t>WOS:000713169300006</t>
  </si>
  <si>
    <t>[Anonymous]</t>
  </si>
  <si>
    <t>Assessment of ERA5 in the Antarctic</t>
  </si>
  <si>
    <t>WEATHER</t>
  </si>
  <si>
    <t>News Item</t>
  </si>
  <si>
    <t>0043-1656</t>
  </si>
  <si>
    <t>1477-8696</t>
  </si>
  <si>
    <t>Weather</t>
  </si>
  <si>
    <t>WS3HI</t>
  </si>
  <si>
    <t>WOS:000715075700022</t>
  </si>
  <si>
    <t>Wang, ZX; Huang, CJ; Kemp, DB; Zhang, Z; Sui, Y</t>
  </si>
  <si>
    <t>Wang, Zhixiang; Huang, Chunju; Kemp, David B.; Zhang, Ze; Sui, Yu</t>
  </si>
  <si>
    <t>Distinct responses of late Miocene eolian and lacustrine systems to astronomical forcing in NE Tibet</t>
  </si>
  <si>
    <t>GEOLOGICAL SOCIETY OF AMERICA BULLETIN</t>
  </si>
  <si>
    <t>EAST-ASIAN SUMMER; ENVIRONMENTAL-CHANGES; WEATHERING RESPONSE; NORTHEASTERN TIBET; XINING BASIN; RB/SR RECORD; GRAIN-SIZE; PLATEAU; CHINA; MONSOON</t>
  </si>
  <si>
    <t>East Asian summer monsoon (EASM) and winter monsoon (EAWM) variability on orbital time scales during the late Miocene remains poorly constrained. Climate models reveal variable responses of the EASM and EAWM to astronomical forcing, but there is a lack of empirical evidence from the geological record to validate these results. In this study, we used time series analysis to reconstruct climatic changes and orbital forcing from eolian and lacustrine sediment archives from NE Tibet during the late Miocene. Analysis of magnetic susceptibility data demonstrates that lacustrine sediments in the Tianshui Basin (Yaodian section) show dominant -100 k.y. eccentricity forcing in the late Miocene (ca. 10.25-8 Ma). In contrast, eolian deposits in the Jianzha Basin (Jiarang section) show significant 405 k.y. eccentricity and 41 k.y. obliquity forcing over the same interval with weak evidence for -100 k.y. eccentricity cycles. Grain size data from the Yaodian section support a lacustrine origin of these sediments and also support previous work demonstrating aridification in NE Tibet after ca. 8.6 Ma. Taken together, our analyses highlight markedly different orbital forcing responses of lacustrine and eolian sedimentary systems during the late Miocene. We suggest that the dominant -100 k.y. lacustrine cycles in the Yaodian section, which were mainly controlled by EASM variability, may have been linked to Antarctic ice sheet and/or low-latitude insolation modulations related to precession amplitude modulation by eccentricity. In contrast, the orbital signature of eolian sediments in the Jiarang section was significantly influenced by the EAWM and can be linked to variability in meridional temperature/pressure gradients.</t>
  </si>
  <si>
    <t>[Wang, Zhixiang; Huang, Chunju; Kemp, David B.; Zhang, Ze] China Univ Geosci, Sch Earth Sci, State Key Lab Biogeol &amp; Environm Geol, Wuhan, Peoples R China; [Sui, Yu] Hubei Univ Sci &amp; Technol, Sch Resources Environm Sci &amp; Technol, Xianning 437100, Peoples R China</t>
  </si>
  <si>
    <t>China University of Geosciences; Hubei University of Science &amp; Technology</t>
  </si>
  <si>
    <t>Huang, CJ; Kemp, DB (corresponding author), China Univ Geosci, Sch Earth Sci, State Key Lab Biogeol &amp; Environm Geol, Wuhan, Peoples R China.</t>
  </si>
  <si>
    <t>huangcj@cug.edu.cn; davidkemp@cug.edu.cn</t>
  </si>
  <si>
    <t>Kemp, David B/D-7288-2012</t>
  </si>
  <si>
    <t>National Natural Science Foundation of China [41772029, 41888101]; National Recruitment Program for Young Professionals [KZ19Z20007]</t>
  </si>
  <si>
    <t>National Natural Science Foundation of China(National Natural Science Foundation of China (NSFC)); National Recruitment Program for Young Professionals</t>
  </si>
  <si>
    <t>We thank Mengyang Hou for his assistance with field sampling. We are grateful to Ji Junliang for his constructive suggestions regarding this paper. We are also grateful to Fu Chaofeng for sharing his published data and for constructive suggestions regarding the manuscript. We are also grateful to the associate edi-tor and two reviewers for their constructive reviews of this paper. This work was supported by the National Natural Science Foundation of China (41772029, 41888101) and the National Recruitment Program for Young Professionals (KZ19Z20007) . See the Supple-mentary Material (see footnote 1) for grain-size data and Yaodian section Mn/Fe data.</t>
  </si>
  <si>
    <t>0016-7606</t>
  </si>
  <si>
    <t>1943-2674</t>
  </si>
  <si>
    <t>GEOL SOC AM BULL</t>
  </si>
  <si>
    <t>Geol. Soc. Am. Bull.</t>
  </si>
  <si>
    <t>11-12</t>
  </si>
  <si>
    <t>10.1130/B35776.1</t>
  </si>
  <si>
    <t>WS2UX</t>
  </si>
  <si>
    <t>WOS:000715043400002</t>
  </si>
  <si>
    <t>Slater, T; Shepherd, A; McMillan, M; Leeson, A; Gilbert, L; Muir, A; Munneke, PK; Noël, B; Fettweis, X; van den Broeke, M; Briggs, K</t>
  </si>
  <si>
    <t>Slater, Thomas; Shepherd, Andrew; McMillan, Malcolm; Leeson, Amber; Gilbert, Lin; Muir, Alan; Munneke, Peter Kuipers; Noel, Brice; Fettweis, Xavier; van den Broeke, Michiel; Briggs, Kate</t>
  </si>
  <si>
    <t>Increased variability in Greenland Ice Sheet runoff from satellite observations</t>
  </si>
  <si>
    <t>SURFACE MASS-BALANCE; ELEVATION CHANGE; BRIEF COMMUNICATION; TERMINUS POSITION; MELT; GLACIER; VELOCITY; TEMPERATURE; MELTWATER; ISSTROM</t>
  </si>
  <si>
    <t>Runoff from the Greenland Ice Sheet has increased over recent decades affecting global sea level, regional ocean circulation, and coastal marine ecosystems, and it now accounts for most of the contemporary mass imbalance. Estimates of runoff are typically derived from regional climate models because satellite records have been limited to assessments of melting extent. Here, we use CryoSat-2 satellite altimetry to produce direct measurements of Greenland's runoff variability, based on seasonal changes in the ice sheet's surface elevation. Between 2011 and 2020, Greenland's ablation zone thinned on average by 1.4 +/- 0.4 m each summer and thickened by 0.9 +/- 0.4 m each winter. By adjusting for the steady-state divergence of ice, we estimate that runoff was 357 +/- 58 Gt/yr on average - in close agreement with regional climate model simulations (root mean square difference of 47 to 60 Gt/yr). As well as being 21 % higher between 2011 and 2020 than over the preceding three decades, runoff is now also 60 % more variable from year-to-year as a consequence of large-scale fluctuations in atmospheric circulation. Because this variability is not captured in global climate model simulations, our satellite record of runoff should help to refine them and improve confidence in their projections. Accurate assessments of ice-sheet runoff are essential for sea-level projections. A new method using satellite altimeter observations can provide near real-time surface mass balance measurements across an entire ice sheet and reveal runoff variability not captured by global climate models.</t>
  </si>
  <si>
    <t>[Slater, Thomas; Shepherd, Andrew; Briggs, Kate] Univ Leeds, Sch Earth &amp; Environm, Ctr Polar Observat &amp; Modelling, Leeds, W Yorkshire, England; [McMillan, Malcolm; Leeson, Amber] Univ Lancaster, Lancaster Environm Ctr, Lancaster, England; [Gilbert, Lin; Muir, Alan] UCL, Dept Space Climate Phys, Mullard Space Sci Lab, London, England; [Muir, Alan] UCL, Dept Earth Sci, Ctr Polar Observat &amp; Modelling, London, England; [Munneke, Peter Kuipers; Noel, Brice; van den Broeke, Michiel] Univ Utrecht, Inst Marine &amp; Atmospher Res Utrecht, Utrecht, Netherlands; [Fettweis, Xavier] Univ Liege, Dept Geog, SPHERES Res Unit, Liege, Belgium</t>
  </si>
  <si>
    <t>University of Leeds; Lancaster University; University of London; University College London; University of London; University College London; Utrecht University; University of Liege</t>
  </si>
  <si>
    <t>Slater, T (corresponding author), Univ Leeds, Sch Earth &amp; Environm, Ctr Polar Observat &amp; Modelling, Leeds, W Yorkshire, England.</t>
  </si>
  <si>
    <t>t.slater1@leeds.ac.uk</t>
  </si>
  <si>
    <t>Leeson, Amber/JFA-1001-2023; Van den Broeke, Michiel R./F-7867-2011; McMillan, Malcolm/HLQ-1163-2023</t>
  </si>
  <si>
    <t>Van den Broeke, Michiel R./0000-0003-4662-7565; Slater, Thomas/0000-0003-2541-7788; Leeson, Amber/0000-0001-8720-9808; Muir, Alan/0000-0001-7754-088X; McMillan, Malcolm/0000-0002-5113-0177</t>
  </si>
  <si>
    <t>NERC through National Capability funding; European Space Agency [4000132154/20/I-EF]; Lancaster University-UKCEH Centre of Excellence in Environmental Data Science; NERC Meltwater Ice-sheet Interactions and the changing climate of Greenland research grant (MII Greenland) [NE/S011390/1]; NWO VENI [VI.Veni.192.019]; Netherlands Earth System Science Centre (NESSC) - F.R.S. FNRS [2.5020.11]; Federation Wallonie Bruxelles infrastructure - Walloon Region [1117545]; NERC [cpom30001] Funding Source: UKRI</t>
  </si>
  <si>
    <t>NERC through National Capability funding; European Space Agency(European Space Agency); Lancaster University-UKCEH Centre of Excellence in Environmental Data Science; NERC Meltwater Ice-sheet Interactions and the changing climate of Greenland research grant (MII Greenland); NWO VENI(Netherlands Organization for Scientific Research (NWO)); Netherlands Earth System Science Centre (NESSC) - F.R.S. FNRS; Federation Wallonie Bruxelles infrastructure - Walloon Region; NERC(UK Research &amp; Innovation (UKRI)Natural Environment Research Council (NERC))</t>
  </si>
  <si>
    <t>This work was supported by NERC through National Capability funding, undertaken by a partnership between the Centre for Polar Observation Modelling and the British Antarctic Survey, and by the European Space Agency's Polar+ Earth Observation for Mass Balance study (4000132154/20/I-EF). M.M. was supported by the Lancaster University-UKCEH Centre of Excellence in Environmental Data Science. A.L was supported by the NERC Meltwater Ice-sheet Interactions and the changing climate of Greenland research grant (MII Greenland NE/S011390/1). B.N. was funded by NWO VENI grant VI.Veni.192.019. M.v.d.B and P.K.M. acknowledge support from the Netherlands Earth System Science Centre (NESSC). Computational resources used to perform MAR simulations have been provided by the Consortium des Equipements de Calcul Intensif (CECI), funded by the F.R.S. FNRS under grant 2.5020.11 and the Tier-1 supercomputer (Zenobe) of the Federation Wallonie Bruxelles infrastructure funded by the Walloon Region under grant agreement 1117545. We thank H. Goelzer for providing modelled ice thickness change data used in Supplementary Fig. 5. We acknowledge C. Greene for several MATLAB functions provided in the Climate Data Toolbox, used in visualising the data.</t>
  </si>
  <si>
    <t>10.1038/s41467-021-26229-4</t>
  </si>
  <si>
    <t>WQ3NX</t>
  </si>
  <si>
    <t>WOS:000713727300014</t>
  </si>
  <si>
    <t>Marochov, M; Stokes, CR; Carbonneau, PE</t>
  </si>
  <si>
    <t>Marochov, Melanie; Stokes, Chris R.; Carbonneau, Patrice E.</t>
  </si>
  <si>
    <t>Image classification of marine-terminating outlet glaciers in Greenland using deep learning methods</t>
  </si>
  <si>
    <t>ICE MELANGE; JAKOBSHAVN ISBRAE; HELHEIM GLACIER; SUBMARINE MELT; CALVING FRONT; TERMINUS; INVENTORY; RETREAT; IMPACT; SHEET</t>
  </si>
  <si>
    <t>A wealth of research has focused on elucidating the key controls on mass loss from the Greenland and Antarctic ice sheets in response to climate forcing, specifically in relation to the drivers of marine-terminating outlet glacier change. The manual methods traditionally used to monitor change in satellite imagery of marine-terminating outlet glaciers are time-consuming and can be subjective, especially where melange exists at the terminus. Recent advances in deep learning applied to image processing have created a new frontier in the field of automated delineation of glacier calving fronts. However, there remains a paucity of research on the use of deep learning for pixel-level semantic image classification of outlet glacier environments. Here, we apply and test a two-phase deep learning approach based on a well-established convolutional neural network (CNN) for automated classification of Sentinel-2 satellite imagery. The novel workflow, termed CNN-Supervised Classification (CSC) is adapted to produce multi-class outputs for unseen test imagery of glacial environments containing marine-terminating outlet glaciers in Greenland. Different CNN input parameters and training techniques are tested, with overall F1 scores for resulting classifications reaching up to 94 % for in-sample test data (Helheim Glacier) and 96 % for out-of-sample test data (Jakobshavn Isbrae and Store Glacier), establishing a state of the art in classification of marine-terminating glaciers in Greenland. Predicted calving fronts derived using optimal CSC input parameters have a mean deviation of 56.17 m (5.6 px) and median deviation of 24.7 m (2.5 px) from manually digitised fronts. This demonstrates the transferability and robustness of the deep learning workflow despite complex and seasonally variable imagery. Future research could focus on the integration of deep learning classification workflows with free cloud-based platforms, to efficiently classify imagery and produce datasets for a range of glacial applications without the need for substantial prior experience in coding or deep learning.</t>
  </si>
  <si>
    <t>[Marochov, Melanie; Stokes, Chris R.; Carbonneau, Patrice E.] Univ Durham, Dept Geog, Durham DH1 3LE, England</t>
  </si>
  <si>
    <t>Durham University</t>
  </si>
  <si>
    <t>Carbonneau, PE (corresponding author), Univ Durham, Dept Geog, Durham DH1 3LE, England.</t>
  </si>
  <si>
    <t>patrice.carbonneau@durham.ac.uk</t>
  </si>
  <si>
    <t>Stokes, Chris R/A-1957-2011</t>
  </si>
  <si>
    <t>10.5194/tc-15-5041-2021</t>
  </si>
  <si>
    <t>WR2XW</t>
  </si>
  <si>
    <t>Green Accepted, gold, Green Submitted</t>
  </si>
  <si>
    <t>WOS:000714369200001</t>
  </si>
  <si>
    <t>Friedland, KD; Moisan, JR; Maureaud, AA; Brady, DC; Davies, AJ; Bograd, SJ; Watson, RA; Rousseau, Y</t>
  </si>
  <si>
    <t>Friedland, Kevin D.; Moisan, John R.; Maureaud, Aurore A.; Brady, Damian C.; Davies, Andrew J.; Bograd, Steven J.; Watson, Reg A.; Rousseau, Yannick</t>
  </si>
  <si>
    <t>Trends in phytoplankton communities within large marine ecosystems diverge from the global ocean</t>
  </si>
  <si>
    <t>CANADIAN JOURNAL OF FISHERIES AND AQUATIC SCIENCES</t>
  </si>
  <si>
    <t>CLIMATE; SURFACE; INCREASES; RESPONSES; PATTERNS; IMPACT; DRIVEN; WARMER</t>
  </si>
  <si>
    <t>Large marine ecosystems (LMEs) are highly productive regions of the world ocean under anthropogenic pressures; we analyzed trends in sea surface temperature (SST), cloud fraction (CF), and chlorophyll concentration (CHL) over the period 1998-2019. Trends in these parameters within LMEs diverged from the world ocean. SST and CF inside LMEs increased at greater rates inside LMEs, whereas CHL decreased at a greater rates. CHL declined in 86% of all LMEs and of those trends, 70% were statistically significant. Complementary analyses suggest phytoplankton functional types within LMEs have also diverged from those characteristic of the world ocean, most notably, the contribution of diatoms and dinoflagellates, which have declined within LMEs. LMEs appear to be warming rapidly and receiving less solar radiation than the world ocean, which may be contributing to changes at the base of the food chain. Despite increased fishing effort, fishery yields in LMEs have not increased, pointing to limitations related to productivity. These changes raise concerns over the stability of these ecosystems and their continued ability to support services to human populations.</t>
  </si>
  <si>
    <t>[Friedland, Kevin D.] Northeast Fisheries Sci Ctr, Narragansett, RI 02882 USA; [Moisan, John R.] Goddard Space Flight Ctr, Wallops Flight Facil, Wallops Isl, VA USA; [Maureaud, Aurore A.] Tech Univ Denmark, Ctr Ocean Life, Lyngby, Denmark; [Maureaud, Aurore A.] Tech Univ Denmark, Natl Inst Aquat Sci DTU Aqua, Sect Ecosyst Based Marine Management, Lyngby, Denmark; [Maureaud, Aurore A.] Yale Univ, Ctr Biodivers &amp; Global Change, Dept Ecol &amp; Evolutionary Biol, New Haven, CT USA; [Brady, Damian C.] Univ Maine, Sch Marine Sci, Walpole, ME USA; [Davies, Andrew J.] Univ Rhode Isl, Dept Biol Sci, Kingston, RI 02881 USA; [Bograd, Steven J.] NOAA, Environm Res Div, Southwest Fisheries Sci Ctr, Monterey, CA USA; [Bograd, Steven J.] Univ Calif Santa Cruz, Inst Marine Sci, Santa Cruz, CA 95064 USA; [Watson, Reg A.; Rousseau, Yannick] Univ Tasmania, Ctr Marine Socioecol, Private Bag 129, Hobart, Tas, Australia; [Watson, Reg A.; Rousseau, Yannick] Univ Tasmania, Inst Marine &amp; Antarctic Studies, Private Bag 129, Hobart, Tas, Australia</t>
  </si>
  <si>
    <t>National Aeronautics &amp; Space Administration (NASA); NASA Goddard Space Flight Center; Wallops Flight Facility; Technical University of Denmark; Technical University of Denmark; Yale University; University of Maine System; University of Maine Orono; University of Rhode Island; National Oceanic Atmospheric Admin (NOAA) - USA; University of California System; University of California Santa Cruz; University of Tasmania; University of Tasmania</t>
  </si>
  <si>
    <t>Friedland, KD (corresponding author), Northeast Fisheries Sci Ctr, Narragansett, RI 02882 USA.</t>
  </si>
  <si>
    <t>kevin.friedland@noaa.gov</t>
  </si>
  <si>
    <t>Maureaud, Aurore A./AAN-9197-2020; Moisan, John R/B-8762-2016</t>
  </si>
  <si>
    <t>Maureaud, Aurore A./0000-0003-4778-9443; Rousseau, Yannick/0000-0003-0765-7518</t>
  </si>
  <si>
    <t>NASA Ecosystem Forecasting Program; Gordon and Betty Moore Foundation [3292]; NASA Applied Information Systems Technology Program [NNH18ZDA001N-AIST]; Villum Foundation; NSF [1849227]; National Sea Grant [NA19OAR4170395]</t>
  </si>
  <si>
    <t>NASA Ecosystem Forecasting Program; Gordon and Betty Moore Foundation(Gordon and Betty Moore Foundation); NASA Applied Information Systems Technology Program; Villum Foundation(Villum Fonden); NSF(National Science Foundation (NSF)); National Sea Grant</t>
  </si>
  <si>
    <t>We thank S. Large for comments on an early draft of the paper. Funding for J. Moisan was provided for by the NASA Ecosystem Forecasting Program, The Gordon and Betty Moore Foundation under Grant Number 3292, and the NASA Applied Information Systems Technology Program under NNH18ZDA001N-AIST. A. Maureaud conducted the work within the Centre for Ocean Life, a Villum Kann Rasmussen Center of Excellence supported by the Villum Foundation. Funding for D. Brady participation provided by NSF grant No. 1849227 and National Sea Grant award NA19OAR4170395.</t>
  </si>
  <si>
    <t>CANADIAN SCIENCE PUBLISHING</t>
  </si>
  <si>
    <t>OTTAWA</t>
  </si>
  <si>
    <t>65 AURIGA DR, SUITE 203, OTTAWA, ON K2E 7W6, CANADA</t>
  </si>
  <si>
    <t>0706-652X</t>
  </si>
  <si>
    <t>1205-7533</t>
  </si>
  <si>
    <t>CAN J FISH AQUAT SCI</t>
  </si>
  <si>
    <t>Can. J. Fish. Aquat. Sci.</t>
  </si>
  <si>
    <t>10.1139/cjfas-2020-0423</t>
  </si>
  <si>
    <t>WM6BJ</t>
  </si>
  <si>
    <t>WOS:000711168500011</t>
  </si>
  <si>
    <t>Li, Y; Rubin, AE; Hsu, WB</t>
  </si>
  <si>
    <t>Li, Ye; Rubin, Alan E.; Hsu, Weibiao</t>
  </si>
  <si>
    <t>Formation of metallic-Cu-bearing mineral assemblages in type-3 ordinary and CO chondrites</t>
  </si>
  <si>
    <t>AMERICAN MINERALOGIST</t>
  </si>
  <si>
    <t>Metallic Cu; CO3 chondrites; type-3 ordinary chondrites; thermal metamorphism; Cu-bearing minerals</t>
  </si>
  <si>
    <t>EARLY SOLAR-SYSTEM; FE-NI METAL; SHOCK METAMORPHISM; THERMAL HISTORIES; CHONDRULE RIMS; CARBONACEOUS CHONDRITES; CHROMITE-PLAGIOCLASE; SIDEROPHILE ELEMENTS; AQUEOUS ALTERATION; MODAL MINERALOGY</t>
  </si>
  <si>
    <t>Studies of the new growth and re-distribution of Cu-rich phases in chondrites of different petrologic subtypes can potentially provide insights into post-accretionary parent-body processes. We present a systematic study of the distribution of Cu-rich phases and metallic Cu in Ornans-like carbonaceous chondrites (CO3) that underwent little aqueous alteration or shock (most with shock stages of S1) but exhibit a range of thermal metamorphism (subtype 3.0-3.7). A comparison to ordinary chondrites (OCs), which have undergone a larger range of shock levels, allows us to constrain the relative roles of radiogenic and shock heating in the origin of Cu distribution in chondrites. We found that the Cu content of Ni-rich metal and calculated bulk Cu content of CO3 chondrites (based on mass-balance calculations) show an increase from CO3.0 to CO3.2 chondrites. We speculate that some unidentified phases in the matrix account for a significant portion (nearly-100 ppm) of the Cu budget in bulk samples of CO3.0 chondrites, while Ni-rich metal is the main Cu-carrier for CO3.2-3.7 chondrites. Within CO3.2-3.7 chondrites, Cu and Ni contents of Ni-rich metal are positively correlated, showing a systematic decrease from lower to higher subtype (-0.41 wt% Cu and-45.0 wt% Ni in CO3.2 Kainsaz;-0.28 wt% Cu and-38.8 wt% Ni in CO3.7 Isna). Metallic Cu grains were found in every sample of CO3.2-3.7 chondrites, but not in any CO3.0-3.1 chondrites. Metallic Cu is: (1) present at metallic-Fe-Ni-pyrrhotite interfaces; (2) associated with fine irregular pyrrhotite grains in Nirich-metal-pyrrhotite nodules; (3) associated with fizzed pyrrhotite (fine-grained mixtures of irregularly shaped metal grains surrounded by pyrrhotite); (4) present at the edges of metallic Fe-Ni grains; and (5) present as isolated grains. In some metallic-Cu-bearing mineral assemblages, pyrrhotite has higher Cu concentrations than adjacent Ni-rich metal and shows a drop in Cu concentration at the interface between metallic Cu and Cu-rich pyrrhotite. This implies that the precipitation of metallic Cu grains could be related to the local Cu enrichment of pyrrhotite. We consider that radiogenic heating is mainly responsible for the formation of opaque phases in CO chondrites based on the relatively slow metallographic cooling rate (-0.1-5 degrees C/Ma), the increasing uniformity of Ni contents in Ni-rich metal with increasing CO subtype (44.3 +/- 17.3 wt% in CO3.00 to 38.8 +/- 3.4 wt% in CO3.7 chondrite), and the relatively narrow range of pyrrhotite metal/sulfur ratios (-0.976-0.999). Metal/sulfur ratios of pyrrhotite grains in most CO3.2-3.7 chondrites (mean =-0.986-0.997; except Lance) are slightly higher than those in CO3.0-3.1 chondrites (mean =-0.981-0.987; except Y-81020), possibly indicative of a release and re-mobilization of sulfur during progressive heating as previously reported for type-3 chondrites. In this regard, we suggest most metallic Cu grains in CO3 chondrites may have precipitated from Cu-rich pyrrhotite due to sulfidation of Fe-Ni metal during parent-body thermal metamorphism. Locally, a few metallic Cu grains associated with fizzed pyrrhotite could have formed during transient shock-heating. Both thermal and shock metamorphism could be responsible for the formation of metallic Cu. Although the systematic decrease in the Ni contents of Ni-rich metal from subtype-3.2 to subtype-3.8 also occurs in OCs, the average Cu contents of Ni-rich metal grains are indistinguishable among type-3 OCs of different subtypes. The paucity of metallic Cu in weakly shocked type-3 OCs could be related to: (1) the relatively low-bulk Cu contents of OCs, and/or (2) the relatively rapid metallographic cooling rates at &lt;500-600 degrees C (-1-10 degrees C/Ma for LL chondrites), possibly resulting from early disturbance of OC parent bodies. The intergrowth of metallic Cu and irregular pyrrhotite more commonly occurs in shocked type-4 to type-6 OCs than in CO3 chondrites. This could be due to S in type-4 to type-6 OCs being more mobilized due to shock heating than in unshocked CO3 chondrites. We predict that some other groups of carbonaceous chondrites (e.g., CI and CM) are less likely to produce metallic Cu due to the: (1) relatively low amount of metallic Fe-Ni; (2) relatively low parent-body temperatures of-100-300 degrees C; (3) high mobility of Cu in solution for aqueously altered samples; and (4) the short heating duration for metamorphosed samples.</t>
  </si>
  <si>
    <t>[Li, Ye; Hsu, Weibiao] Chinese Acad Sci, CAS Key Lab Planetary Sci, Purple Mt Observ, Nanjing 210034, Peoples R China; [Li, Ye; Hsu, Weibiao] CAS Ctr Excellence Comparat Planetol, Hefei 230026, Peoples R China; [Li, Ye] Macau Univ Sci &amp; Technol, State Key Lab Planetary Sci, Taipa, Macau, Peoples R China; [Li, Ye; Rubin, Alan E.] Univ Calif Los Angeles, Dept Earth Planetary &amp; Space Sci, Los Angeles, CA 90095 USA; [Rubin, Alan E.] Maine Mineral &amp; Gem Museum, 99 Main St,POB 500, Bethel, ME 04217 USA</t>
  </si>
  <si>
    <t>Chinese Academy of Sciences; Nanjing Institute of Astronomical Optics &amp; Technology, NAOC, CAS; Purple Mountain Observatory, CAS; Macau University of Science &amp; Technology; University of California System; University of California Los Angeles</t>
  </si>
  <si>
    <t>Li, Y; Hsu, WB (corresponding author), Chinese Acad Sci, CAS Key Lab Planetary Sci, Purple Mt Observ, Nanjing 210034, Peoples R China.;Li, Y; Hsu, WB (corresponding author), CAS Ctr Excellence Comparat Planetol, Hefei 230026, Peoples R China.;Li, Y (corresponding author), Macau Univ Sci &amp; Technol, State Key Lab Planetary Sci, Taipa, Macau, Peoples R China.;Li, Y (corresponding author), Univ Calif Los Angeles, Dept Earth Planetary &amp; Space Sci, Los Angeles, CA 90095 USA.</t>
  </si>
  <si>
    <t>liye@pmo.ac.cn; wbxu@pmo.ac.cn</t>
  </si>
  <si>
    <t>National Natural Science Foundation of China [41973060, 41773059, 41873076, 42073060, 41803051]; pre-research Project on Civil Aerospace Technologies - Chinese National Space Administration [D020302, D020202]; Minor Planet Foundation of China; State Key Laboratory of Lunar and Planetary Sciences (Macau University of Science and Technology) (Macau FDCT) [119/2017/A3]; NASA [NNG06GF95G]; Chinese Academy of Sciences [XDB41000000]</t>
  </si>
  <si>
    <t>National Natural Science Foundation of China(National Natural Science Foundation of China (NSFC)); pre-research Project on Civil Aerospace Technologies - Chinese National Space Administration; Minor Planet Foundation of China; State Key Laboratory of Lunar and Planetary Sciences (Macau University of Science and Technology) (Macau FDCT); NASA(National Aeronautics &amp; Space Administration (NASA)); Chinese Academy of Sciences(Chinese Academy of Sciences)</t>
  </si>
  <si>
    <t>The Antarctic meteorite samples studied here were kindly loaned from the Meteorite Working Group (MWG) and National Institute of Polar Research (NIPR) , Felix, Warrenton, Isna, and Semarkona were kindly loaned from Smithsonian Institution. We thank R. Esposito and F.T. Kyte of UCLA for technical assistance on the EPMA analyses. The authors also thank J.T. Wasson for constructive sug-gestions and M.K. Weisberg, S. Singerling, and another anonymous referee for helpful reviews. The associate editor A. Peslier involving a thorough review of the manuscript is greatly appreciated. This work was supported by the B-type Strategic Priority Program of the Chinese Academy of Sciences, Grant No. XDB41000000, the National Natural Science Foundation of China (Grant No. 41973060, 41773059, 41873076, 42073060, and 41803051) , the pre-research Project on Civil Aerospace Technologies No. D020202 and No. D020302 funded by Chinese National Space Administration, the Minor Planet Foundation of China, the opening fund of State Key Laboratory of Lunar and Planetary Sciences (Macau University of Science and Technology) (Macau FDCT Grant No. 119/2017/A3) and NASA Grant NNG06GF95G.</t>
  </si>
  <si>
    <t>MINERALOGICAL SOC AMER</t>
  </si>
  <si>
    <t>CHANTILLY</t>
  </si>
  <si>
    <t>3635 CONCORDE PKWY STE 500, CHANTILLY, VA 20151-1125 USA</t>
  </si>
  <si>
    <t>0003-004X</t>
  </si>
  <si>
    <t>1945-3027</t>
  </si>
  <si>
    <t>AM MINERAL</t>
  </si>
  <si>
    <t>Am. Miner.</t>
  </si>
  <si>
    <t>10.2138/am-2021-7689</t>
  </si>
  <si>
    <t>Geochemistry &amp; Geophysics; Mineralogy</t>
  </si>
  <si>
    <t>WT4OA</t>
  </si>
  <si>
    <t>WOS:000715844000007</t>
  </si>
  <si>
    <t>Perron, MMG; Proemse, BC; Strzelec, M; Gault-Ringold, M; Bowie, AR</t>
  </si>
  <si>
    <t>Perron, Morgane M. G.; Proemse, Bernadette C.; Strzelec, Michal; Gault-Ringold, Melanie; Bowie, Andrew R.</t>
  </si>
  <si>
    <t>Atmospheric inputs of volcanic iron around Heard and McDonald Islands, Southern ocean</t>
  </si>
  <si>
    <t>ENVIRONMENTAL SCIENCE-ATMOSPHERES</t>
  </si>
  <si>
    <t>KERGUELEN ISLANDS; TRACE-ELEMENTS; FERTILIZATION; SOLUBILITY; EMISSIONS; AEROSOLS; CARBON; GAS; ASH</t>
  </si>
  <si>
    <t>Atmospheric deposition of iron to anemic waters in the Southern Ocean (SO) can relieve marine phytoplankton growth limitation. The northern Kerguelen plateau, in the iron-limited Indian sector of the SO, hosts vast annual spring blooms of marine phytoplankton, evidencing seasonal iron supply mechanisms. This study reports the first atmospheric measurements of iron concentration and solubility near and downwind of the volcanically active islands of Heard and McDonald Islands (HIMI) on the Kerguelen plateau. Using a combination of atmospheric tracers (radon and black carbon), air-mass back-trajectories, and trace metal ratios in aerosols, we detected emission from Heard Island in aerosols up to 500 km downwind from HIMI. The latter emissions were characterized by enrichment in molybdenum (Mo, similar to 100 to 3000-fold), chromium (Cr) and nickel (Ni) (both similar to 5 to 40-fold) in aerosols compared to Heard Island basaltic rocks. This phenomena reflects the greater volatility of Mo, Cr and Ni compared to the lithogenic reference trace metal aluminum (Al) under volcanic eruption atmospheric conditions. Our study highlights that volcanic emissions from Heard Island's main volcano, Big Ben, should be considered an additional source of atmospheric Fe supply to marine ecosystems near and downstream of the Kerguelen plateau, alongside other volcanic clusters in the Southern Hemisphere.</t>
  </si>
  <si>
    <t>[Perron, Morgane M. G.; Proemse, Bernadette C.; Strzelec, Michal; Bowie, Andrew R.] Univ Tasmania, Inst Marine &amp; Antarctic Studies, Battery Point, Tas, Australia; [Gault-Ringold, Melanie; Bowie, Andrew R.] Univ Tasmania, Antarctic Climate &amp; Ecosyst CRC, Battery Point, Tas, Australia</t>
  </si>
  <si>
    <t>Perron, MMG (corresponding author), Univ Tasmania, Inst Marine &amp; Antarctic Studies, Battery Point, Tas, Australia.</t>
  </si>
  <si>
    <t>morgane.perron@utas.edu.au</t>
  </si>
  <si>
    <t>Perron, Morgane/HHS-1241-2022; Bowie, Andrew/C-8677-2013</t>
  </si>
  <si>
    <t>Perron, Morgane/0000-0001-5424-7138; Bowie, Andrew/0000-0002-5144-7799</t>
  </si>
  <si>
    <t>Australian Research Council [FT130100037]; Australian Antarctic Science Grants Program [AAS4338]; Antarctic Climate and Ecosystems Cooperative Research Centre (ACE CRC); Australian Research Council [FT130100037] Funding Source: Australian Research Council</t>
  </si>
  <si>
    <t>Australian Research Council(Australian Research Council); Australian Antarctic Science Grants Program; Antarctic Climate and Ecosystems Cooperative Research Centre (ACE CRC)(Australian GovernmentDepartment of Industry, Innovation and ScienceCooperative Research Centres (CRC) Programme); Australian Research Council(Australian Research Council)</t>
  </si>
  <si>
    <t>The authors wish to thank the CSIRO Marine National Facility (MNF) for ship-time on RV Investigator voyage IN2016_V01, with excellent help from the crew, support personnel, and data managers. We also thank Prof Zanna Chase, Dr Jodi Fox and the MNF crew for shipboard rock sampling and identi.cation as well as interesting idea inputs to this manuscript. All data and samples acquired on the voyage will be made publicly available in both IMAS and CSIRO Data Portals. This work was supported by an Australian Research Council Future Fellowship (FT130100037 to A. R. B.), the Australian Antarctic Science Grants Program (AAS4338 to Mike Coffin) and through the Antarctic Climate and Ecosystems Cooperative Research Centre (ACE CRC).</t>
  </si>
  <si>
    <t>2634-3606</t>
  </si>
  <si>
    <t>ENVIRON SCI-ATMOS</t>
  </si>
  <si>
    <t>Environ. Sci. - Atmospheres</t>
  </si>
  <si>
    <t>10.1039/d1ea00054c</t>
  </si>
  <si>
    <t>5L9DX</t>
  </si>
  <si>
    <t>WOS:000870709200003</t>
  </si>
  <si>
    <t>Lee, JD; Squires, FA; Sherwen, T; Wilde, SE; Cliff, SJ; Carpenter, LJ; Hopkins, JR; Bauguitte, SJ; Reed, C; Barker, P; Allen, G; Bannan, TJ; Matthews, E; Mehra, A; Percival, C; Heard, DE; Whalley, LK; Ronnie, GV; Seldon, S; Ingham, T; Keller, CA; Knowland, KE; Nisbet, EG; Andrews, S</t>
  </si>
  <si>
    <t>Lee, James D.; Squires, Freya A.; Sherwen, Tomas; Wilde, Shona E.; Cliff, Samuel J.; Carpenter, Lucy J.; Hopkins, James R.; Bauguitte, Stephane J.; Reed, Chris; Barker, Patrick; Allen, Grant; Bannan, Thomas J.; Matthews, Emily; Mehra, Archit; Percival, Carl; Heard, Dwayne E.; Whalley, Lisa K.; Ronnie, Grace, V; Seldon, Samuel; Ingham, Trevor; Keller, Christoph A.; Knowland, K. Emma; Nisbet, Euan G.; Andrews, Stephen</t>
  </si>
  <si>
    <t>Ozone production and precursor emission from wildfires in Africa</t>
  </si>
  <si>
    <t>TROPOSPHERIC OZONE; REACTIVE NITROGEN; TRACE GASES; BIOMASS; TRANSPORT; IMPACT; FIRE; SMOKE; NOX; CO</t>
  </si>
  <si>
    <t>Tropospheric ozone (O-3) negatively impacts human health and is also a greenhouse gas. It is formed photochemically by reactions of nitrogen oxides (NOx) and volatile organic compounds (VOCs), of which wildfires are an important source. This study presents data from research flights sampling wildfires in West and Central African savannah regions, both close to the fires and after the emissions had been transported several days over the tropical North Atlantic Ocean. Emission factors (EFs) in g kg(-1) for NOx (as NO), six VOCs and formaldehyde were calculated from enhancement to mole fractions in data taken close to the fires. For NOx, the emission factor was calculated as 2.05 +/- 0.43 g kg(-1) for Senegal and 1.20 +/- 0.28 g kg(-1) for Uganda, both higher than the average value of 1.13 +/- 0.6 g kg(-1) for previous studies of African savannah regions. For most VOCs (except acetylene), EFs in Uganda were lower by factors of 20-50% compared to Senegal, with almost all the values below those in the literature. O-3 enhancement in the fire plumes was investigated by examining the Delta O-3/Delta CO enhancement ratio, with values ranging from 0.07-0.14 close to the fires up to 0.25 for measurements taken over the Atlantic Ocean up to 200 hours downwind. In addition, measurements of O-3 and its precursors were compared to the output of a global chemistry transport model (GEOS-CF) for the flights over the Atlantic Ocean. Normalised mean bias (NMB) comparison between the measured and modelled data was good outside of the fire plumes, with CO showing a model under-prediction of 4.6% and O-3 a slight over-prediction of 0.7% (both within the standard deviation of the data). For NOx the agreement was poorer, with an under-prediction of 9.9% across all flights. Inside the fire plumes the agreement between modelled and measured values is worse, with the model being biased significantly lower for all three species. In total across all flights, there was an under-prediction of 29.4%, 16.5% and 37.5% for CO, O-3 and NOx respectively. Finally, the measured Delta O-3/Delta CO enhancement ratios were compared to those in the model for the equivalent flight data, with the model showing a lower value of 0.17 +/- 0.03 compared to an observed value of 0.29 +/- 0.05. The results detailed here show that the O-3 burden to the North Atlantic Ocean from African wildfires may be underestimated and that further study is required to better study the O-3 precursor emissions and chemistry.</t>
  </si>
  <si>
    <t>[Lee, James D.; Squires, Freya A.; Sherwen, Tomas; Wilde, Shona E.; Cliff, Samuel J.; Carpenter, Lucy J.; Hopkins, James R.; Andrews, Stephen] Univ York, Dept Chem, York YO10 5DD, N Yorkshire, England; [Lee, James D.; Sherwen, Tomas; Hopkins, James R.; Andrews, Stephen] Univ York, Natl Ctr Atmospher Sci, York YO10 5DD, N Yorkshire, England; [Bauguitte, Stephane J.; Reed, Chris] Cranfield Univ, Natl Ctr Atmospher Sci, FAAM Airborne Lab, Bldg 146,Cent Ave, Cranfield MK43 0AL, Beds, England; [Barker, Patrick; Allen, Grant; Bannan, Thomas J.; Matthews, Emily; Mehra, Archit] Univ Manchester, Sch Earth &amp; Environm Sci, Manchester M13 9PL, Lancs, England; [Percival, Carl] NASA, Jet Prop Lab, Pasadena, CA USA; [Heard, Dwayne E.; Whalley, Lisa K.; Ronnie, Grace, V; Seldon, Samuel; Ingham, Trevor] Univ Leeds, Sch Chem, Leeds LS2 9JT, W Yorkshire, England; [Whalley, Lisa K.] Univ Leeds, Natl Ctr Atmospher Sci, Leeds LS2 9JT, W Yorkshire, England; [Keller, Christoph A.; Knowland, K. Emma] Univ Space Res Assoc, Columbia, MD USA; [Keller, Christoph A.; Knowland, K. Emma] NASA, Goddard Space Flight Ctr, Greenbelt, MD USA; [Nisbet, Euan G.] Univ London, Dept Earth Sci, Egham, Surrey, England; [Squires, Freya A.] British Antarctic Survey, Nat Environm Res Council, Cambridge CB3 0ET, England; [Mehra, Archit] Univ Chester, Fac Sci &amp; Engn, Chester, Cheshire, England</t>
  </si>
  <si>
    <t>University of York - UK; UK Research &amp; Innovation (UKRI); Natural Environment Research Council (NERC); NERC National Centre for Atmospheric Science; University of York - UK; Cranfield University; University of Manchester; National Aeronautics &amp; Space Administration (NASA); NASA Jet Propulsion Laboratory (JPL); University of Leeds; University of Leeds; UK Research &amp; Innovation (UKRI); Natural Environment Research Council (NERC); NERC National Centre for Atmospheric Science; Universities Space Research Association (USRA); National Aeronautics &amp; Space Administration (NASA); NASA Goddard Space Flight Center; University of London; Royal Holloway University London; UK Research &amp; Innovation (UKRI); Natural Environment Research Council (NERC); NERC British Antarctic Survey; University of Chester</t>
  </si>
  <si>
    <t>Lee, JD (corresponding author), Univ York, Dept Chem, York YO10 5DD, N Yorkshire, England.;Lee, JD (corresponding author), Univ York, Natl Ctr Atmospher Sci, York YO10 5DD, N Yorkshire, England.</t>
  </si>
  <si>
    <t>james.lee@york.ac.uk</t>
  </si>
  <si>
    <t>Squires, Freya/IRZ-4422-2023; Sherwen, Tomás/A-1810-2013; Whalley, Lisa/IXD-2165-2023; Allen, Grant/A-7737-2013; lee, sooyoon/JEP-0415-2023; Heard, Dwayne/M-3624-2017; Cliff, Samuel/AEE-2520-2022; Carpenter, Laura/JPY-0437-2023</t>
  </si>
  <si>
    <t>Squires, Freya/0000-0002-3364-4617; Sherwen, Tomás/0000-0002-3006-3876; Allen, Grant/0000-0002-7070-3620; Lee, James D/0000-0001-5397-2872; Carpenter, Lucy/0000-0002-6257-3950; Cliff, Samuel/0000-0002-1078-3972; Matthews, Emily/0000-0002-8655-739X; Reed, Chris/0000-0002-9886-5875</t>
  </si>
  <si>
    <t>UK Natural Environment Research Council [NE/N016238/1, NE/S000518/1]; NERC; NERC [NE/S000518/1, NE/N016238/1, NE/I001042/1, NE/T014849/1] Funding Source: UKRI</t>
  </si>
  <si>
    <t>UK Natural Environment Research Council(UK Research &amp; Innovation (UKRI)Natural Environment Research Council (NERC)); NERC(UK Research &amp; Innovation (UKRI)Natural Environment Research Council (NERC)); NERC(UK Research &amp; Innovation (UKRI)Natural Environment Research Council (NERC))</t>
  </si>
  <si>
    <t>Thanks to Euan Nesbit at RHUL and Lucy Carpenter at the University of York for conceiving the MOYA and ARNA projects respectively. Thanks to the FAAM and Airtask team for supporting the.ights, including Maureen Smith, Doug Anderson and Alan Woolley. Thanks to the staff from Airtask for campaign organisation, flight planning and resolving any safety issues: Barney Black, Finbarre Brennan, Peter Chappell, Steve James, Mark Keeble, Mark Robinson and David Simpson. The authors gratefully acknowledge the.nancial support provided by the UK Natural Environment Research Council (grant no. NE/N016238/1 (MOYA), NE/S000518/1 (ARNA)). FS and GR thank the NERC Spheres Doctoral Training Program for studentships and SC thanks the NERC Panorama Doctoral Training Program.</t>
  </si>
  <si>
    <t>10.1039/d1ea00041a</t>
  </si>
  <si>
    <t>WOS:000870709200005</t>
  </si>
  <si>
    <t>Gao, L; Pei, JL; Zhao, Y; Yang, ZY; Riley, TR; Liu, XC; Zhang, SH; Liu, JM</t>
  </si>
  <si>
    <t>Gao, Liang; Pei, Junling; Zhao, Yue; Yang, Zhenyu; Riley, Teal R.; Liu, Xiaochun; Zhang, Shuan-Hong; Liu, Jian-Min</t>
  </si>
  <si>
    <t>New Paleomagnetic Constraints on the Cretaceous Tectonic Framework of the Antarctic Peninsula</t>
  </si>
  <si>
    <t>Antarctic Peninsula; South Shetland Islands; Livingston Island; paleomagnetism; mid-Cretaceous</t>
  </si>
  <si>
    <t>SOUTH SHETLAND ISLANDS; U-PB AGES; MIERS BLUFF FORMATION; WESTERN PALMER LAND; SUBDUCTION COMPLEX; LIVINGSTON ISLAND; INTRUSIVE ROCKS; ELEPHANT ISLAND; LASSITER COAST; POLAR WANDER</t>
  </si>
  <si>
    <t>Understanding the tectonic framework of the Antarctic Peninsula is hindered by a paucity of paleomagnetic data from key locations. In this study, we present paleomagnetic data from the South Shetland Islands, to the northwest of the Antarctic Peninsula, which provides valuable paleoposition constraints on the Western domain of the Antarctic Peninsula. We report a key reliable paleopole (58.1 degrees S, 354.3 degrees E, A(95) = 6.3 degrees) from Livingston Island in the South Shetland Islands at similar to 102 Ma. Plate reconstruction models from the Early Cretaceous attach the South Shetland Islands to the Pacific margin of southern Patagonia-Fuegian Andes at similar to 140 Ma. The South Shetland Islands then experienced southward translation to its current position to the northwest of the Antarctic Peninsula following counterclockwise rotation during similar to 100-90 Ma. A similar counterclockwise rotation has also been identified from southern Patagonia-Fuegian Andes but is absent in the Antarctic Peninsula, suggesting a direct affinity between the South Shetland Islands and southern Patagonia-Fuegian Andes. However, the consistent, almost northward Cretaceous paleomagnetic declination in the Antarctic Peninsula, and the near-synchronous tectonic-magmatic history between the Antarctic Peninsula and the southern Patagonia-Fuegian Andes support an autochthonous continental subduction model for most of the Antarctic Peninsula.</t>
  </si>
  <si>
    <t>[Gao, Liang; Zhao, Yue] China Univ Geosci, Sch Ocean Sci, Beijing, Peoples R China; [Gao, Liang; Pei, Junling; Zhao, Yue; Liu, Xiaochun; Zhang, Shuan-Hong; Liu, Jian-Min] Minist Land &amp; Resources, Key Lab Paleomagnetism &amp; Tecton Reconstruct, Beijing, Peoples R China; [Pei, Junling; Zhao, Yue; Liu, Xiaochun; Zhang, Shuan-Hong; Liu, Jian-Min] Chinese Acad Geol Sci, Inst Geomech, Beijing, Peoples R China; [Yang, Zhenyu] Capital Normal Univ, Coll Resources Environm &amp; Tourism, Beijing, Peoples R China; [Riley, Teal R.] British Antarctic Survey, Cambridge, England</t>
  </si>
  <si>
    <t>China University of Geosciences; Ministry of Natural Resources of the People's Republic of China; China Geological Survey; Chinese Academy of Geological Sciences; Institute of Geomechanics, Chinese Academy of Geological Sciences; Capital Normal University; UK Research &amp; Innovation (UKRI); Natural Environment Research Council (NERC); NERC British Antarctic Survey</t>
  </si>
  <si>
    <t>Gao, L (corresponding author), China Univ Geosci, Sch Ocean Sci, Beijing, Peoples R China.;Gao, L; Pei, JL (corresponding author), Minist Land &amp; Resources, Key Lab Paleomagnetism &amp; Tecton Reconstruct, Beijing, Peoples R China.;Pei, JL (corresponding author), Chinese Acad Geol Sci, Inst Geomech, Beijing, Peoples R China.</t>
  </si>
  <si>
    <t>lgao@live.cn; peijunling@gmail.com</t>
  </si>
  <si>
    <t>Zhang, Shuan-Hong/G-6488-2010</t>
  </si>
  <si>
    <t>Zhang, Shuan-Hong/0000-0002-2177-9039; Pei, Junling/0000-0003-4046-3432; Riley, Teal/0000-0002-3333-5021; Gao, Liang/0000-0003-3741-9377</t>
  </si>
  <si>
    <t>Natural Science Foundation of China (NSFC) [41930218, 42076223, 41706222]; National Key R&amp;D Program of China [2018YFC1406904]; Fundamental Research Funds for the Central Universities [35832020094]; Key Laboratory of Paleomagnetism and Tectonic Reconstruction, Ministry of Land and Resources [KLPTR-03]; 111 project [B20011]; Antarctic Administration of China; Polar Research Institute of China; Chinese Antarctic Great Wall Station</t>
  </si>
  <si>
    <t>Natural Science Foundation of China (NSFC)(National Natural Science Foundation of China (NSFC)); National Key R&amp;D Program of China; Fundamental Research Funds for the Central Universities(Fundamental Research Funds for the Central Universities); Key Laboratory of Paleomagnetism and Tectonic Reconstruction, Ministry of Land and Resources; 111 project(Ministry of Education, China - 111 Project); Antarctic Administration of China; Polar Research Institute of China; Chinese Antarctic Great Wall Station</t>
  </si>
  <si>
    <t>This research was jointly funded by the Natural Science Foundation of China (NSFC) (41930218), the National Key R&amp;D Program of China (2018YFC1406904), the Natural Science Foundation of China (NSFC) (42076223, 41706222), the Fundamental Research Funds for the Central Universities (35832020094), the open foundation project (KLPTR-03) of the Key Laboratory of Paleomagnetism and Tectonic Reconstruction, Ministry of Land and Resources, and the 111 project (B20011). We wish to thank the Editor Mark J. Dekkers, Associate Editor Agnes Kontny, Christine Smith Siddoway, Anne Grunow and another two anonymous reviewers for their constructive reviews of the manuscript. We are grateful for the supports from the Antarctic Administration of China, the Polar Research Institute of China and the Chinese Antarctic Great Wall Station. We sincerely thank all members of the 32nd (2015-2016), 33rd (2016-2017) Chinese National Antarctic Research Expedition, the Sino-Chilean Antarctic Expedition and the crews of Betanzos for their help during the fieldwork. Special thanks are due to Jose Retamales of the University of Magallanes, Marcelo Leppe of the Instituto Antartico Chileno (INACH) for their support during the expeditions.</t>
  </si>
  <si>
    <t>e2021JB022503</t>
  </si>
  <si>
    <t>10.1029/2021JB022503</t>
  </si>
  <si>
    <t>WOS:000723102600056</t>
  </si>
  <si>
    <t>Glasl, B; Haskell, JB; Aires, T; Serrao, EA; Bourne, DG; Webster, NS; Frade, PR</t>
  </si>
  <si>
    <t>Glasl, Bettina; Haskell, Jasmine B.; Aires, Tania; Serrao, Ester A.; Bourne, David G.; Webster, Nicole S.; Frade, Pedro R.</t>
  </si>
  <si>
    <t>Microbial Surface Biofilm Responds to the Growth-Reproduction-Senescence Cycle of the Dominant Coral Reef Macroalgae Sargassum spp.</t>
  </si>
  <si>
    <t>LIFE-BASEL</t>
  </si>
  <si>
    <t>macroalgae microbiome; microbialization; 16S rRNA gene amplicon sequencing; metagenome assembled genomes; coral reefs</t>
  </si>
  <si>
    <t>GREAT-BARRIER-REEF; MARINE MACROALGAE; PHASE-SHIFTS; DIVERSITY; SEAWEED; ALGAE; CYANOBACTERIA; BIODIVERSITY; COMPETITION; RESILIENCE</t>
  </si>
  <si>
    <t>Macroalgae play an intricate role in microbial-mediated coral reef degradation processes due to the release of dissolved nutrients. However, temporal variabilities of macroalgal surface biofilms and their implication on the wider reef system remain poorly characterized. Here, we study the microbial biofilm of the dominant reef macroalgae Sargassum over a period of one year at an inshore Great Barrier Reef site (Magnetic Island, Australia). Monthly sampling of the Sargassum biofilm links the temporal taxonomic and putative functional metabolic microbiome changes, examined using 16S rRNA gene amplicon and metagenomic sequencing, to the pronounced growth-reproduction-senescence cycle of the host. Overall, the macroalgal biofilm was dominated by the heterotrophic phyla Firmicutes (35% &amp; PLUSMN; 5.9% SD) and Bacteroidetes (12% &amp; PLUSMN; 0.6% SD); their relative abundance ratio shifted significantly along the annual growth-reproduction-senescence cycle of Sargassum. For example, Firmicutes were 1.7 to 3.9 times more abundant during host growth and reproduction cycles than Bacteroidetes. Both phyla varied in their carbohydrate degradation capabilities; hence, temporal fluctuations in the carbohydrate availability are potentially linked to the observed shift. Dominant heterotrophic macroalgal biofilm members, such as Firmicutes and Bacteroidetes, are implicated in exacerbating or ameliorating the release of dissolved nutrients into the ambient environment, though their contribution to microbial-mediated reef degradation processes remains to be determined.</t>
  </si>
  <si>
    <t>[Glasl, Bettina] Univ Vienna, Div Microbial Ecol, Ctr Microbiol &amp; Environm Syst Sci, A-10303 Vienna, Austria; [Haskell, Jasmine B.; Aires, Tania; Serrao, Ester A.; Frade, Pedro R.] Univ Algarve, CCMAR Ctr Marine Sci, CIMAR, P-8005139 Faro, Portugal; [Bourne, David G.; Webster, Nicole S.] Australian Inst Marine Sci, Townsville, Qld 4810, Australia; [Bourne, David G.] James Cook Univ, Coll Sci &amp; Engn, Townsville, Qld 4811, Australia; [Webster, Nicole S.] Univ Queensland, Australian Ctr Ecogen, Brisbane, Qld 4072, Australia; [Webster, Nicole S.] Australian Antarctic Div, Hobart, Tas 7050, Australia; [Frade, Pedro R.] Nat Hist Museum Vienna, Zool Dept 3, A-1010 Vienna, Austria</t>
  </si>
  <si>
    <t>University of Vienna; Universidade do Algarve; Australian Institute of Marine Science; James Cook University; University of Queensland; Australian Antarctic Division</t>
  </si>
  <si>
    <t>Glasl, B (corresponding author), Univ Vienna, Div Microbial Ecol, Ctr Microbiol &amp; Environm Syst Sci, A-10303 Vienna, Austria.</t>
  </si>
  <si>
    <t>bettina.glasl@univie.ac.at; a62825@ualg.pt; taires@ualg.pt; eserrao@ualg.pt; david.bourne@jcu.edu.au; nicole.webster@awe.gov.au; pedro.frade@nhm-wien.ac.at</t>
  </si>
  <si>
    <t>Bourne, David G/B-5073-2008; Serrao, Ester A/C-6686-2012</t>
  </si>
  <si>
    <t>Serrao, Ester A/0000-0003-1316-658X; Rodrigues Frade, Pedro/0000-0002-4010-255X; Haskell, Jasmine/0009-0007-7478-7909; Glasl, Bettina/0000-0002-6812-868X</t>
  </si>
  <si>
    <t>Bioplatforms Australia through the Australian Government National Collaborative Research Infrastructure Strategy (NCRIS); Advance Queensland PhD Scholarship; Austrian Science Fund (FWF) [T 1218]; Portuguese Science and Technology Foundation (FCT) [SFRH/BDP/110285/2015, SFRH/BSAB/150485/2019, SFRH/BPD/116774/2016, UID/Multi/04326/2020]; Fundação para a Ciência e a Tecnologia [SFRH/BPD/116774/2016] Funding Source: FCT</t>
  </si>
  <si>
    <t>Bioplatforms Australia through the Australian Government National Collaborative Research Infrastructure Strategy (NCRIS)(Australian GovernmentDepartment of Industry, Innovation and Science); Advance Queensland PhD Scholarship; Austrian Science Fund (FWF)(Austrian Science Fund (FWF)); Portuguese Science and Technology Foundation (FCT)(Fundacao para a Ciencia e a Tecnologia (FCT)); Fundação para a Ciência e a Tecnologia(Fundacao para a Ciencia e a Tecnologia (FCT))</t>
  </si>
  <si>
    <t>The Australian Microbiome Initiative supported the generation of data used in this publication. The Australian Microbiome Initiative is supported by funding from Bioplatforms Australia through the Australian Government National Collaborative Research Infrastructure Strategy (NCRIS). The study was further funded by the Advance Queensland PhD Scholarship and by the Austrian Science Fund (FWF) [T 1218] awarded to B.G. For the purpose of open access, B.G. has applied a CC BY public copyright license to any Author Accepted Manuscript version arising from this submission. P.R.F., T.A. and E.A.S. were supported by the Portuguese Science and Technology Foundation (FCT) through fellowships SFRH/BDP/110285/2015, SFRH/BSAB/150485/2019, SFRH/BPD/116774/2016 and UID/Multi/04326/2020 to Centre of Marine Sciences.</t>
  </si>
  <si>
    <t>2075-1729</t>
  </si>
  <si>
    <t>Life-Basel</t>
  </si>
  <si>
    <t>10.3390/life11111199</t>
  </si>
  <si>
    <t>Biology; Microbiology</t>
  </si>
  <si>
    <t>Life Sciences &amp; Biomedicine - Other Topics; Microbiology</t>
  </si>
  <si>
    <t>XF9ZD</t>
  </si>
  <si>
    <t>WOS:000724421200001</t>
  </si>
  <si>
    <t>Murray, AE; Lo, CC; Daligault, HE; Avalon, NE; Read, RW; Davenport, KW; Higham, ML; Kunde, Y; Dichosa, AEK; Baker, BJ; Chain, PSG</t>
  </si>
  <si>
    <t>Murray, Alison E.; Lo, Chien-Chi; Daligault, Hajnalka E.; Avalon, Nicole E.; Read, Robert W.; Davenport, Karen W.; Higham, Mary L.; Kunde, Yuliya; Dichosa, Armand E. K.; Baker, Bill J.; Chain, Patrick S. G.</t>
  </si>
  <si>
    <t>Discovery of an Antarctic Ascidian-Associated Uncultivated Verrucomicrobia with Antimelanoma Palmerolide Biosynthetic Potential</t>
  </si>
  <si>
    <t>Antarctic; Synoicihabitans palmerolidicus; Synoicum adareanum; Verrucomicrobia; anticancer; ascidian natural product; biosynthetic gene cluster; microbiome metagenome; palmerolide; secondary metabolite</t>
  </si>
  <si>
    <t>GENE-CLUSTER; NATURAL-PRODUCTS; MARINE; DIVERSITY; GENOMES; IDENTIFICATION; METAGENOMES; COMMUNITIES; ALIGNMENT; SYMBIONT</t>
  </si>
  <si>
    <t>The Antarctic marine ecosystem harbors a wealth of biological and chemical innovation that has risen in concert over millennia since the isolation of the continent and formation of the Antarctic circumpolar current. Scientific inquiry into the novelty of marine natural products produced by Antarctic benthic invertebrates led to the discovery of a bioactive macrolide, palmerolide A, that has specific activity against melanoma and holds considerable promise as an anticancer therapeutic. While this compound was isolated from the Antarctic ascidian Synoicum adareanum, its biosynthesis has since been hypothesized to be microbially mediated, given structural similarities to microbially produced hybrid nonribosomal peptide-polyketide macrolides. Here, we describe a metagenome-enabled investigation aimed at identifying the biosynthetic gene cluster (BGC) and palmerolide A-producing organism. A 74-kbp candidate BGC encoding the multimodular enzymatic machinery (hybrid type I-trans-AT polyketide synthase-nonribosomal peptide synthetase and tailoring functional domains) was identified and found to harbor key features predicted as necessary for palmerolide A biosynthesis. Surveys of ascidian microbiome samples targeting the candidate BGC revealed a high correlation between palmerolide gene targets and a single 16S rRNA gene variant (R = 0.83 to 0.99). Through repeated rounds of metagenome sequencing followed by binning contigs into metagenome-assembled genomes, we were able to retrieve a nearly complete genome (10 contigs) of the BGC-producing organism, a novel verrucomicrobium within the Opitutaceae family that we propose here as Candidatus Synoicihabitans palmerolidicus. The refined genome assembly harbors five highly similar BGC copies, along with structural and functional features that shed light on the host-associated nature of this unique bacterium. IMPORTANCE Palmerolide A has potential as a chemotherapeutic agent to target melanoma. We interrogated the microbiome of the Antarctic ascidian, Synoicum adareanum, using a cultivation-independent high-throughput sequencing and bioinformatic strategy. The metagenome-encoded biosynthetic machinery predicted to produce palmerolide A was found to be associated with the genome of a member of the S. adareanum core microbiome. Phylogenomic analysis suggests the organism represents a new deeply branching genus, Candidatus Synoicihabitans palmerolidicus, in the Opitutaceae family of the Verrucomicrobia phylum. The Ca. Synoicihabitans palmerolidicus 4.29-Mb genome encodes a repertoire of carbohydrate-utilizing and transport pathways, a chemotaxis system, flagellar biosynthetic capacity, and other regulatory elements enabling its ascidian-associated lifestyle. The palmerolide producer's genome also contains five distinct copies of the large palmerolide biosynthetic gene cluster that may provide structural complexity of palmerolide variants.</t>
  </si>
  <si>
    <t>[Murray, Alison E.; Read, Robert W.; Higham, Mary L.] Desert Res Inst, Div Earth &amp; Ecosyst Sci, Reno, NV 89512 USA; [Lo, Chien-Chi; Daligault, Hajnalka E.; Davenport, Karen W.; Kunde, Yuliya; Dichosa, Armand E. K.; Chain, Patrick S. G.] Los Alamos Natl Lab, Biosci Div, Los Alamos, NM 87545 USA; [Avalon, Nicole E.; Baker, Bill J.] Univ S Florida, Dept Chem, Tampa, FL 33620 USA</t>
  </si>
  <si>
    <t>Nevada System of Higher Education (NSHE); Desert Research Institute NSHE; United States Department of Energy (DOE); Los Alamos National Laboratory; State University System of Florida; University of South Florida</t>
  </si>
  <si>
    <t>Murray, AE (corresponding author), Desert Res Inst, Div Earth &amp; Ecosyst Sci, Reno, NV 89512 USA.;Chain, PSG (corresponding author), Los Alamos Natl Lab, Biosci Div, Los Alamos, NM 87545 USA.;Baker, BJ (corresponding author), Univ S Florida, Dept Chem, Tampa, FL 33620 USA.</t>
  </si>
  <si>
    <t>alison.murray@dri.edu; bjbaker@usf.edu; pchain@lanl.gov</t>
  </si>
  <si>
    <t>Baker, Bill/N-4312-2019</t>
  </si>
  <si>
    <t>Murray, Alison E/0000-0001-5790-7584; Higham, Mary/0000-0001-8313-2137; Davenport, Karen/0000-0002-2740-1344; Read, Robert/0000-0002-6967-5634; Avalon, Nicole/0000-0003-3588-892X; Lo, Chien-Chi/0000-0003-3470-1078; Dichosa, Armand/0000-0003-0640-6629; Daligault, Hajnalka/0000-0001-5937-9869; Chain, Patrick/0000-0003-3949-3634; Baker, Bill/0000-0003-3033-5779</t>
  </si>
  <si>
    <t>National Institutes of Health [CA205932]; National Science Foundation [OPP-0442857, ANT-0838776, PLR-1341339]; Desert Research Institute (Institute Project Assignment)</t>
  </si>
  <si>
    <t>National Institutes of Health(United States Department of Health &amp; Human ServicesNational Institutes of Health (NIH) - USA); National Science Foundation(National Science Foundation (NSF)); Desert Research Institute (Institute Project Assignment)</t>
  </si>
  <si>
    <t>Support for this research was provided in part by the National Institutes of Health award (CA205932) to A.E.M., B.J.B., and P.S.G.C., with additional support from National Science Foundation awards (OPP-0442857, ANT-0838776, and PLR-1341339) to B.J.B., and Desert Research Institute (Institute Project Assignment) to A.E.M.</t>
  </si>
  <si>
    <t>e00759-21</t>
  </si>
  <si>
    <t>10.1128/mSphere.00759-21</t>
  </si>
  <si>
    <t>WOS:000735403100002</t>
  </si>
  <si>
    <t>Fripiat, F; Martínez-García, A; Marconi, D; Fawcett, SE; Kopf, SH; Luu, VH; Rafter, PA; Zhang, R; Sigman, DM; Haug, GH</t>
  </si>
  <si>
    <t>Fripiat, Francois; Martinez-Garcia, Alfredo; Marconi, Dario; Fawcett, Sarah E.; Kopf, Sebastian H.; Luu, Victoria H.; Rafter, Patrick A.; Zhang, Run; Sigman, Daniel M.; Haug, Gerald H.</t>
  </si>
  <si>
    <t>Nitrogen isotopic constraints on nutrient transport to the upper ocean</t>
  </si>
  <si>
    <t>SOUTHERN-OCEAN; OVERTURNING CIRCULATION; EXPORT PRODUCTION; GLOBAL PATTERNS; NITRATE; OXYGEN; WATER; FRACTIONATION; ASSIMILATION; SINKING</t>
  </si>
  <si>
    <t>Ocean circulation supplies the surface ocean with the nutrients that fuel global ocean productivity. However, the mechanisms and rates of water and nutrient transport from the deep ocean to the upper ocean are poorly known. Here, we use the nitrogen isotopic composition of nitrate to place observational constraints on nutrient transport from the Southern Ocean surface into the global pycnocline (roughly the upper 1.2 km), as opposed to directly from the deep ocean. We estimate that 62 +/- 5% of the pycnocline nitrate and phosphate originate from the Southern Ocean. Mixing, as opposed to advection, accounts for most of the gross nutrient input to the pycnocline. However, in net, mixing carries nutrients away from the pycnocline. Despite the quantitative dominance of mixing in the gross nutrient transport, the nutrient richness of the pycnocline relies on the large-scale advective flow, through which nutrient-rich water is converted to nutrient-poor surface water that eventually flows to the North Atlantic. Much of the nutrient transport from the deep ocean into the ocean's upper water column occurs through the Southern Ocean, with mixing and advection playing complementary roles, according to a box model analysis of the isotopic composition of ocean nitrate.</t>
  </si>
  <si>
    <t>[Fripiat, Francois; Martinez-Garcia, Alfredo; Haug, Gerald H.] Max Planck Inst Chem, Mainz, Germany; [Fripiat, Francois] Univ Libre Bruxelles, Dept Geosci Environm &amp; Soc, Brussels, Belgium; [Marconi, Dario; Luu, Victoria H.; Sigman, Daniel M.] Princeton Univ, Dept Geosci, Princeton, NJ 08544 USA; [Fawcett, Sarah E.] Univ Cape Town, Dept Oceanog, Rondebosch, South Africa; [Fawcett, Sarah E.] Univ Cape Town, Marine &amp; Antarctic Res Ctr Innovat &amp; Sustainabil, Rondebosch, South Africa; [Kopf, Sebastian H.] Univ Colorado, Dept Geol Sci, Boulder, CO 80309 USA; [Rafter, Patrick A.] Univ Calif Irvine, Dept Earth Syst Sci, Irvine, CA USA; [Zhang, Run] Xiamen Univ, Coll Ocean &amp; Earth Sci, Xiamen, Peoples R China</t>
  </si>
  <si>
    <t>Max Planck Society; Universite Libre de Bruxelles; Princeton University; University of Cape Town; University of Cape Town; University of Colorado System; University of Colorado Boulder; University of California System; University of California Irvine; Xiamen University</t>
  </si>
  <si>
    <t>Fripiat, F (corresponding author), Max Planck Inst Chem, Mainz, Germany.;Fripiat, F (corresponding author), Univ Libre Bruxelles, Dept Geosci Environm &amp; Soc, Brussels, Belgium.</t>
  </si>
  <si>
    <t>francois.fripiat@ulb.be</t>
  </si>
  <si>
    <t>Zhang, Run/E-3534-2015; Fripiat, François/ABB-8918-2021; Sigman, Daniel M./A-2649-2008; Martinez-Garcia, Alfredo/A-6244-2010; Sigman, Daniel M./IYJ-2613-2023; Rafter, Patrick A/I-3301-2012</t>
  </si>
  <si>
    <t>Sigman, Daniel M./0000-0002-7923-1973; Martinez-Garcia, Alfredo/0000-0002-7206-5079; Kopf, Sebastian/0000-0002-2044-0201; Fripiat, Francois/0000-0002-2591-6301; Fawcett, Sarah/0000-0002-0878-6496</t>
  </si>
  <si>
    <t>Max Planck Society; US NSF [OCE-0960802, 1851430, 1736652, 2049416, OCE-2015647, OCE-2032340, OCE-2041539]; South African NRF; SANAP [129232, 110735, 115335]; Royal Society/AAS FLAIR fellowship; Agouron Institute fellowship; Directorate For Geosciences; Division Of Ocean Sciences [2049416, 1851430] Funding Source: National Science Foundation; Directorate For Geosciences; Division Of Ocean Sciences [1736652] Funding Source: National Science Foundation</t>
  </si>
  <si>
    <t>Max Planck Society(Max Planck Society); US NSF(National Science Foundation (NSF)); South African NRF(National Research Foundation - South Africa); SANAP; Royal Society/AAS FLAIR fellowship; Agouron Institute fellowship; Directorate For Geosciences; Division Of Ocean Sciences(National Science Foundation (NSF)NSF - Directorate for Geosciences (GEO)); Directorate For Geosciences; Division Of Ocean Sciences(National Science Foundation (NSF)NSF - Directorate for Geosciences (GEO))</t>
  </si>
  <si>
    <t>The authors thank the ship captains, crews and chief scientists (GOSHIP and GEOTRACES) who supported the sampling activities during the various field programs that contributed to this study, and S. Oleynik and M.A. Weigand (Princeton University), and B. Hinnenberg and F. Rubach (MPIC) for analytical advice and support and for help with sample processing. The data analysis and modeling components of this study, as well as a portion of the nitrate isotope measurements, were funded by the Max Planck Society. D.M.S. acknowledges US NSF grants OCE-0960802, 1851430, 1736652 and 2049416. S.E.F. acknowledges the South African NRF and SANAP (through grants 129232, 110735 and 115335), and the support of a Royal Society/AAS FLAIR fellowship. P.A.R. acknowledges US NSF grants OCE-2015647 and OCE-2032340. SHK acknowledges US NSF grant OCE2041539 and the support of an Agouron Institute fellowship.</t>
  </si>
  <si>
    <t>10.1038/s41561-021-00836-8</t>
  </si>
  <si>
    <t>WR3AY</t>
  </si>
  <si>
    <t>WOS:000713553400003</t>
  </si>
  <si>
    <t>Sheng, Q; Liu, SM; Cheng, JH; Li, CY; Fu, HH; Zhang, XY; Song, XY; McMinn, A; Zhang, YZ; Su, HN; Chen, XL</t>
  </si>
  <si>
    <t>Sheng, Qi; Liu, Si-Min; Cheng, Jun-Hui; Li, Chun-Yang; Fu, Hui-Hui; Zhang, Xi-Ying; Song, Xiao-Yan; McMinn, Andrew; Zhang, Yu-Zhong; Su, Hai-Nan; Chen, Xiu-Lan</t>
  </si>
  <si>
    <t>Lack of N-Terminal Segment of the Flagellin Protein Results in the Production of a Shortened Polar Flagellum in the Deep-Sea Sedimentary Bacterium Pseudoalteromonas sp. Strain SM9913</t>
  </si>
  <si>
    <t>Pseudoalteromonas; flagellin; N-terminal segment; ND0 and ND1 domains; flagellar assembly; flagellar length; bacterial motility; swimming; flagellin length</t>
  </si>
  <si>
    <t>SYSTEM; EXPORT; GENE; PROTOFILAMENT; FILAMENT</t>
  </si>
  <si>
    <t>Bacterial polar flagella, comprised of flagellin, are essential for bacterial motility. Pseudoalteromonas sp. strain SM9913 is a bacterium isolated from deep-sea sediments. Unlike other Pseudoalteromonas strains that have a long polar flagellum, strain SM9913 has an abnormally short polar flagellum. Here, we investigated the underlying reason for the short flagellum and found that a single-base mutation was responsible for the altered flagellar assembly. This mutation leads to the fragmentation of the flagellin gene into two genes, PSM_A2281, encoding the core segment and the C-terminal segment, and PSM_A2282, encoding the N-terminal segment, and only gene PSM_A2281 is involved in the production of the short polar flagellum. When a chimeric gene of PSM_A2281 and PSM_A2282 encoding an intact flagellin, A2281::82, was expressed, a long polar flagellum was produced, indicating that the N-terminal segment of flagellin contributes to the production of a polar flagellum of a normal length. Analyses of the simulated structures of A2281 and A2281::82 and that of the flagellar filament assembled with A2281::82 indicate that due to the lack of two alpha-helices, the core of the flagellar filament assembled with A2281 is incomplete and is likely too weak to support the stability and movement of a long flagellum. This mutation in strain SM9913 had little effect on its growth and only a small effect on its swimming motility, implying that strain SM9913 can live well with this mutation in natural sedimentary environments. This study provides a better understanding of the assembly and production of bacterial flagella. IMPORTANCE Polar flagella, which are essential organelles for bacterial motility, are comprised of multiple flagellin subunits. A flagellin molecule contains an N-terminal segment, a core segment, and a C-terminal segment. The results of this investigation of the deep-sea sedimentary bacterium Pseudoalteromonas sp. strain SM9913 demonstrate that a single-base mutation in the flagellin gene leads to the production of an incomplete flagellin without the N-terminal segment and that the loss of the N-terminal segment of the flagellin protein results in the production of a shortened polar flagellar filament. Our results shed light on the important function of the N-terminal segment of flagellin in the assembly and stability of bacterial flagellar filament.</t>
  </si>
  <si>
    <t>[Sheng, Qi; Liu, Si-Min; Cheng, Jun-Hui; Zhang, Xi-Ying; Su, Hai-Nan; Chen, Xiu-Lan] Shandong Univ, State Key Lab Microbial Technol, Marine Biotechnol Res Ctr, Qingdao, Peoples R China; [Li, Chun-Yang; Fu, Hui-Hui; McMinn, Andrew; Zhang, Yu-Zhong] Ocean Univ China, Coll Marine Life Sci, Qingdao, Peoples R China; [Li, Chun-Yang; Fu, Hui-Hui; McMinn, Andrew; Zhang, Yu-Zhong] Ocean Univ China, Frontiers Sci Ctr Deep Ocean Multispheres &amp; Earth, Qingdao, Peoples R China; [Li, Chun-Yang; Zhang, Yu-Zhong; Su, Hai-Nan; Chen, Xiu-Lan] Pilot Natl Lab Marine Sci &amp; Technol, Lab Marine Biol &amp; Biotechnol, Qingdao, Peoples R China; [Song, Xiao-Yan; Zhang, Yu-Zhong] Shandong Univ, State Key Lab Microbial Technol, Qingdao, Peoples R China; [McMinn, Andrew] Univ Tasmania, Inst Marine &amp; Antarctic Studies, Hobart, Tas, Australia</t>
  </si>
  <si>
    <t>Shandong University; Ocean University of China; Ocean University of China; Laoshan Laboratory; Shandong University; University of Tasmania</t>
  </si>
  <si>
    <t>Su, HN; Chen, XL (corresponding author), Shandong Univ, State Key Lab Microbial Technol, Marine Biotechnol Res Ctr, Qingdao, Peoples R China.;Su, HN; Chen, XL (corresponding author), Pilot Natl Lab Marine Sci &amp; Technol, Lab Marine Biol &amp; Biotechnol, Qingdao, Peoples R China.</t>
  </si>
  <si>
    <t>suhn@sdu.edu.cn; cxl0423@sdu.edu.cn</t>
  </si>
  <si>
    <t>yan, xiao/JVP-0766-2024; Li, Chun-Yang/JBS-2194-2023; Zhang, Xi/HJH-1211-2023; McMinn, Andrew/A-9910-2008; sheng, qi/KHT-2652-2024; Wang, zijun/JNS-5435-2023</t>
  </si>
  <si>
    <t>Li, Chun-Yang/0000-0002-1151-4897; Zhang, Yu-Zhong/0000-0002-2017-1005; McMinn, Andrew/0000-0002-2133-3854</t>
  </si>
  <si>
    <t>National Science Foundation of China [91851205, 31630012, U1706207, U2006205, 42076229, 31900023, 31870052, 42076151]; National Key Research and Development Program of China [2018YFC1406700, 2016YFA0601303, 2018YFC1406701, 2018YFC1406504]; Major Scientific and Technological Innovation Project (MSTIP) of Shandong Province [2019JZZY010817]; Program of Shandong for Taishan Scholars [tspd20181203]</t>
  </si>
  <si>
    <t>National Science Foundation of China(National Natural Science Foundation of China (NSFC)); National Key Research and Development Program of China; Major Scientific and Technological Innovation Project (MSTIP) of Shandong Province; Program of Shandong for Taishan Scholars</t>
  </si>
  <si>
    <t>We thank Haiyan Yu, Qi Chen, and Xiaomin Zhao from the Core Facilities for Life and Environmental Sciences of Shandong University for technical help.; This work was supported by the National Science Foundation of China (grants 91851205, 31630012, U1706207, U2006205, 42076229, 31900023, 31870052, and 42076151), the National Key Research and Development Program of China (2018YFC1406700, 2016YFA0601303, 2018YFC1406701, and 2018YFC1406504), the Major Scientific and Technological Innovation Project (MSTIP) of Shandong Province (2019JZZY010817), and the Program of Shandong for Taishan Scholars (tspd20181203).; Q.S., S.-M.L., and J.-H.C. performed all experiments and analyzed the data. C.-Y.L., H.-H.F., X.-Y.Z., X.-Y.S., and H.-N.S. directed the experiments. Q.S. wrote the manuscript. Y.-Z.Z., H.-N.S., and X.-L.C. designed the research. X.-L.C. and A.M. edited the manuscript.</t>
  </si>
  <si>
    <t>e01527-21</t>
  </si>
  <si>
    <t>10.1128/AEM.01527-21</t>
  </si>
  <si>
    <t>WH8MX</t>
  </si>
  <si>
    <t>WOS:000707925700019</t>
  </si>
  <si>
    <t>Ford, MP; Santhanakrishnan, A</t>
  </si>
  <si>
    <t>Ford, Mitchell P.; Santhanakrishnan, Arvind</t>
  </si>
  <si>
    <t>On the role of phase lag in multi-appendage metachronal swimming of euphausiids</t>
  </si>
  <si>
    <t>BIOINSPIRATION &amp; BIOMIMETICS</t>
  </si>
  <si>
    <t>Metachronal Swimming; metachronal paddling; rowing; krill swimming; aquatic locomotion</t>
  </si>
  <si>
    <t>ANTARCTIC KRILL; KINEMATICS; PROPULSION; HYDRODYNAMICS; COORDINATION; AGGREGATION; PATTERNS; SUPERBA; ESCAPE; JET</t>
  </si>
  <si>
    <t>Metachronal paddling is a common method of drag-based aquatic propulsion, in which a series of swimming appendages are oscillated, with the motion of each appendage phase-shifted relative to the neighboring appendages. Ecologically and economically important euphausiid species such as Antarctic krill (Euphausia superba) swim constantly by stroking their paddling appendages (pleopods), with locomotion accounting for the bulk of their metabolic expenditure. They tailor their swimming gaits for behavioral and energetic needs by changing pleopod kinematics. The functional importance of inter-pleopod phase lag (phi) to metachronal swimming performance and wake structure is unknown. To examine this relation, we developed a geometrically and dynamically scaled robot ('krillbot') capable of self-propulsion. Krillbot pleopods were prescribed to mimic published kinematics of fast-forward swimming (FFW) and hovering (HOV) gaits of E. superba, and the Reynolds number and Strouhal number of the krillbot matched well with those calculated for freely-swimming E. superba. In addition to examining published kinematics with uneven phi between pleopod pairs, we modified E. superba kinematics to uniformly vary phi from 0% to 50% of the cycle. Swimming speed and thrust were largest for FFW with phi between 15%-25%, coincident with phi range observed in FFW gait of E. superba. In contrast to synchronous rowing (phi = 0%) where distances between hinged joints of adjacent pleopods were nearly constant throughout the cycle, metachronal rowing (phi &gt; 0%) brought adjacent pleopods closer together and moved them farther apart. This factor minimized body position fluctuation and augmented metachronal swimming speed. Though swimming speed was lowest for HOV, a ventrally angled downward jet was generated that can assist with weight support during feeding. In summary, our findings show that inter-appendage phase lag can drastically alter both metachronal swimming speed and the large-scale wake structure.</t>
  </si>
  <si>
    <t>[Ford, Mitchell P.; Santhanakrishnan, Arvind] Oklahoma State Univ, Sch Mech &amp; Aerosp Engn, Stillwater, OK 74078 USA</t>
  </si>
  <si>
    <t>Oklahoma State University System; Oklahoma State University - Stillwater</t>
  </si>
  <si>
    <t>Santhanakrishnan, A (corresponding author), Oklahoma State Univ, Sch Mech &amp; Aerosp Engn, Stillwater, OK 74078 USA.</t>
  </si>
  <si>
    <t>askrish@okstate.edu</t>
  </si>
  <si>
    <t>Santhanakrishnan, Arvind/0000-0003-1800-8361; Ford, Mitchell/0000-0001-9746-0238</t>
  </si>
  <si>
    <t>National Science Foundation [CBET 1706762]</t>
  </si>
  <si>
    <t>This work was supported by the National Science Foundation (Grant No. CBET 1706762 to AS).</t>
  </si>
  <si>
    <t>IOP PUBLISHING LTD</t>
  </si>
  <si>
    <t>1748-3182</t>
  </si>
  <si>
    <t>1748-3190</t>
  </si>
  <si>
    <t>BIOINSPIR BIOMIM</t>
  </si>
  <si>
    <t>Bioinspir. Biomim.</t>
  </si>
  <si>
    <t>10.1088/1748-3190/abc930</t>
  </si>
  <si>
    <t>Engineering, Multidisciplinary; Materials Science, Biomaterials; Robotics</t>
  </si>
  <si>
    <t>Engineering; Materials Science; Robotics</t>
  </si>
  <si>
    <t>UX3YW</t>
  </si>
  <si>
    <t>WOS:000700779900001</t>
  </si>
  <si>
    <t>Chu, JF; Marynets, K</t>
  </si>
  <si>
    <t>Chu, Jifeng; Marynets, Kateryna</t>
  </si>
  <si>
    <t>Nonlinear Differential Equations Modeling the Antarctic Circumpolar Current</t>
  </si>
  <si>
    <t>JOURNAL OF MATHEMATICAL FLUID MECHANICS</t>
  </si>
  <si>
    <t>Existence; Geophysical flow; Boundary-value problem; Eigenvalues</t>
  </si>
  <si>
    <t>BOUNDARY-VALUE PROBLEM; FLOW; NONRESONANCE; STEADY; WAVES</t>
  </si>
  <si>
    <t>The aim of this paper is to study one class of nonlinear differential equations, which model the Antarctic circumpolar current. We prove the existence results for such equations related to the geophysical relevant boundary conditions. First, based on the weighted eigenvalues and the theory of topological degree, we study the semilinear case. Secondly, the existence results for the sublinear and superlinear cases are proved by fixed point theorems.</t>
  </si>
  <si>
    <t>[Chu, Jifeng] Shanghai Normal Univ, Dept Math, Shanghai 200234, Peoples R China; [Marynets, Kateryna] Delft Univ Technol, Delft Inst Appl Math, Mekelweg 4, NL-2628 CD Delft, Netherlands</t>
  </si>
  <si>
    <t>Shanghai Normal University; Delft University of Technology</t>
  </si>
  <si>
    <t>Chu, JF (corresponding author), Shanghai Normal Univ, Dept Math, Shanghai 200234, Peoples R China.</t>
  </si>
  <si>
    <t>jifengchu@126.com; K.Marynets@tudelft.nl</t>
  </si>
  <si>
    <t>chu, jifeng/D-1414-2013</t>
  </si>
  <si>
    <t>Marynets, Kateryna/0000-0002-0043-6336</t>
  </si>
  <si>
    <t>National Natural Science Foundation of China [12071296, 11671118, 11871273]; Science and Technology Innovation Plan of Shanghai [20JC1414200]</t>
  </si>
  <si>
    <t>National Natural Science Foundation of China(National Natural Science Foundation of China (NSFC)); Science and Technology Innovation Plan of Shanghai</t>
  </si>
  <si>
    <t>Jifeng Chu was supported by the National Natural Science Foundation of China (Grants Nos. 12071296, 11671118 and 11871273) and by Science and Technology Innovation Plan of Shanghai (Grant No. 20JC1414200). The authors are grateful to reviewers for their valuable comments.</t>
  </si>
  <si>
    <t>SPRINGER BASEL AG</t>
  </si>
  <si>
    <t>PICASSOPLATZ 4, BASEL, 4052, SWITZERLAND</t>
  </si>
  <si>
    <t>1422-6928</t>
  </si>
  <si>
    <t>1422-6952</t>
  </si>
  <si>
    <t>J MATH FLUID MECH</t>
  </si>
  <si>
    <t>J. Math. Fluid Mech.</t>
  </si>
  <si>
    <t>10.1007/s00021-021-00618-7</t>
  </si>
  <si>
    <t>Mathematics, Applied; Mechanics; Physics, Fluids &amp; Plasmas</t>
  </si>
  <si>
    <t>Mathematics; Mechanics; Physics</t>
  </si>
  <si>
    <t>UE1UQ</t>
  </si>
  <si>
    <t>WOS:000687681700001</t>
  </si>
  <si>
    <t>Cossi, PF; Ojeda, M; Chiesa, IL; Rimondino, GN; Fraysse, C; Calcagno, J; Pérez, AF</t>
  </si>
  <si>
    <t>Fanny Cossi, Paula; Ojeda, Mariel; Luis Chiesa, Ignacio; Rimondino, Guido Noe; Fraysse, Cintia; Calcagno, Javier; Fernanda Perez, Analia</t>
  </si>
  <si>
    <t>First evidence of microplastics in the Marine Protected Area Namuncura at Burdwood Bank, Argentina: a study on Henricia obesa and Odontaster penicillatus (Echinodermata: Asteroidea)</t>
  </si>
  <si>
    <t>Plastic pollution; Invertebrates; Sea stars; Feeding mode; Southwest Atlantic Ocean</t>
  </si>
  <si>
    <t>DEEP-SEA SEDIMENTS; BENTHIC ORGANISMS; POLLUTION; INGESTION; ENVIRONMENT; IDENTIFICATION; INVERTEBRATES; CONTAMINATION; BIVALVES; STARFISH</t>
  </si>
  <si>
    <t>Large quantities of microplastics end up in the marine environment, constituting a potential threat for many organisms even in remote protected areas where the extent of this type of pollution is still unknown. This study evaluated for the first time the occurrence of microplastics in benthic organisms from the Marine Protected Area Namuncura at Burdwood Bank, Southwest Atlantic Ocean. Microplastics were isolated from the soft tissue of the sea stars Henricia obesa and Odontaster penicillatus using an oxidative treatment with hydrogen peroxide. The chemical composition of the particles was identified with Raman spectroscopy. Fibers and fragments were found in similar proportions in both species. Fibers were identified as semi-synthetic cellulose, while the polymeric composition of fragments was masked by the synthetic pigment Phthalo blue. Over half of the sea stars contained microplastics (61%). In H. obesa, the mean abundance was 1.00 +/- 1.03 particles per individual and 3.34 +/- 4.13 particles per gram, and in O. penicillatus, the mean abundance was 2.70 +/- 2.91 particles per individual and 1.94 +/- 2.09 particles per gram. Fibers were predominantly blue, and all fragments were bluish/turquoise. Microplastic sizes ranged from 24 to 1340 mu m, and most particles (approximately 90%) were less than 1 mm. These results provide a baseline assessment of the abundance and type of microplastics in benthic organisms from this sub-Antarctic protected area and contribute to the scant data on microplastic pollution in the South Atlantic Ocean.</t>
  </si>
  <si>
    <t>[Fanny Cossi, Paula; Ojeda, Mariel; Fraysse, Cintia; Calcagno, Javier; Fernanda Perez, Analia] Univ Maimonides CONICET, Lab Invertebrados Marinos, CCNAA, Hidalgo 775, RA-1405 Buenos Aires, Argentina; [Luis Chiesa, Ignacio] CADIC CONICET, Lab Crustaceos &amp; Ecosistemas Costeros, Ushuaia, Argentina; [Rimondino, Guido Noe] Univ Nacl Cordoba, Inst Invest Fis Quim Cordoba, INFIQC CONICET, Cordoba, Argentina; [Fraysse, Cintia] CADIC CONICET, Lab Ecol Fisiol &amp; Evoluc Organismos Acuat, Ushuaia, Argentina</t>
  </si>
  <si>
    <t>Consejo Nacional de Investigaciones Cientificas y Tecnicas (CONICET); Consejo Nacional de Investigaciones Cientificas y Tecnicas (CONICET); National University of Cordoba; Consejo Nacional de Investigaciones Cientificas y Tecnicas (CONICET)</t>
  </si>
  <si>
    <t>Cossi, PF (corresponding author), Univ Maimonides CONICET, Lab Invertebrados Marinos, CCNAA, Hidalgo 775, RA-1405 Buenos Aires, Argentina.</t>
  </si>
  <si>
    <t>paulacossi@gmail.com</t>
  </si>
  <si>
    <t>Fundacion Cientifica Felipe Fiorellino; CONICET; Universidad Maimonides; Argentine National State</t>
  </si>
  <si>
    <t>Fundacion Cientifica Felipe Fiorellino; CONICET(Consejo Nacional de Investigaciones Cientificas y Tecnicas (CONICET)); Universidad Maimonides; Argentine National State</t>
  </si>
  <si>
    <t>This research was supported by Fundacion Cientifica Felipe Fiorellino and Universidad Maimonides. The scientific cruise was supported through funds of the National Law 26,875 from the Argentine National State. PFC, MO, and CF are on fellowships from CONICET.</t>
  </si>
  <si>
    <t>10.1007/s00300-021-02959-5</t>
  </si>
  <si>
    <t>OCT 2021</t>
  </si>
  <si>
    <t>WV0WO</t>
  </si>
  <si>
    <t>WOS:000713071100001</t>
  </si>
  <si>
    <t>Pineda-Metz, SEA</t>
  </si>
  <si>
    <t>Pineda-Metz, Santiago E. A.</t>
  </si>
  <si>
    <t>Blue carbon pathways in West Antarctic fjords</t>
  </si>
  <si>
    <t>RETREAT</t>
  </si>
  <si>
    <t>[Pineda-Metz, Santiago E. A.] Zent Polarund Meeresforschung, Alfred Wegener Inst Helmholtz, Bremerhaven, Germany</t>
  </si>
  <si>
    <t>Helmholtz Association; Alfred Wegener Institute, Helmholtz Centre for Polar &amp; Marine Research</t>
  </si>
  <si>
    <t>Pineda-Metz, SEA (corresponding author), Zent Polarund Meeresforschung, Alfred Wegener Inst Helmholtz, Bremerhaven, Germany.</t>
  </si>
  <si>
    <t>santiago.pineda.metz@awi.de</t>
  </si>
  <si>
    <t>Pineda Metz, Santiago Esteban Agustin/AAB-4814-2022</t>
  </si>
  <si>
    <t>Pineda Metz, Santiago Esteban Agustin/0000-0001-7780-6449</t>
  </si>
  <si>
    <t>ProjektDEAL</t>
  </si>
  <si>
    <t>Open access funding enabled and organized by ProjektDEAL.</t>
  </si>
  <si>
    <t>10.1111/gcb.15949</t>
  </si>
  <si>
    <t>XG9RU</t>
  </si>
  <si>
    <t>WOS:000712984200001</t>
  </si>
  <si>
    <t>Reum, JCP; Kelble, CR; Harvey, CJ; Wildermuth, RP; Trifonova, N; Lucey, SM; McDonald, PS; Townsend, H</t>
  </si>
  <si>
    <t>Reum, Jonathan C. P.; Kelble, Christopher R.; Harvey, Chris J.; Wildermuth, Robert P.; Trifonova, Neda; Lucey, Sean M.; McDonald, P. Sean; Townsend, Howard</t>
  </si>
  <si>
    <t>Network approaches for formalizing conceptual models in ecosystem-based management</t>
  </si>
  <si>
    <t>BayesianBelief Network; ecosystem-based management; food webs; Fuzzy Cognitive Map; Georges Bank; Mid-Barataria Basin; Pribil of Islands; Qualitative Network Model</t>
  </si>
  <si>
    <t>BAYESIAN BELIEF NETWORKS; ASSESSMENTS; RESPONSES; ECOLOGY</t>
  </si>
  <si>
    <t>Qualitative Network Models (QNMs), Fuzzy Cognitive Maps (FCMs), and Bayesian Belief Networks (BBNs) have been proposed as methods to formalize conceptual models of social-ecological systems and project system responses to management interventions or environmental change. To explore how these different methods might influence conclusions about system dynamics, we assembled conceptual models representing three different coastal systems, adapted themto the network approaches, and evaluated outcomes under scenarios representing increased fishing effort and environmental warming. The sign of projected change was the sameacross the three network models for 31-60% of systemvariables on average. Pairwise agreement between network models was higher, ranging from 33 to 92%; average levels of similarity were comparable between network pairs. Agreement measures based on both the sign and strength of change were substantially worse for all model comparisons. These general patterns were similar across systems and scenarios. Different outcomes between models led to different inferences regarding trade-offs under the scenarios. We recommend deployment of all three methods, when feasible, to better characterize structural uncertainty and leverage insights gained under one framework to inform the others. Improvements in precision will require model refinement through data integration and model validation.</t>
  </si>
  <si>
    <t>[Reum, Jonathan C. P.] NOAA, Alaska Fisheries Sci Ctr, Natl Marine Fisheries Serv, Seattle, WA 98115 USA; [Reum, Jonathan C. P.] Univ Tasmania, Inst Marine &amp; Antarctic Studies, Hobart, Tas, Australia; [Reum, Jonathan C. P.] Univ Tasmania, Ctr Marine Socioecol, Hobart, Tas, Australia; [Kelble, Christopher R.] NOAA, Atlantic Oceanog &amp; Meteorol Lab, Miami, FL 33149 USA; [Harvey, Chris J.] NOAA, Northwest Fisheries Sci Ctr, Natl Marine Fisheries Serv, Seattle, WA USA; [Wildermuth, Robert P.] Univ Massachusetts, Sch Marine Sci &amp; Technol, Dept Fisheries Oceanog, New Bedford, MA USA; [Wildermuth, Robert P.] Univ Calif Santa Cruz, Inst Marine Sci, Santa Cruz, CA 95064 USA; [Wildermuth, Robert P.] NOAA, Southwest Fisheries Sci Ctr, Natl Marine Fisheries Serv, La Jolla, CA USA; [Trifonova, Neda] Univ Aberdeen, Sch Biol Sci, Aberdeen AB24 2TZ, Scotland; [Lucey, Sean M.] NOAA, Northeast Fisheries Sci Ctr, Natl Marine Fisheries Serv, Woods Hole, MA USA; [McDonald, P. Sean] Univ Washington, Sch Aquat &amp; Fishery Sci, Seattle, WA 98122 USA; [McDonald, P. Sean] Univ Washington, Program Environm, Seattle, WA 98195 USA; [Townsend, Howard] NOAA, Office Sci &amp; Technol, Natl Marine Fisheries Serv, Silver Spring, MD USA</t>
  </si>
  <si>
    <t>National Oceanic Atmospheric Admin (NOAA) - USA; University of Tasmania; University of Tasmania; National Oceanic Atmospheric Admin (NOAA) - USA; Atlantic Oceanographic &amp; Meteorological Laboratory (AOML); National Oceanic Atmospheric Admin (NOAA) - USA; University of Massachusetts System; University of California System; University of California Santa Cruz; National Oceanic Atmospheric Admin (NOAA) - USA; University of Aberdeen; National Oceanic Atmospheric Admin (NOAA) - USA; University of Washington; University of Washington Seattle; University of Washington; University of Washington Seattle; National Oceanic Atmospheric Admin (NOAA) - USA</t>
  </si>
  <si>
    <t>Reum, JCP (corresponding author), NOAA, Alaska Fisheries Sci Ctr, Natl Marine Fisheries Serv, Seattle, WA 98115 USA.;Reum, JCP (corresponding author), Univ Tasmania, Inst Marine &amp; Antarctic Studies, Hobart, Tas, Australia.</t>
  </si>
  <si>
    <t>Jonathan.Reum@noaa.gov</t>
  </si>
  <si>
    <t>Kelble, Christopher R/A-8511-2008</t>
  </si>
  <si>
    <t>Trifonova, Neda/0000-0003-3332-4901; Reum, Jonathan/0000-0001-6601-4550; Townsend, Howard/0000-0002-5444-3902</t>
  </si>
  <si>
    <t>NOAA Integrated Ecosystem Assessment Program; Washington Sea Grant, University of Washington [NA14OAR4170078]; National Marine Fisheries Service (NMFS)/Sea Grant Population and Ecosystem Dynamics Graduate Fellowship [NA14OAR4170077]</t>
  </si>
  <si>
    <t>NOAA Integrated Ecosystem Assessment Program(National Oceanic Atmospheric Admin (NOAA) - USA); Washington Sea Grant, University of Washington(University of Washington); National Marine Fisheries Service (NMFS)/Sea Grant Population and Ecosystem Dynamics Graduate Fellowship</t>
  </si>
  <si>
    <t>Intermodel comparisons were supported through funding fromthe NOAA Integrated Ecosystem Assessment Program. P.S. McDonald's involvement was funded in part by a grant from Washington Sea Grant, University of Washington, pursuant to National Oceanic and Atmospheric Administration Award number NA14OAR4170078. Funding for RPW was supported by the National Marine Fisheries Service (NMFS)/Sea Grant Population and Ecosystem Dynamics Graduate Fellowship via federal award NA14OAR4170077.</t>
  </si>
  <si>
    <t>10.1093/icesjms/fsab211</t>
  </si>
  <si>
    <t>hybrid, Green Published, Green Submitted</t>
  </si>
  <si>
    <t>WOS:000743855700016</t>
  </si>
  <si>
    <t>Galera, H; Znój, A; Chwedorzewska, KJ; Wódkiewicz, M</t>
  </si>
  <si>
    <t>Galera, Halina; Znoj, Anna; Chwedorzewska, Katarzyna J.; Wodkiewicz, Maciej</t>
  </si>
  <si>
    <t>Evaluation of factors influencing the eradication of annual bluegrass (Poa annua L.) from Point Thomas Oasis, King George Island, Maritime Antarctica</t>
  </si>
  <si>
    <t>Conservation; Management; Biological invasions; Extirpation success; Eradication feasibility; Alien plants</t>
  </si>
  <si>
    <t>SOUTH SHETLAND; SEED BANK; BIOLOGY; INVASION; SITE</t>
  </si>
  <si>
    <t>From 2014 to 2018, we performed three on-site eradication actions of Poa annua occurring on King George Island. We aimed at (1) assessing the population response to eradication efforts, (2) evaluating the campaign success, and (3) identifying the most important factors likely to influence eradication success. The first partial eradication action reduced the initial population of around 1500 tussocks to around 1100 tussocks with less than 4 m(2) canopy area. In treated locations, we observed high re-establishment where no soil removal was performed, while only a marginal recruitment where plants were removed with associated soil. In the 2017/2018 season, we recorded over 1800 tussocks, which all were subsequently removed. Performing eradication according to the prescribed scheme (plant and soil removal) should result in eradication success. We evaluate that the probability of successful eradication of the population is high because of small size and number of separate infestation sites, complete spatial and ecological isolation of infestation, high accessibility of target population, and well-known current location of infestation sites. The factors which reduce the likelihood of eradication success are long reaction time, high adaptation of the species to new environmental conditions, and high propagule longevity. Reinvasion possibility and frequent personnel changes in the eradication team resulting in varying levels of personnel awareness and experience may also negatively influence eradication success. An invasion, not managed for many years, may still be targeted, but its successful eradication depends on the human factor, which may drive the success of the action in opposing directions.</t>
  </si>
  <si>
    <t>[Galera, Halina; Wodkiewicz, Maciej] Univ Warsaw, Fac Biol, Biol &amp; Chem Res Ctr, Zwirki &amp; Wigury 101, PL-02089 Warsaw, Poland; [Znoj, Anna] Inst Biochem &amp; Biophys PAS, Dept Antarctic Biol, Pawinskiego 5a, PL-02106 Warsaw, Poland; [Chwedorzewska, Katarzyna J.] Univ Life Sci SGGW, Dept Agron, Nowoursynowska 159, PL-02766 Warsaw, Poland</t>
  </si>
  <si>
    <t>University of Warsaw; Polish Academy of Sciences; Institute of Biochemistry &amp; Biophysics - Polish Academy of Sciences; Warsaw University of Life Sciences</t>
  </si>
  <si>
    <t>Galera, H (corresponding author), Univ Warsaw, Fac Biol, Biol &amp; Chem Res Ctr, Zwirki &amp; Wigury 101, PL-02089 Warsaw, Poland.</t>
  </si>
  <si>
    <t>h.galera@uw.edu.pl; aznoj@ibb.waw.pl; kchwedorzewska@o2.pl; wodkie@biol.uw.edu.pl</t>
  </si>
  <si>
    <t>Galera, Halina/IUQ-1030-2023; Galera, Halina/V-5347-2018; Znój, Anna/AAX-3819-2021; Chwedorzewska, Katarzyna J/A-9480-2008; Chwedorzewska, Katarzyna/M-9721-2019</t>
  </si>
  <si>
    <t>Galera, Halina/0000-0001-6983-0908; Znój, Anna/0000-0002-8424-6707; Chwedorzewska, Katarzyna/0000-0001-6860-3666</t>
  </si>
  <si>
    <t>EU European Regional Development Fund under the Innovative Economy Operational Program</t>
  </si>
  <si>
    <t>This study was carried out at the Biological and Chemical Research Centre, University of Warsaw, established within a project co-financed by the EU European Regional Development Fund under the Innovative Economy Operational Program, 2007-2013.</t>
  </si>
  <si>
    <t>10.1007/s00300-021-02941-1</t>
  </si>
  <si>
    <t>WOS:000712951900001</t>
  </si>
  <si>
    <t>Shepherd, LD; Miskelly, CM; Cherel, Y; Tennyson, AJD</t>
  </si>
  <si>
    <t>Shepherd, Lara D.; Miskelly, Colin M.; Cherel, Yves; Tennyson, Alan J. D.</t>
  </si>
  <si>
    <t>Genetic identification informs on the distributions of vagrant Royal (Eudyptes schlegeli) and Macaroni (Eudyptes chrysolophus) Penguins</t>
  </si>
  <si>
    <t>Antarctica; Eudyptes chrysolophus; Eudyptes schlegeli; Genetic identification; Penguin distribution; Predation</t>
  </si>
  <si>
    <t>TOOTHFISH DISSOSTICHUS-MAWSONI; LEOPARD SEAL PREDATION; ROSS SEA; KILLER WHALES; DIET; BEHAVIOR; RECORDS; BIRDS</t>
  </si>
  <si>
    <t>Understanding the movements of animals that spend much of their life at sea is difficult but important for effective conservation. Determining the at-sea distributions of Macaroni (Eudyptes chrysolophus) and Royal (Eudyptes schlegeli) Penguins poses particular challenges, including their occurrence in remote locations and difficulties in species identification owing to overlap in morphological characters, particularly in immature birds. Here we use DNA sequencing to examine vagrant Macaroni and Royal Penguins from Antarctica and New Zealand in order to improve understanding of their non-breeding distributions. Our sampling included samples from living birds, museum specimens and scavenged penguin remains recovered from the stomachs of Antarctic toothfish (Dissostichus mawsoni) caught north of the Ross Sea. Mitochondrial control region (HVRI) sequences indicated that the two samples from New Zealand were likely Royal Penguins as were the scavenged penguins. Both Macaroni and Royal Penguins were detected at Terre Adelie, Antarctica, despite the nearest breeding colony of Macaroni Penguins being 4000 km away. We provide the first evidence of Royal Penguins reaching the Ross Dependency. All but one of the vagrants were immature birds, supporting suggestions that this age group is the most likely to disperse large distances from the breeding colonies. Our study demonstrates how DNA sequences can assist in identifying taxa with similar or overlapping morphologies, as well as fragmentary bird remains.</t>
  </si>
  <si>
    <t>[Shepherd, Lara D.; Miskelly, Colin M.; Tennyson, Alan J. D.] Museum New Zealand Papa Tongarewa, Wellington, New Zealand; [Cherel, Yves] La Rochelle Univ, Ctr Etud Biol Chize, UMR 7372, CNRS, F-79360 Villiers En Bois, France</t>
  </si>
  <si>
    <t>Centre National de la Recherche Scientifique (CNRS); CNRS - Institute of Ecology &amp; Environment (INEE)</t>
  </si>
  <si>
    <t>Shepherd, LD (corresponding author), Museum New Zealand Papa Tongarewa, Wellington, New Zealand.</t>
  </si>
  <si>
    <t>Lara.Shepherd@tepapa.govt.nz</t>
  </si>
  <si>
    <t>Shepherd, Lara D/E-6663-2011</t>
  </si>
  <si>
    <t>Shepherd, Lara/0000-0002-7136-0017</t>
  </si>
  <si>
    <t>Te Papa research fund; Institut Polaire Francais Paul Emile Victor (IPEV) [109]; Terres Australes et Antarctiques Francaises</t>
  </si>
  <si>
    <t>Te Papa research fund; Institut Polaire Francais Paul Emile Victor (IPEV); Terres Australes et Antarctiques Francaises</t>
  </si>
  <si>
    <t>Funding for the genetic work was provided by the Te Papa research fund. The work in Terre Adelie was supported financially and logistically by the Institut Polaire Francais Paul Emile Victor (IPEV, Programme N degrees 109, C. Barbraud) and the Terres Australes et Antarctiques Francaises.</t>
  </si>
  <si>
    <t>10.1007/s00300-021-02961-x</t>
  </si>
  <si>
    <t>WOS:000712701900001</t>
  </si>
  <si>
    <t>Roussos, E; Allanson, O; André, N; Bertucci, B; Branduardi-Raymont, G; Clark, G; Dialynas, K; Dandouras, I; Desai, RT; Futaana, Y; Gkioulidou, M; Jones, GH; Kollmann, P; Kotova, A; Kronberg, EA; Krupp, N; Murakami, G; Nénon, Q; Nordheim, T; Palmaerts, B; Plainaki, C; Rae, J; Santos-Costa, D; Sarris, T; Shprits, Y; Sulaiman, A; Woodfield, E; Wu, X; Yao, ZH</t>
  </si>
  <si>
    <t>Roussos, Elias; Allanson, Oliver; Andre, Nicolas; Bertucci, Bruna; Branduardi-Raymont, Graziella; Clark, George; Dialynas, Konstantinos; Dandouras, Iannis; Desai, Ravindra T.; Futaana, Yoshifumi; Gkioulidou, Matina; Jones, Geraint H.; Kollmann, Peter; Kotova, Anna; Kronberg, Elena A.; Krupp, Norbert; Murakami, Go; Nenon, Quentin; Nordheim, Tom; Palmaerts, Benjamin; Plainaki, Christina; Rae, Jonathan; Santos-Costa, Daniel; Sarris, Theodore; Shprits, Yuri; Sulaiman, Ali; Woodfield, Emma; Wu, Xin; Yao, Zonghua</t>
  </si>
  <si>
    <t>The in-situ exploration of Jupiter's radiation belts</t>
  </si>
  <si>
    <t>EXPERIMENTAL ASTRONOMY</t>
  </si>
  <si>
    <t>Jupiter; Radiation belts; Magnetosphere; Voyage-2050; Space missions</t>
  </si>
  <si>
    <t>ENERGETIC CHARGED-PARTICLES; ALBEDO NEUTRON DECAY; EUROPA GAS TORUS; SYNCHROTRON-RADIATION; RELATIVISTIC ELECTRONS; JOVIAN MAGNETOSPHERE; DIFFUSION-MODELS; MAGNETIC-FIELD; PHYSICAL MODEL; POLAR-REGIONS</t>
  </si>
  <si>
    <t>Jupiter has the most complex and energetic radiation belts in our Solar System and one of the most challenging space environments to measure and characterize in-depth. Their hazardous environment is also a reason why so many spacecraft avoid flying directly through their most intense regions, thus explaining how Jupiter's radiation belts have kept many of their secrets so well hidden, despite having been studied for decades. In this paper we argue why these secrets are worth unveiling. Jupiter's radiation belts and the vast magnetosphere that encloses them constitute an unprecedented physical laboratory, suitable for interdisciplinary and novel scientific investigations: from studying fundamental high energy plasma physics processes which operate throughout the Universe, such as adiabatic charged particle acceleration and nonlinear wave-particle interactions, to exploiting the astrobiological consequences of energetic particle radiation. The in-situ exploration of the uninviting environment of Jupiter's radiation belts presents us with many challenges in mission design, science planning, instrumentation, and technology. We address these challenges by reviewing the different options that exist for direct and indirect observations of this unique system. We stress the need for new instruments, the value of synergistic Earth and Jupiter-based remote sensing and in-situ investigations, and the vital importance of multi-spacecraft in-situ measurements. While simultaneous, multi-point in-situ observations have long become the standard for exploring electromagnetic interactions in the inner Solar System, they have never taken place at Jupiter or any strongly magnetized planet besides Earth. We conclude that a dedicated multi-spacecraft mission to Jupiter is an essential and obvious way forward for exploring the planet's radiation belts. Besides guaranteeing numerous discoveries and huge leaps in our understanding of radiation belt systems, such a mission would also enable us to view Jupiter, its extended magnetosphere, moons, and rings under new light, with great benefits for space, planetary, and astrophysical sciences. For all these reasons, in-situ investigations of Jupiter's radiation belts deserve to be given a high priority in the future exploration of our Solar System. This article is based on a White Paper submitted in response to the European Space Agency's call for science themes for its Voyage 2050 programme.</t>
  </si>
  <si>
    <t>[Roussos, Elias; Krupp, Norbert] Max Planck Inst Solar Syst Res, Justus Von Liebig Weg 3, D-37077 Gottingen, Germany; [Allanson, Oliver] Univ Exeter, Coll Engn Math &amp; Phys Sci, Exeter, Devon, England; [Andre, Nicolas; Dandouras, Iannis; Kotova, Anna] Univ Toulouse, Inst Rech Astrophys &amp; Planetol, CNES, CNRS, Toulouse, France; [Bertucci, Bruna] Univ Perugia, Perugia, Italy; [Branduardi-Raymont, Graziella; Jones, Geraint H.] UCL Mullard Space Sci Lab, Dorking, Surrey, England; [Clark, George; Gkioulidou, Matina; Kollmann, Peter] Johns Hopkins Appl Phys Lab, Laurel, MD USA; [Dialynas, Konstantinos] Acad Athens, Athens, Greece; [Desai, Ravindra T.] Imperial Coll London, London, England; [Futaana, Yoshifumi] Swedish Inst Space Phys IRF, Kiruna, Sweden; [Kronberg, Elena A.] Ludwig Maximilian Univ Munich, Munich, Germany; [Murakami, Go] Inst Space &amp; Astronaut Sci, JAXA, Sagamihara, Kanagawa, Japan; [Nenon, Quentin] ESA ESTEC, Noordwijk, Netherlands; [Nordheim, Tom] Jet Prop Lab, Pasadena, CA USA; [Palmaerts, Benjamin] Univ Liege, Liege, Belgium; [Plainaki, Christina] Agenzia Spaziale Italiana ASI, Rome, Italy; [Rae, Jonathan] Northumbria Univ, Newcastle Upon Tyne, Tyne &amp; Wear, England; [Santos-Costa, Daniel] Southwest Res Inst, Midwest City, OK USA; [Sarris, Theodore] Democritus Univ Thrace, Dept Elect &amp; Comp Engn, Xanthi, Greece; [Shprits, Yuri] GFZ Potsdam, German Res Ctr Geosci, Potsdam, Germany; [Shprits, Yuri] Univ Potsdam, Inst Phys &amp; Astrophys, Potsdam, Germany; [Sulaiman, Ali] Univ Iowa, Iowa City, IA USA; [Woodfield, Emma] British Antarctic Survey, Cambridge, England; [Wu, Xin] Univ Geneva, Geneva, Switzerland; [Yao, Zonghua] Chinese Acad Sci, Inst Geol &amp; Geophys, Beijing, Peoples R China</t>
  </si>
  <si>
    <t>University of Exeter; Universite de Toulouse; Universite Toulouse III - Paul Sabatier; Centre National de la Recherche Scientifique (CNRS); University of Perugia; University of London; University College London; Johns Hopkins University; Johns Hopkins University Applied Physics Laboratory; Academy of Athens; Imperial College London; University of Munich; Japan Aerospace Exploration Agency (JAXA); Institute of Space &amp; Astronautical Science (ISAS); European Space Agency; National Aeronautics &amp; Space Administration (NASA); NASA Jet Propulsion Laboratory (JPL); University of Liege; Agenzia Spaziale Italiana (ASI); Northumbria University; Southwest Research Institute; Democritus University of Thrace; Helmholtz Association; Helmholtz-Center Potsdam GFZ German Research Center for Geosciences; University of Potsdam; University of Iowa; UK Research &amp; Innovation (UKRI); Natural Environment Research Council (NERC); NERC British Antarctic Survey; University of Geneva; Chinese Academy of Sciences; Institute of Geology &amp; Geophysics, CAS</t>
  </si>
  <si>
    <t>Roussos, E (corresponding author), Max Planck Inst Solar Syst Res, Justus Von Liebig Weg 3, D-37077 Gottingen, Germany.</t>
  </si>
  <si>
    <t>roussos@mps.mpg.de</t>
  </si>
  <si>
    <t>Allanson, Oliver/AAM-8744-2020; Yao, Zhonghua/C-3486-2009; Sulaiman, Ali/AAX-9024-2020; Dialynas, Konstantinos/AFQ-8304-2022; Allanson, Oliver/GLT-2725-2022; Sarris, Theodore/KCL-0355-2024; Futaana, Yoshifumi/P-5899-2014; Wu, Xin/ABH-1729-2020; Roussos, Elias/H-2249-2011; Shprits, Yuri Y/I-2174-2014; Dandouras, Iannis/V-2709-2017; Woodfield, Emma/B-5313-2014; Yao, Zhonghua/H-8537-2017</t>
  </si>
  <si>
    <t>Allanson, Oliver/0000-0003-2353-8586; Sulaiman, Ali/0000-0002-0971-5016; Dialynas, Konstantinos/0000-0002-5231-7929; Wu, Xin/0000-0001-7655-389X; Roussos, Elias/0000-0002-5699-0678; Dandouras, Iannis/0000-0002-7121-1118; Woodfield, Emma/0000-0002-0531-8814; Yao, Zhonghua/0000-0001-6826-2486; Branduardi-Raymont, Graziella/0000-0002-6620-6357; Plainaki, Christina/0000-0003-1483-5052</t>
  </si>
  <si>
    <t>Projekt DEAL; NERC [NE/V013963/1, NE/P017347/1] Funding Source: UKRI; STFC [ST/S000496/1] Funding Source: UKRI</t>
  </si>
  <si>
    <t>Projekt DEAL; NERC(UK Research &amp; Innovation (UKRI)Natural Environment Research Council (NERC)); STFC(UK Research &amp; Innovation (UKRI)Science &amp; Technology Facilities Council (STFC))</t>
  </si>
  <si>
    <t>0922-6435</t>
  </si>
  <si>
    <t>1572-9508</t>
  </si>
  <si>
    <t>EXP ASTRON</t>
  </si>
  <si>
    <t>Exp. Astron.</t>
  </si>
  <si>
    <t>2-3</t>
  </si>
  <si>
    <t>10.1007/s10686-021-09801-0</t>
  </si>
  <si>
    <t>A9MY6</t>
  </si>
  <si>
    <t>Green Accepted, Green Published, Green Submitted, hybrid</t>
  </si>
  <si>
    <t>WOS:000712947000001</t>
  </si>
  <si>
    <t>Kent, DV; Muttoni, G</t>
  </si>
  <si>
    <t>Kent, D., V; Muttoni, G.</t>
  </si>
  <si>
    <t>Latitudinal land-sea distributions and global surface albedo since the Cretaceous</t>
  </si>
  <si>
    <t>PALAEOGEOGRAPHY PALAEOCLIMATOLOGY PALAEOECOLOGY</t>
  </si>
  <si>
    <t>Editor; Paul Hesse; Paleogeography; Early Eocene climate optimum; Late Cenozoic Ice Age</t>
  </si>
  <si>
    <t>ATMOSPHERIC CARBON-DIOXIDE; ANTARCTIC GLACIATION; CENOZOIC CLIMATE; REVISED MODEL; CO2; EOCENE; CYCLE; PALEOGEOGRAPHY; GREENHOUSE; IMPACT</t>
  </si>
  <si>
    <t>We estimate global surface albedo from the areal proportion of land to sea in climatically-significant latitudinal belts at ten million-year intervals for the Late Cretaceous and Cenozoic (120 million years ago to Present) using modern plate tectonic reconstructions and a composite apparent polar path designed to minimize known biases in the determination of paleolatitude. We find that global surface albedo stayed almost constant until it shifted 30% higher to the modern value of around 0.15 with the inception of the Late Cenozoic Ice Age 34 million years ago, reflecting polar ice-albedo amplification of global cooling resulting from the reduction of greenhouse gases below a critical threshold, most probably as the culmination of enhanced CO2 weathering consumption of continental mafic rocks in the tropical humid belt. The contribution from cloud cover toward a planetary albedo is unclear in the absence of measurable proxies but might eventually be gauged from the role cloudiness evidently plays in maintaining radiative balance with the increasing land bias between northern and southern hemispheres over the Cenozoic.</t>
  </si>
  <si>
    <t>[Kent, D., V] Lamont Doherty Earth Observ Columbia Univ, Palisades, NY 10964 USA; [Kent, D., V] Rutgers State Univ, Earth &amp; Planetary Sci, Piscataway, NJ 08854 USA; [Muttoni, G.] Univ Milan, Dipartimento Sci Terra Ardito Desio, Via Luigi Mangiagalli 34, I-20133 Milan, Italy</t>
  </si>
  <si>
    <t>Rutgers University System; Rutgers University New Brunswick; University of Milan</t>
  </si>
  <si>
    <t>Kent, DV (corresponding author), Lamont Doherty Earth Observ Columbia Univ, Palisades, NY 10964 USA.</t>
  </si>
  <si>
    <t>dvk@ldeo.columbia.edu; giovanni.muttoni1@unimi.it</t>
  </si>
  <si>
    <t>Kent, Dennis/0000-0002-7677-2993</t>
  </si>
  <si>
    <t>Paleomagnetic Research Fund at Lamont-Doherty Earth Observatory; Board of Governor Discretionary Fund at Rutgers University; University of Milan</t>
  </si>
  <si>
    <t>We appreciate the exchanges with Linda Sohl that were very helpful in clarifying aspects of paleoclimate modeling and critical comments from Francis Macdonald and the other journal reviewer that helped us to incorporate a more expanded view of climate belts. DK thanks the Paleomagnetic Research Fund at Lamont-Doherty Earth Observatory, Board of Governor Discretionary Fund at Rutgers University, and with GM the University of Milan for support of this research.</t>
  </si>
  <si>
    <t>0031-0182</t>
  </si>
  <si>
    <t>1872-616X</t>
  </si>
  <si>
    <t>PALAEOGEOGR PALAEOCL</t>
  </si>
  <si>
    <t>Paleogeogr. Paleoclimatol. Paleoecol.</t>
  </si>
  <si>
    <t>10.1016/j.palaeo.2021.110718</t>
  </si>
  <si>
    <t>Geography, Physical; Geosciences, Multidisciplinary; Paleontology</t>
  </si>
  <si>
    <t>Physical Geography; Geology; Paleontology</t>
  </si>
  <si>
    <t>YI9OU</t>
  </si>
  <si>
    <t>WOS:000744171200005</t>
  </si>
  <si>
    <t>Ooi, CK; Lewis, T; Nowak, B; Lyle, J; Haddy, J</t>
  </si>
  <si>
    <t>Ooi, Chun Kit; Lewis, Trevor; Nowak, Barbara; Lyle, Jeremy; Haddy, James</t>
  </si>
  <si>
    <t>The use of image analysis techniques for the study of muscle melanisation in sand flathead (Platycephalus bassensis)*</t>
  </si>
  <si>
    <t>ENVIRONMENTAL POLLUTION</t>
  </si>
  <si>
    <t>Melanisation; Black spot; Fish muscle; Sand flathead; Melanisation scoring system; Image analysis</t>
  </si>
  <si>
    <t>FLOUNDER RHOMBOSOLEA-TAPIRINA; CONTAMINATED MARINE SEDIMENT; BLOOD-VESSEL MELANOSIS; ATLANTIC SALMON; PLATYCEPHALUS-BASSENSIS; COD FILLETS; EXPOSURE; VISION</t>
  </si>
  <si>
    <t>Muscle melanisation in sand flathead is visible as black spots in the normally white flesh of fish. It is widespread in Tasmania, including at the Tamar Estuary, with increasing frequency of reporting by recreational fishers. The phenomenon is more prevalent in areas impacted by heavy metal pollution and has been linked to heavy metal accumulation. In this study, image processing software ImageJ was employed to study the phenomenon and to establish an objective rating system. A longitudinal profile plot was used to study the greying of the fillet. The degree of melanisation was rated based on the percentage surface area melanised on the surface and in transverse sections of fillets. A muscle melanisation scoring system for sand flathead was established based on visual interpretation using the macroscopic melanisation scoring criteria: melanisation scores 0 = 0.5%, 1 = 0.5-5%, 2 = 5-20%, and 3 = 20% (% = melanised surface area in proportion to the whole fillet). A refined image analysis technique was developed to quantify the percentage of melanised muscle surface area and the muscle melanisation scoring system was statistically validated. Sand flathead fillet with higher melanisation score was shown to be linked to increased intensity of greyness and greater numbers and size of black spots on the surface of fillets and within the flesh. The greying and black spots were primarily concentrated at the anterior region of fillet and around the dorsal vertebrae zone on transverse section of fillets. Overall, findings from this study established the use of image analysis techniques to validate visual inspection and to give a standardised and objective method to determine the degree of melanisation in sand flathead. As muscle melanisation appears to be linked to heavy metal pollution, the standardised scoring system would facilitate future research for environmental pollution and monitoring purposes.</t>
  </si>
  <si>
    <t>[Ooi, Chun Kit; Lewis, Trevor] Univ Tasmania, Sch Nat Sci Chem, Locked Bag 1371, Launceston, Tas 7250, Australia; [Nowak, Barbara; Haddy, James] Univ Tasmania, Inst Marine &amp; Antarctic Studies, Private Bag 1370, Launceston, Tas 7250, Australia; [Lyle, Jeremy] Univ Tasmania, Inst Marine &amp; Antarctic Studies, Private Bag 49, Hobart, Tas 7001, Australia</t>
  </si>
  <si>
    <t>University of Tasmania; University of Tasmania; University of Tasmania</t>
  </si>
  <si>
    <t>Ooi, CK (corresponding author), Univ Tasmania, Sch Nat Sci Chem, Locked Bag 1371, Launceston, Tas 7250, Australia.</t>
  </si>
  <si>
    <t>ck.ooi@utas.edu.au</t>
  </si>
  <si>
    <t>Ooi, Chun Kit/0000-0002-3670-9252</t>
  </si>
  <si>
    <t>Institute for Marine and Antarctic Studies; University of Tasmania</t>
  </si>
  <si>
    <t>This research was supported by the Institute for Marine and Antarctic Studies and the University of Tasmania. Special thanks are extended to the University of Tasmania for providing funding in the form of a Tasmania Graduate Research Scholarship to Chun Kit Ooi.</t>
  </si>
  <si>
    <t>0269-7491</t>
  </si>
  <si>
    <t>1873-6424</t>
  </si>
  <si>
    <t>ENVIRON POLLUT</t>
  </si>
  <si>
    <t>Environ. Pollut.</t>
  </si>
  <si>
    <t>A</t>
  </si>
  <si>
    <t>10.1016/j.envpol.2021.118360</t>
  </si>
  <si>
    <t>XE8GI</t>
  </si>
  <si>
    <t>WOS:000723620000003</t>
  </si>
  <si>
    <t>Dawson, G; Landy, J; Tsamados, M; Komarov, AS; Howell, S; Heorton, H; Krumpen, T</t>
  </si>
  <si>
    <t>Dawson, Geoffrey; Landy, Jack; Tsamados, Michel; Komarov, Alexander S.; Howell, Stephen; Heorton, Harry; Krumpen, Thomas</t>
  </si>
  <si>
    <t>A 10-year record of Arctic summer sea ice freeboard from CryoSat-2</t>
  </si>
  <si>
    <t>REMOTE SENSING OF ENVIRONMENT</t>
  </si>
  <si>
    <t>Sea ice; CryoSat-2; Radar altimetry; Radar freeboard</t>
  </si>
  <si>
    <t>THICKNESS; VARIABILITY; SNOW; SAR; SURFACE; GREENLAND; ALTIMETRY; VOLUME; WATER; EM</t>
  </si>
  <si>
    <t>Satellite observations of pan-Arctic sea ice thickness have so far been constrained to winter months. For radar altimeters, conventional methods cannot differentiate leads from meltwater ponds that accumulate at the ice surface in summer months, which is a critical step in the ice thickness calculation. Here, we use over 350 optical and synthetic aperture radar (SAR) images from the summer months to train a 1D convolution neural network for separating CryoSat-2 radar altimeter returns from sea ice floes and leads with an accuracy &gt;80%. This enables us to generate the first pan-Arctic measurements of sea ice radar freeboard for May-September between 2011 and 2020. Results indicate that the freeboard distributions in May and September compare closely to those from a conventional 'winter' processor in April and October, respectively. The freeboards capture expected patterns of sea ice melt over the Arctic summer, matching well to ice draft observations from the Beaufort Gyre Exploration Program (BGEP) moorings. However, compared to airborne laser scanner freeboards from Operation IceBridge and airborne EM ice thickness surveys from the Alfred Wegener Institute (AWI) IceBird program, CryoSat-2 freeboards are underestimated by 0.02-0.2 m, and ice thickness is underestimated by 0.28-1.0 m, with the largest differences being over thicker multi-year sea ice. To create the first pan-Arctic summer sea ice thickness dataset we must address primary sources of uncertainty in the conversion from radar freeboard to ice thickness.</t>
  </si>
  <si>
    <t>[Dawson, Geoffrey; Landy, Jack] Univ Bristol, Bristol Glaciol Ctr, Bristol, Avon, England; [Landy, Jack] UiT Arctic Univ Norway, Dept Phys &amp; Technol, Tromso, Norway; [Tsamados, Michel; Heorton, Harry] UCL, Ctr Polar Observat &amp; Modelling, Earth Sci, London, England; [Komarov, Alexander S.] Environm &amp; Climate Change Canada, Meteorol Res Div, Ottawa, ON, Canada; [Howell, Stephen] Environm &amp; Climate Change Canada, Climate Res Div, Toronto, ON, Canada; [Krumpen, Thomas] Alfred Wegener Inst, Helmholtz Ctr Polar &amp; Marine Res, Bremerhaven, Germany</t>
  </si>
  <si>
    <t>University of Bristol; UiT The Arctic University of Tromso; University of London; University College London; Environment &amp; Climate Change Canada; Environment &amp; Climate Change Canada; Helmholtz Association; Alfred Wegener Institute, Helmholtz Centre for Polar &amp; Marine Research</t>
  </si>
  <si>
    <t>Dawson, G (corresponding author), Univ Bristol, Bristol Glaciol Ctr, Bristol, Avon, England.</t>
  </si>
  <si>
    <t>geoffrey.dawson@bristol.ac.uk</t>
  </si>
  <si>
    <t>Krumpen, Thomas/D-5163-2011; Komarov, Alexander/W-7202-2018</t>
  </si>
  <si>
    <t>Krumpen, Thomas/0000-0001-6234-8756; Komarov, Alexander/0000-0002-4645-2104; Landy, Jack/0000-0002-7372-1007</t>
  </si>
  <si>
    <t>UK Natural Environment Research Council (NERC) Project PRE-MELT [NE/T000546/1]; European Space Agency Living Planet Fellowship Arctic-SummIT'' [ESA/4000125582/18/I-NS]; Centre for Integrated Remote Sensing and Forecasting for Arctic Operations (CIRFA) project through the Research Council of Norway (RCN) [237906]; ESA's CryoSat+ Antarctic Ocean [ESA AO/1-9156/17/IBG]; EXPRO+ Snow [ESA AO/110061/19/I-EF]; NERC [NE/T000546/1, cpom30001] Funding Source: UKRI</t>
  </si>
  <si>
    <t>UK Natural Environment Research Council (NERC) Project PRE-MELT(UK Research &amp; Innovation (UKRI)Natural Environment Research Council (NERC)); European Space Agency Living Planet Fellowship Arctic-SummIT''; Centre for Integrated Remote Sensing and Forecasting for Arctic Operations (CIRFA) project through the Research Council of Norway (RCN); ESA's CryoSat+ Antarctic Ocean; EXPRO+ Snow; NERC(UK Research &amp; Innovation (UKRI)Natural Environment Research Council (NERC))</t>
  </si>
  <si>
    <t>This paper is a contribution to the UK Natural Environment Research Council (NERC) Project PRE-MELT under Grant NE/T000546/1. JL also acknowledges support from the European Space Agency Living Planet Fellowship Arctic-SummIT under Grant ESA/4000125582/18/I-NS and from the Centre for Integrated Remote Sensing and Forecasting for Arctic Operations (CIRFA) project through the Research Council of Norway (RCN) under Grant #237906. MT acknowledges support from ESA's CryoSat+ Antarctic Ocean under grant ESA AO/1-9156/17/IBG and MT &amp; JL from the EXPRO+ Snow under grant ESA AO/110061/19/I-EF. The authors thank the SARvatore (SAR Versatile Altimetric Toolkit for Ocean Research &amp; Exploitation) service available through ESA Grid Processing on Demand (GPOD) for providing Level 2 CryoSat-2 observations. This free-to-use service was invaluable for completing the objectives of our study. We acknowledge the use of imagery provided by services from RADARSAT-2 data and products (C) MDA Geospatial Services Inc. -All Rights Reserved. RADARSAT is an official mark of the Canadian Space Agency. RADARSAT-2 data are available for a fee from the Natural Resources Canada's Earth Observation Data Management System (www.eodms-sgdot.nrcan-rncan.gc.ca).We thank three anonymous reviewers for their comments.</t>
  </si>
  <si>
    <t>0034-4257</t>
  </si>
  <si>
    <t>1879-0704</t>
  </si>
  <si>
    <t>REMOTE SENS ENVIRON</t>
  </si>
  <si>
    <t>Remote Sens. Environ.</t>
  </si>
  <si>
    <t>10.1016/j.rse.2021.112744</t>
  </si>
  <si>
    <t>Environmental Sciences; Remote Sensing; Imaging Science &amp; Photographic Technology</t>
  </si>
  <si>
    <t>Environmental Sciences &amp; Ecology; Remote Sensing; Imaging Science &amp; Photographic Technology</t>
  </si>
  <si>
    <t>XD5GK</t>
  </si>
  <si>
    <t>WOS:000722737100001</t>
  </si>
  <si>
    <t>Nickerson, BM; Bekker, A</t>
  </si>
  <si>
    <t>Nickerson, Brendon Mark; Bekker, Anriette</t>
  </si>
  <si>
    <t>Inverse model for the estimation of ice-induced propeller moments using modal superposition</t>
  </si>
  <si>
    <t>APPLIED MATHEMATICAL MODELLING</t>
  </si>
  <si>
    <t>Ice-induced propeller moments; Inverse problem; Modal superposition model; Full-scale measurements; Shaft-line torque</t>
  </si>
  <si>
    <t>It is necessary to quantify the loads experienced by the propellers of ice-going vessels. Knowledge of these loads will serve to improve propulsion design specifications and main-tenance strategies for polar class ships. Recent developments include the inverse solutions of the external ice-induced propeller moments from indirect measurements on the propul-sion shaft. These inverse solutions are performed using models that account for the dy-namic influence of the shaft. Full-scale propulsion shaft measurements were conducted on board the S.A. Agulhas II, in which the torque and angular velocity were captured, to be transformed into external propeller moments. A new model based on modal super-position for the inverse estimation of propeller moments on ice-going vessels has been developed. This model accounts for the modal inertia in the flexible modes of the shaft, as full-scale data indicated that this was important, and has increased accuracy and effi-ciency. The model is evaluated using full scale measurements aboard the S.A. Agulhas II, and compared to previous models in literature. The advantages of this model over the state of the art in literature are discussed. (c) 2021 Elsevier Inc. All rights reserved.</t>
  </si>
  <si>
    <t>[Nickerson, Brendon Mark; Bekker, Anriette] Stellenbosch Univ, Dept Mech &amp; Mechatron Engn, Sound &amp; Vibrat Res Grp, Stellenbosch, South Africa</t>
  </si>
  <si>
    <t>Stellenbosch University</t>
  </si>
  <si>
    <t>Nickerson, BM (corresponding author), Stellenbosch Univ, Dept Mech &amp; Mechatron Engn, Sound &amp; Vibrat Res Grp, Stellenbosch, South Africa.</t>
  </si>
  <si>
    <t>16603087@sun.ac.za; annieb@sun.ac.za</t>
  </si>
  <si>
    <t>Nickerson, Brendon/0000-0001-7037-3601</t>
  </si>
  <si>
    <t>National Research Foundation through the South African National Antarctic Programme [SNA170420228015, 110737]; Department of Science and Innovation through the MARTERA ERA-NET Cofund scheme of Horizon 2020 of the European Commission</t>
  </si>
  <si>
    <t>National Research Foundation through the South African National Antarctic Programme; Department of Science and Innovation through the MARTERA ERA-NET Cofund scheme of Horizon 2020 of the European Commission</t>
  </si>
  <si>
    <t>The financial assistance of the National Research Foundation through the South African National Antarctic Programme (Ref.: SNA170420228015, Grant No.: 110737) and the Department of Science and Innovation through the MARTERA ERA-NET Cofund scheme of Horizon 2020 of the European Commission is gratefully acknowledged.</t>
  </si>
  <si>
    <t>0307-904X</t>
  </si>
  <si>
    <t>1872-8480</t>
  </si>
  <si>
    <t>APPL MATH MODEL</t>
  </si>
  <si>
    <t>Appl. Math. Model.</t>
  </si>
  <si>
    <t>10.1016/j.apm.2021.10.005</t>
  </si>
  <si>
    <t>Engineering, Multidisciplinary; Mathematics, Interdisciplinary Applications; Mechanics</t>
  </si>
  <si>
    <t>Engineering; Mathematics; Mechanics</t>
  </si>
  <si>
    <t>XA2HO</t>
  </si>
  <si>
    <t>WOS:000720475100006</t>
  </si>
  <si>
    <t>Solodovnik, A; Leontyev, P; Dalin, P; Takenov, B; Alyoshin, D</t>
  </si>
  <si>
    <t>Solodovnik, A.; Leontyev, P.; Dalin, P.; Takenov, B.; Alyoshin, D.</t>
  </si>
  <si>
    <t>Seasonal evolution and interseasonal changes in polar mesospheric clouds at high latitudes in the Southern Hemisphere</t>
  </si>
  <si>
    <t>JOURNAL OF ATMOSPHERIC AND SOLAR-TERRESTRIAL PHYSICS</t>
  </si>
  <si>
    <t>Mesosphere; Noctilucent clouds; Climate of Antarctica; Atmospheric dynamic</t>
  </si>
  <si>
    <t>GRAVITY-WAVES; NOCTILUCENT CLOUDS; WATER-VAPOR; TEMPERATURE; VARIABILITY; ICE</t>
  </si>
  <si>
    <t>The total areas and other related characteristics of polar mesospheric clouds of the Southern Hemisphere are determined on the basis of the processing of images obtained from the AIM satellite mission. Daily images have been analyzed from 2007 to 2008 to 2019-2020 austral summer seasons. The set of the analyzed data allowed us to study the features of seasonal and inter-seasonal changes in the development of polar mesospheric clouds (PMCs). Long-term temporal changes in such parameters as the maximum and integral areas of the cloud field, the date of the first appearance and disappearance of PMCs, as well as their season durations have been considered in detail. The conclusion about the non-random nature of changes in these characteristics in some seasons is substantiated. It is possible that the PMC evolution is influenced by fluctuations in weather and climatic conditions in the Antarctic region. This assumption is supported by both the relationship between the intensity of mesospheric clouds development in the Southern Hemisphere and variations in seasonal mean (in the context of the clouds existence) temperatures in Antarctica as well as between the stable similarity in seasonal changes in temperature and PMC field areas.</t>
  </si>
  <si>
    <t>[Solodovnik, A.; Leontyev, P.; Takenov, B.; Alyoshin, D.] M Kozybaev North Kazakhstan Univ, Petropavlovsk, Kazakhstan; [Dalin, P.] Swedish Inst Space Phys, Box 812, SE-98128 Kiruna, Sweden; [Dalin, P.] RAS, Space Res Inst, Profsouznaya St 84-32, Moscow 117997, Russia</t>
  </si>
  <si>
    <t>Russian Academy of Sciences; Space Research Institute of the Russian Academy of Sciences</t>
  </si>
  <si>
    <t>Solodovnik, A (corresponding author), M Kozybaev North Kazakhstan Univ, Petropavlovsk, Kazakhstan.</t>
  </si>
  <si>
    <t>aasolodovnik@mail.ru</t>
  </si>
  <si>
    <t>Alyoshin, Dmitriy/AGW-2075-2022</t>
  </si>
  <si>
    <t>Alyoshin, Dmitriy/0000-0002-5985-0523</t>
  </si>
  <si>
    <t>Science Committee of the Ministry of Education and Science of the Republic of Kazakhstan [APO8856096]</t>
  </si>
  <si>
    <t>Science Committee of the Ministry of Education and Science of the Republic of Kazakhstan(Government of the Republic of KazakhstanMinistry of Education and Science of the Republic of Kazakhstan)</t>
  </si>
  <si>
    <t>This work was supported in part by the Science Committee of the Ministry of Education and Science of the Republic of Kazakhstan (Grant No. APO8856096). We thank the AIM/CIPS team for providing highquality images of polar mesospheric clouds.</t>
  </si>
  <si>
    <t>1364-6826</t>
  </si>
  <si>
    <t>1879-1824</t>
  </si>
  <si>
    <t>J ATMOS SOL-TERR PHY</t>
  </si>
  <si>
    <t>J. Atmos. Sol.-Terr. Phys.</t>
  </si>
  <si>
    <t>10.1016/j.jastp.2021.105787</t>
  </si>
  <si>
    <t>Geochemistry &amp; Geophysics; Meteorology &amp; Atmospheric Sciences</t>
  </si>
  <si>
    <t>WX0GO</t>
  </si>
  <si>
    <t>WOS:000718283600002</t>
  </si>
  <si>
    <t>Bonnet-Lebrun, AS; Dias, MP; Phillips, RA; Granadeiro, JP; Brooke, MD; Chastel, O; Clay, TA; Fayet, AL; Gilg, O; González-Solís, J; Guilford, T; Hanssen, SA; Hedd, A; Jaeger, A; Krietsch, J; Lang, J; Le Corre, M; Militao, T; Moe, B; Montevecchi, WA; Peter, HU; Pinet, P; Rayner, MJ; Reid, T; Reyes-González, JM; Ryan, PG; Sagar, PM; Schmidt, NM; Thompson, DR; van Bemmelen, R; Watanuki, Y; Weimerskirch, H; Yamamoto, T; Catry, P</t>
  </si>
  <si>
    <t>Bonnet-Lebrun, Anne-Sophie; Dias, Maria P.; Phillips, Richard A.; Granadeiro, Jose P.; Brooke, M. de L.; Chastel, Olivier; Clay, Thomas A.; Fayet, Annette L.; Gilg, Olivier; Gonzalez-Solis, Jacob; Guilford, Tim; Hanssen, Sveinn A.; Hedd, April; Jaeger, Audrey; Krietsch, Johannes; Lang, Johannes; Le Corre, Matthieu; Militao, Teresa; Moe, Borge; Montevecchi, William A.; Peter, Hans-Ulrich; Pinet, Patrick; Rayner, Matt J.; Reid, Tim; Manuel Reyes-Gonzalez, Jose; Ryan, Peter G.; Sagar, Paul M.; Schmidt, Niels M.; Thompson, David R.; van Bemmelen, Rob; Watanuki, Yutaka; Weimerskirch, Henri; Yamamoto, Takashi; Catry, Paulo</t>
  </si>
  <si>
    <t>Seabird Migration Strategies: Flight Budgets, Diel Activity Patterns, and Lunar Influence</t>
  </si>
  <si>
    <t>bird migration; ecological barriers; nocturnality; migratory behaviour; moon phases; transequatorial migrants</t>
  </si>
  <si>
    <t>AT-SEA ACTIVITY; HABITAT PREFERENCES; FORAGING BEHAVIOR; BIRD MIGRATION; SHEARWATER; MOON; VARIABILITY; MOONLIGHT; ATLANTIC; PETREL</t>
  </si>
  <si>
    <t>Every year, billions of birds undertake extensive migrations between breeding and non-breeding areas, facing challenges that require behavioural adjustments, particularly to flight timing and duration. Such adjustments in daily activity patterns and the influence of extrinsic factors (e.g., environmental conditions, moonlight) have received much more research attention in terrestrial than marine migrants. Taking advantage of the widespread deployment in recent decades of combined light-level geolocator-immersion loggers, we investigated diel organisation and influence of the moon on flight activities during the non-breeding season of 21 migrant seabird species from a wide taxonomic range (6 families, 3 orders). Migrant seabirds regularly stopped (to either feed or rest) during migration, unlike some terrestrial and wetland birds which fly non-stop. We found an overall increase for most seabird species in time in flight and, for several species, also in flight bout duration, during migration compared to when resident at the non-breeding grounds. Additionally, several nocturnal species spent more of the day in flight during migration than at non-breeding areas, and vice versa for diurnal species. Nocturnal time in flight tended to increase during full moon, both during migration and at the non-breeding grounds, depending on species. Our study provides an extensive overview of activity patterns of migrant seabirds, paving the way for further research on the underlying mechanisms and drivers.</t>
  </si>
  <si>
    <t>[Bonnet-Lebrun, Anne-Sophie; Dias, Maria P.; Catry, Paulo] ISPA Inst Univ, MARE Marine &amp; Environm Sci Ctr, Lisbon, Portugal; [Bonnet-Lebrun, Anne-Sophie; Phillips, Richard A.] NERC, British Antarctic Survey, Cambridge, England; [Dias, Maria P.] BirdLife Int, Cambridge, England; [Granadeiro, Jose P.] Univ Lisbon, Fac Ciencies, CESAM, Lisbon, Portugal; [Granadeiro, Jose P.] Univ Lisbon, Fac Ciencies, Dept Biol Anim, Lisbon, Portugal; [Brooke, M. de L.] Univ Cambridge, Dept Zool, Cambridge, England; [Chastel, Olivier; Weimerskirch, Henri] Univ La Rochelle, Ctr Etud Biol Chize CEBC, UMR 7372, CNRS, Villiers En Bois, France; [Clay, Thomas A.] Univ Liverpool, Sch Environm Sci, Liverpool, Merseyside, England; [Fayet, Annette L.; Guilford, Tim] Univ Oxford, Dept Zool, Oxford, England; [Gilg, Olivier] Univ Bourgogne Franche Comte, Chronoenvironm, UMR 6249, Besancon, France; [Gilg, Olivier; Lang, Johannes] Grp Rech Ecol Arct, Francheville, France; [Gonzalez-Solis, Jacob; Militao, Teresa; Manuel Reyes-Gonzalez, Jose] Univ Barcelona, Inst Recerca Biodiversitat IRBio, Barcelona, Spain; [Gonzalez-Solis, Jacob; Militao, Teresa; Manuel Reyes-Gonzalez, Jose] Univ Barcelona, Dept Biol Evolut Ecol &amp; Ciencies Ambientals, Barcelona, Spain; [Hanssen, Sveinn A.] Norwegian Inst Nat Res NINA, FRAM High North Res Ctr Climate &amp; Environm, Tromso, Norway; [Hedd, April] Environm &amp; Climate Change Canada, Wildlife Res Div, Mt Pearl, NF, Canada; [Jaeger, Audrey; Le Corre, Matthieu; Pinet, Patrick] Univ La Reunion, Univ Nouvelle Caledonie, UMR ENTROPIE, IRD,CNRS,IFREMER, La Reunion, France; [Krietsch, Johannes; Peter, Hans-Ulrich] Friedrich Schiller Univ, Inst Ecol &amp; Evolut, Jena, Germany; [Krietsch, Johannes] Max Planck Inst Ornithol, Dept Behav Ecol &amp; Evolutionary Genet, Seewiesen, Germany; [Lang, Johannes] Justus Liebig Univ Giessen, Working Grp Wildlife Res Clin Birds Reptiles Amph, Giessen, Germany; [Moe, Borge] Norwegian Inst Nat Res NINA, Trondheim, Norway; [Moe, Borge] Norwegian Univ Sci &amp; Technol, Dept Biol, Trondheim, Norway; [Montevecchi, William A.] Mem Univ, Psychol Dept, St John, NF, Canada; [Pinet, Patrick] Terres Australes &amp; Antarctiques Francaises, La Reunion, France; [Rayner, Matt J.] Auckland Museum, Auckland, New Zealand; [Rayner, Matt J.] Univ Auckland, Sch Biol Sci, Auckland, New Zealand; [Reid, Tim] CSIRO Oceans &amp; Atmosphere, Hobart, Tas, Australia; [Ryan, Peter G.] Univ Cape Town, FitzPatrick Inst African Ornithol, Rondebosch, South Africa; [Sagar, Paul M.] Natl Inst Water &amp; Atmospher Res Ltd, Christchurch, New Zealand; [Schmidt, Niels M.] Aarhus Univ, Dept Biosci, Roskilde, Denmark; [Schmidt, Niels M.] Aarhus Univ, Arctic Res Ctr, Aarhus C, Denmark; [Thompson, David R.] Natl Inst Water &amp; Atmospher Res Ltd, Wellington, New Zealand; [van Bemmelen, Rob] Wageningen Univ &amp; Res, Wageningen Marine Res, Ijmuiden, Netherlands; [van Bemmelen, Rob] Bur Waardenburg, Culemborg, Netherlands; [Watanuki, Yutaka] Hokkaido Univ, Grad Sch Fisheries Sci, Hakodate, Hokkaido, Japan; [Yamamoto, Takashi] Meiji Univ, Org Strateg Coordinat Res &amp; Intellectual Properti, Tokyo, Japan</t>
  </si>
  <si>
    <t>Instituto Superior Psicologia Aplicada (ISPA); UK Research &amp; Innovation (UKRI); Natural Environment Research Council (NERC); NERC British Antarctic Survey; BirdLife International; Universidade de Lisboa; Universidade de Lisboa; University of Cambridge; Centre National de la Recherche Scientifique (CNRS); CNRS - Institute of Ecology &amp; Environment (INEE); La Rochelle Universite; University of Liverpool; University of Oxford; Universite de Franche-Comte; Centre National de la Recherche Scientifique (CNRS); CNRS - Institute of Ecology &amp; Environment (INEE); University of Barcelona; University of Barcelona; Norwegian Institute Nature Research; Environment &amp; Climate Change Canada; Canadian Wildlife Service; Wildlife Research Division - Environment Canada; Ifremer; Institut de Recherche pour le Developpement (IRD); University of La Reunion; Centre National de la Recherche Scientifique (CNRS); Friedrich Schiller University of Jena; Max Planck Society; Justus Liebig University Giessen; Norwegian Institute Nature Research; Norwegian University of Science &amp; Technology (NTNU); Memorial University Newfoundland; University of Auckland; Commonwealth Scientific &amp; Industrial Research Organisation (CSIRO); University of Cape Town; National Institute of Water &amp; Atmospheric Research (NIWA) - New Zealand; Aarhus University; Aarhus University; National Institute of Water &amp; Atmospheric Research (NIWA) - New Zealand; Wageningen University &amp; Research; Hokkaido University; Meiji University</t>
  </si>
  <si>
    <t>Bonnet-Lebrun, AS (corresponding author), ISPA Inst Univ, MARE Marine &amp; Environm Sci Ctr, Lisbon, Portugal.;Bonnet-Lebrun, AS (corresponding author), NERC, British Antarctic Survey, Cambridge, England.</t>
  </si>
  <si>
    <t>Jaeger, Audrey/HMD-6340-2023; González-Solís, Jacob/AAB-1161-2019; Bonnet-Lebrun, Anne-Sophie/GYU-2977-2022; GILG, Olivier/C-2588-2008; Catry, Paulo/I-5408-2013; Moe, Børge/P-2946-2015; Clay, Tommy/W-4867-2019; Militao, Teresa/AAA-6151-2019; Schmidt, Niels Martin/G-3843-2011; Granadeiro, José Pedro/E-8060-2011; Weimerskirch, Henri/F-5562-2013; Dias, Maria P./D-1331-2012; van Bemmelen, Rob/H-6555-2019; Gonzalez-Solis, Jacob/C-3942-2008; REYES-GONZALEZ, JOSE MANUEL/N-9182-2017</t>
  </si>
  <si>
    <t>Jaeger, Audrey/0000-0002-5649-0315; Bonnet-Lebrun, Anne-Sophie/0000-0002-7587-615X; Clay, Tommy/0000-0002-0644-6105; Militao, Teresa/0000-0002-2862-1592; Schmidt, Niels Martin/0000-0002-4166-6218; Granadeiro, José Pedro/0000-0002-7207-3474; Dias, Maria P./0000-0002-7281-4391; van Bemmelen, Rob/0000-0002-0688-7058; Gonzalez-Solis, Jacob/0000-0002-8691-9397; Ryan, Peter/0000-0002-3356-2056; REYES-GONZALEZ, JOSE MANUEL/0000-0001-8311-3235; Krietsch, Johannes/0000-0002-8080-1734; Fayet, Annette/0000-0001-6373-0500; Hedd, April/0000-0003-2222-2627; Lang, Johannes/0000-0002-7387-795X</t>
  </si>
  <si>
    <t>Fundacao para a Ciencia e a Tecnologia (FCT, Portugal) [PTDC/BIA-ANM/3743/2014, UIDB/04292/2020, UIDP/04292/2020, UIDP/50017/2020, UIDB/50017/2020]; French Polar Institute-IPEV (program Interactions-1036); Fram Center flagship Climate Change in Fjord and Coast [232019]; French Polar Institute-IPEV (program Ornitho-Endocrino330); Natural Environment Research Council; NSERC; Government of Canada's Program for International Polar Year; Environment and Climate Change Canada; South African National Antarctic Programme; MAVA Fondation pour la nature [MAVA17022]; Programa ICREA (Academia de la Institucio Catalana de Recerca i Estudis Avancats); Spanish Government [CGL2006-01315/BOS, CGL2009-11278/BOS, CGL2013-42585-P, CGL2016-78530R]; project Alcyon - Conservation of seabirds from Cabo Verde; Fundação para a Ciência e a Tecnologia [PTDC/BIA-ANM/3743/2014] Funding Source: FCT</t>
  </si>
  <si>
    <t>Fundacao para a Ciencia e a Tecnologia (FCT, Portugal)(Fundacao para a Ciencia e a Tecnologia (FCT)); French Polar Institute-IPEV (program Interactions-1036); Fram Center flagship Climate Change in Fjord and Coast; French Polar Institute-IPEV (program Ornitho-Endocrino330); Natural Environment Research Council(UK Research &amp; Innovation (UKRI)Natural Environment Research Council (NERC)); NSERC(Natural Sciences and Engineering Research Council of Canada (NSERC)); Government of Canada's Program for International Polar Year; Environment and Climate Change Canada; South African National Antarctic Programme; MAVA Fondation pour la nature; Programa ICREA (Academia de la Institucio Catalana de Recerca i Estudis Avancats); Spanish Government(Spanish Government); project Alcyon - Conservation of seabirds from Cabo Verde; Fundação para a Ciência e a Tecnologia(Fundacao para a Ciencia e a Tecnologia (FCT))</t>
  </si>
  <si>
    <t>Funding for this work was provided by the Fundacao para a Ciencia e a Tecnologia (FCT, Portugal) through project Seamigrant PTDC/BIA-ANM/3743/2014 and strategic project UIDB/04292/2020 and UIDP/04292/2020 granted to MARE, and UIDP/50017/2020 and UIDB/50017/2020 granted to CESAM. Zackenberg thanks Aage V. Jensen Charity foundation; field work at Hochstetter Forland was funded by the French Polar Institute-IPEV (program Interactions-1036). The work on long-tailed skuas in Svalbard was funded by the Fram Center flagship Climate Change in Fjord and Coast grant no. 232019. The work on Kongsfjord kittiwakes was funded by the French Polar Institute-IPEV (program Ornitho-Endocrino330). Fieldwork at Bird Island (South Georgia) was part of the Ecosystems component of the British Antarctic Survey Polar Science for Planet Earth Programme, funded by the Natural Environment Research Council. Funding for data collection on sooty shearwaters included an NSERC Discovery Grant and Government of Canada's Program for International Polar Year to WM. The study on Leach's storm-petrel was supported by Environment and Climate Change Canada. Research at Gough Island on great shearwaters was conducted with permission from the Tristan government and with support from the South African National Antarctic Programme. Funding for data collection on Cape Verde shearwaters was provided by the project Alcyon - Conservation of seabirds from Cabo Verde, coordinated by BirdLife International and funded by the MAVA Fondation pour la nature (MAVA17022), by the Programa ICREA (Academia de la Institucio Catalana de Recerca i Estudis Avancats), and by the projects CGL2006-01315/BOS; CGL2009-11278/BOS; CGL2013-42585-P, and CGL2016-78530R from the Spanish Government.</t>
  </si>
  <si>
    <t>OCT 29</t>
  </si>
  <si>
    <t>10.3389/fmars.2021.683071</t>
  </si>
  <si>
    <t>WW5KO</t>
  </si>
  <si>
    <t>Green Published, gold, Green Accepted, Green Submitted</t>
  </si>
  <si>
    <t>WOS:000717955300001</t>
  </si>
  <si>
    <t>Lamping, N; Müller, J; Hefter, J; Mollenhauer, G; Haas, C; Shi, XX; Vorrath, ME; Lohmann, G; Hillenbrand, CD</t>
  </si>
  <si>
    <t>Lamping, Nele; Mueller, Juliane; Hefter, Jens; Mollenhauer, Gesine; Haas, Christian; Shi, Xiaoxu; Vorrath, Maria-Elena; Lohmann, Gerrit; Hillenbrand, Claus-Dieter</t>
  </si>
  <si>
    <t>Evaluation of lipid biomarkers as proxies for sea ice and ocean temperatures along the Antarctic continental margin</t>
  </si>
  <si>
    <t>HIGHLY BRANCHED ISOPRENOIDS; AMUNDSEN SEA; WEDDELL SEA; ORGANIC-MATTER; SHEET RETREAT; FRAM STRAIT; SEASONAL VARIABILITY; ARCTIC-OCEAN; POLAR FRONT; SURFACE</t>
  </si>
  <si>
    <t>The importance of Antarctic sea ice and Southern Ocean warming has come into the focus of polar research during the last couple of decades. Especially around West Antarctica, where warm water masses approach the continent and where sea ice has declined, the distribution and evolution of sea ice play a critical role in the stability of nearby ice shelves. Organic geochemical analyses of marine seafloor surface sediments from the Antarctic continental margin allow an evaluation of the applicability of biomarker-based sea-ice and ocean temperature reconstructions in these climate-sensitive areas. We analysed highly branched isoprenoids (HBIs), such as the sea-ice proxy IPSO25 and phytoplankton-derived HBI-trienes, as well as phytosterols and isoprenoidal glycerol dialkyl glycerol tetraethers (GDGTs), which are established tools for the assessment of primary productivity and ocean temperatures respectively. The combination of IPSO25 with a phytoplankton marker (i.e. the PIPSO25 index) permits semi-quantitative sea-ice reconstructions and avoids misleading over- or underestimations of sea-ice cover. Comparisons of the PIPSO25-based sea-ice distribution patterns and TEX86L- and RI-OH'-derived ocean temperatures with (1) sea-ice concentrations obtained from satellite observations and (2) instrument measurements of sea surface and subsurface temperatures corroborate the general capability of these proxies to determine oceanic key variables properly. This is further supported by model data. We also highlight specific aspects and limitations that need to be taken into account for the interpretation of such biomarker data and discuss the potential of IPSO25 as an indicator for the former occurrence of platelet ice and/or the export of ice-shelf water.</t>
  </si>
  <si>
    <t>[Lamping, Nele; Mueller, Juliane; Hefter, Jens; Mollenhauer, Gesine; Haas, Christian; Shi, Xiaoxu; Vorrath, Maria-Elena; Lohmann, Gerrit] Helmholtz Ctr Polar &amp; Marine Res, Alfred Wegener Inst, D-27568 Bremerhaven, Germany; [Mueller, Juliane; Mollenhauer, Gesine] Univ Bremen, Dept Geosci, D-28359 Bremen, Germany; [Mueller, Juliane; Mollenhauer, Gesine; Lohmann, Gerrit] MARUM Ctr Marine Environm Sci, D-28359 Bremen, Germany; [Lohmann, Gerrit] Univ Bremen, Dept Environm Phys, D-28359 Bremen, Germany; [Hillenbrand, Claus-Dieter] British Antarctic Survey, Cambridge CB3 0ET, England</t>
  </si>
  <si>
    <t>Helmholtz Association; Alfred Wegener Institute, Helmholtz Centre for Polar &amp; Marine Research; University of Bremen; University of Bremen; University of Bremen; UK Research &amp; Innovation (UKRI); Natural Environment Research Council (NERC); NERC British Antarctic Survey</t>
  </si>
  <si>
    <t>Lamping, N (corresponding author), Helmholtz Ctr Polar &amp; Marine Res, Alfred Wegener Inst, D-27568 Bremerhaven, Germany.</t>
  </si>
  <si>
    <t>nele.lamping@awi.de</t>
  </si>
  <si>
    <t>Haas, Christian/L-5279-2016; Vorrath, Maria-Elena/AAS-4675-2020; Mollenhauer, Gesine/AAD-8167-2019; Muller, Juliane/L-1875-2013; Lohmann, Gerrit/M-7453-2016</t>
  </si>
  <si>
    <t>Haas, Christian/0000-0002-7674-3500; Vorrath, Maria-Elena/0000-0001-7208-1186; Mollenhauer, Gesine/0000-0001-5138-564X; Muller, Juliane/0000-0003-0724-4131; Hefter, Jens/0000-0002-5823-1966; Lohmann, Gerrit/0000-0003-2089-733X</t>
  </si>
  <si>
    <t>Helmholtz-Gemeinschaft [VH-NG-1101]</t>
  </si>
  <si>
    <t>Helmholtz-Gemeinschaft(Helmholtz Association)</t>
  </si>
  <si>
    <t>This research has been supported by the Helmholtz-Gemeinschaft (grant no. VH-NG-1101).; The article processing charges for this open-access publication were covered by the Alfred Wegener Institute, Helmholtz Centre for Polar and Marine Research (AWI).</t>
  </si>
  <si>
    <t>10.5194/cp-17-2305-2021</t>
  </si>
  <si>
    <t>WR2PY</t>
  </si>
  <si>
    <t>WOS:000714348000001</t>
  </si>
  <si>
    <t>Hoem, FS; Sauermilch, I; Hou, SN; Brinkhuis, H; Sangiorgi, F; Bijl, PK</t>
  </si>
  <si>
    <t>Hoem, Frida S.; Sauermilch, Isabel; Hou, Suning; Brinkhuis, Henk; Sangiorgi, Francesca; Bijl, Peter K.</t>
  </si>
  <si>
    <t>Late Eocene-early Miocene evolution of the southern Australian subtropical front: a marine palynological approach</t>
  </si>
  <si>
    <t>JOURNAL OF MICROPALAEONTOLOGY</t>
  </si>
  <si>
    <t>ICE-SHEET VARIABILITY; ANTARCTIC CIRCUMPOLAR CURRENT; OFFSHORE WILKES LAND; DINOFLAGELLATE CYSTS; MARSHALL PARACONFORMITY; OLIGOCENE TRANSITION; LATE PLIOCENE; NEW-ZEALAND; SEA-LEVEL; ROSS SEA</t>
  </si>
  <si>
    <t>Improvements in our capability to reconstruct ancient surface-ocean conditions based on organic-walled dinoflagellate cyst (dinocyst) assemblages from the Southern Ocean provide an opportunity to better establish past position, strength and oceanography of the subtropical front (STF). Here, we aim to reconstruct the late Eocene to early Miocene (37-20 Ma) depositional and palaeoceanographic history of the STF in the context of the evolving Tasmanian Gateway as well as the potential influence of Antarctic circumpolar flow and intense waxing and waning of ice. We approach this by combining information from seismic lines (revisiting existing data and generating new marine palynological data from Ocean Drilling Program (ODP) Hole 1168A) in the western Tasmanian continental slope. We apply improved taxonomic insights and palaeoecological models to reconstruct the sea surface palaeoenvironmental evolution. Late Eocene-early Oligocene (37-30.5 Ma) assemblages show a progressive transition from dominant terrestrial palynomorphs and inner-neritic dinocyst taxa as well as cysts produced by heterotrophic dinoflagellates to predominantly outer-neritic/oceanic autotrophic taxa. This transition reflects the progressive deepening of the western Tasmanian continental margin, an interpretation supported by our new seismic investigations. The dominance of autotrophic species like Spiniferites spp. and Operculodinium spp. reflects relatively oligotrophic conditions, like those of regions north of the modern-day STF. The increased abundance in the earliest Miocene of Nematosphaeropsis labyrinthus, typical for modern subantarctic zone (frontal) conditions, indicates a cooling and/or closer proximity of the STF to the site . The absence of major shifts in dinocyst assemblages contrasts with other records in the region and suggests that small changes in surface oceanographic conditions occurred during the Oligocene. Despite the relatively southerly (63-55 degrees S) location of Site 1168, the rather stable oceanographic conditions reflect the continued influence of the proto-Leeuwin Current along the southern Australian coast as Australia continued to drift northward. The relatively warm dinocyst assemblages at ODP Site 1168, compared with the cold assemblages at Antarctic Integrated Ocean Drilling Program (IODP) Site U1356, testify to the establishment of a pronounced latitudinal temperature gradient in the Oligocene Southern Ocean.</t>
  </si>
  <si>
    <t>[Hoem, Frida S.; Sauermilch, Isabel; Hou, Suning; Brinkhuis, Henk; Sangiorgi, Francesca; Bijl, Peter K.] Univ Utrecht, Dept Earth Sci, Marine Palynol &amp; Paleoceanog, Utrecht, Netherlands; [Brinkhuis, Henk] Royal Netherlands Inst Sea Res NIOZ, Texel, Netherlands</t>
  </si>
  <si>
    <t>Utrecht University; Utrecht University; Royal Netherlands Institute for Sea Research (NIOZ)</t>
  </si>
  <si>
    <t>Hoem, FS (corresponding author), Univ Utrecht, Dept Earth Sci, Marine Palynol &amp; Paleoceanog, Utrecht, Netherlands.</t>
  </si>
  <si>
    <t>f.s.hoem@uu.nl</t>
  </si>
  <si>
    <t>Brinkhuis, Henk/IUO-8165-2023</t>
  </si>
  <si>
    <t>Brinkhuis, Henk/0000-0003-0253-6610; Hoem, Frida/0000-0002-8834-6799; Hou, Suning/0000-0002-8902-6367; Bijl, Peter/0000-0002-1710-4012; Sangiorgi, Francesca/0000-0003-4233-6154</t>
  </si>
  <si>
    <t>Dutch Research councile, Nederlandse Organisatie voor Wetenschappelijk Onderzoek (NWO) polar programme [ALW.2016.001]; European Research Council [802835]; European Research Council (ERC) [802835] Funding Source: European Research Council (ERC)</t>
  </si>
  <si>
    <t>Dutch Research councile, Nederlandse Organisatie voor Wetenschappelijk Onderzoek (NWO) polar programme; European Research Council(European Research Council (ERC)); European Research Council (ERC)(European Research Council (ERC)Spanish Government)</t>
  </si>
  <si>
    <t>This research has been supported by the Dutch Research councile, Nederlandse Organisatie voor Wetenschappelijk Onderzoek (NWO) polar programme (grant no. ALW.2016.001), and the European Research Council, H2020 programme (grant no. OceaNice 802835).</t>
  </si>
  <si>
    <t>0262-821X</t>
  </si>
  <si>
    <t>2041-4978</t>
  </si>
  <si>
    <t>J MICROPALAEONTOL</t>
  </si>
  <si>
    <t>J. Micropalaentol.</t>
  </si>
  <si>
    <t>10.5194/jm-40-175-2021</t>
  </si>
  <si>
    <t>WR2PZ</t>
  </si>
  <si>
    <t>WOS:000714348100001</t>
  </si>
  <si>
    <t>Becker, K; Thomson, RE; Davis, EE; Villinger, H; Wheat, CG</t>
  </si>
  <si>
    <t>Becker, Keir; Thomson, Richard E.; Davis, Earl E.; Villinger, Heinrich; Wheat, C. Geoffrey</t>
  </si>
  <si>
    <t>Geothermal heating and episodic cold-seawater intrusions into an isolated ridge-flank basin near the Mid-Atlantic Ridge</t>
  </si>
  <si>
    <t>DSDP HOLE-395A; WESTERN FLANK; BOTTOM WATER; FLOW; CIRCULATION; HOLE-534A; SEDIMENT</t>
  </si>
  <si>
    <t>Bottom water renewal on the western flank of the mid-Atlantic Ridge is driven by rapid intrusion of cold, dense water enabled by gradual warming due to geothermal heat flux and diapycnal mixing, as revealed by six-year observational records. Six-year records of ocean bottom water temperatures at two locations in an isolated, sedimented deep-water (similar to 4500 m) basin on the western flank of the mid-Atlantic Ridge reveal long periods (months to &gt;1 year) of slow temperature rises punctuated by more rapid (similar to 1 month) cooling events. The temperature rises are consistent with a combination of gradual heating by the geothermal flux through the basin and by diapycnal mixing, while the sharper cooling events indicate displacement of heated bottom waters by incursions of cold, dense bottom water over the deepest part of the sill bounding the basin. Profiles of bottom water temperature, salinity, and oxygen content collected just before and after a cooling event show a distinct change in the water mass suggestive of an incursion of diluted Antarctic Bottom Water from the west. Our results reveal details of a mechanism for the transfer of geothermal heat and bottom water renewal that may be common on mid-ocean ridge flanks.</t>
  </si>
  <si>
    <t>[Becker, Keir] Univ Miami, Rosenstiel Sch Marine &amp; Atmospher Sci, Dept Marine Geosci, 4600 Rickenbacker Causeway, Miami, FL 33149 USA; [Thomson, Richard E.] Fisheries &amp; Oceans Canada, Inst Ocean Sci, Sidney, BC, Canada; [Davis, Earl E.] Geol Survey Canada, Nat Resources Canada, Sidney, BC, Canada; [Villinger, Heinrich] Univ Bremen, Dept Geosci, Bremen, Germany; [Wheat, C. Geoffrey] Univ Alaska Fairbanks, Coll Fisheries &amp; Ocean Sci, Moss Landing, CA USA</t>
  </si>
  <si>
    <t>University of Miami; Fisheries &amp; Oceans Canada; Natural Resources Canada; Lands &amp; Minerals Sector - Natural Resources Canada; Geological Survey of Canada; University of Bremen; University of Alaska System; University of Alaska Fairbanks</t>
  </si>
  <si>
    <t>Becker, K (corresponding author), Univ Miami, Rosenstiel Sch Marine &amp; Atmospher Sci, Dept Marine Geosci, 4600 Rickenbacker Causeway, Miami, FL 33149 USA.</t>
  </si>
  <si>
    <t>kbecker@rsmas.miami.edu</t>
  </si>
  <si>
    <t>Wheat, Charles/0000-0001-8858-1310</t>
  </si>
  <si>
    <t>Moore Foundation via the University of Southern California; US National Science Foundation [OCE-0946795, OCE-1060855, OCE-1536623, OCE-1536601]; Deutsche Forschungsgemeinschaft (German Research Foundation)</t>
  </si>
  <si>
    <t>Moore Foundation via the University of Southern California; US National Science Foundation(National Science Foundation (NSF)); Deutsche Forschungsgemeinschaft (German Research Foundation)(German Research Foundation (DFG))</t>
  </si>
  <si>
    <t>We thank the following for financial support of the 2011-2017 CORK installations and submersible revisits: (1) the Moore Foundation for financial support via the University of Southern California for much of the hardware costs for the CORKs, (2) the US National Science Foundation for financial support of the pressure and temperature instrumentation on the CORKs (grants OCE-0946795 and OCE-1060855 to KB) and submersible revisits with the ROV Jason (grants OCE-1536623 to CGW and OCE-1536601 to KB), and (3) the Deutsche Forschungsgemeinschaft (German Research Foundation) for R/V Maria S. Merian shiptime in support of 2012 and 2014 submersible operations to the CORKs. We also thank the officers and crews of D/V JOIDES Resolution, R/V Maria S. Merian, R/V Atlantis, and the Jason ROV team for exceptional support of the installations and subsequent submersible operations. Lastly, we are most grateful to the three anonymous reviewers for their highly informative and positive comments and suggestions.</t>
  </si>
  <si>
    <t>10.1038/s43247-021-00297-2</t>
  </si>
  <si>
    <t>WP0GM</t>
  </si>
  <si>
    <t>WOS:000712821100001</t>
  </si>
  <si>
    <t>Buizert, C</t>
  </si>
  <si>
    <t>Buizert, Christo</t>
  </si>
  <si>
    <t>The Ice Core Gas Age-Ice Age Difference as a Proxy for Surface Temperature</t>
  </si>
  <si>
    <t>Ice core; paleoclimate; firn; last glacial maximum; Antarctica</t>
  </si>
  <si>
    <t>ABRUPT CLIMATE-CHANGE; LAST GLACIAL MAXIMUM; TAYLOR-DOME; ATMOSPHERIC CIRCULATION; FIRN DENSIFICATION; STABLE ISOTOPES; POLAR ICE; SEA-LEVEL; GREENLAND; AIR</t>
  </si>
  <si>
    <t>Ice cores provide detailed records of past climate change. Water stable isotopes are the most commonly used ice core climate proxy, but their quantitative interpretation remains challenging. Here, I argue that the gas age-ice age difference (Delta age) is a powerful proxy for past surface temperature. An analytical framework is derived that directly links past temperature to firn properties that can be reliably reconstructed (Delta age, lock-in depth). The framework is calibrated using both present-day spatial patterns and last glacial maximum temperatures reconstructed via borehole thermometry. The usefulness of the method is demonstrated using three case studies from Greenland and Antarctic ice cores. The calibration suggests that several firn densification models, with the possible exception of the Herron-Langway model, have insufficient sensitivity to accumulation rates. This low sensitivity, in combination with large amplitude temperature forcing, can explain historical difficulties of densification models in simulating ice age firn thickness in East Antarctica. Plain Language Summary It is important for scientists to understand past natural climate change. Ice cores drilled in the polar regions contain ancient ice up to 800,000 years old and can be used to reconstruct past climate. Ice from the polar regions contains air bubbles that are trapped at the bottom of the thick (50-120 m) perennial snow pack called the firn. The air in these bubbles is younger than the ice that surrounds it, and this age difference is called Delta age. This paper develops a new method to estimate past temperatures of the ice sheet surface using our knowledge of changes in ice core Delta age. The method is very simple and fast and agrees very well with independent temperature reconstructions where available. Key Points The ice core gas age-ice age difference (Delta age) is a powerful proxy for past surface temperature A simple analytical framework allows for reliable past temperature estimation using empirical estimates of Delta age Low firn model sensitivity to accumulation rate contributes to published model-data mismatch of ice age firn thickness in East Antarctica</t>
  </si>
  <si>
    <t>[Buizert, Christo] Oregon State Univ, Coll Earth Ocean &amp; Atmospher Sci, Corvallis, OR 97331 USA</t>
  </si>
  <si>
    <t>Oregon State University</t>
  </si>
  <si>
    <t>Buizert, C (corresponding author), Oregon State Univ, Coll Earth Ocean &amp; Atmospher Sci, Corvallis, OR 97331 USA.</t>
  </si>
  <si>
    <t>Christo.buizert@oregonstate.edu</t>
  </si>
  <si>
    <t>US National Science Foundation [1643394, 1702920, 2102944]</t>
  </si>
  <si>
    <t>US National Science Foundation(National Science Foundation (NSF))</t>
  </si>
  <si>
    <t>The author thank two anonymous reviewers whose thoughtful comments substantially improved this study. The author further thank anonymous reviewer #3 from B21 whose review, though strongly favoring rejection of that paper, provided the impetus to perform the analyses described here. The author gratefully acknowledge financial support from the US National Science Foundation (awards 1643394, 1702920, and 2102944).</t>
  </si>
  <si>
    <t>OCT 28</t>
  </si>
  <si>
    <t>e2021GL094241</t>
  </si>
  <si>
    <t>10.1029/2021GL094241</t>
  </si>
  <si>
    <t>YO3HN</t>
  </si>
  <si>
    <t>WOS:000747834500031</t>
  </si>
  <si>
    <t>Drews, R; Wild, CT; Marsh, OJ; Rack, W; Ehlers, TA; Neckel, N; Helm, V</t>
  </si>
  <si>
    <t>Drews, R.; Wild, C. T.; Marsh, O. J.; Rack, W.; Ehlers, T. A.; Neckel, N.; Helm, V</t>
  </si>
  <si>
    <t>Grounding-Zone Flow Variability of Priestley Glacier, Antarctica, in a Diurnal Tidal Regime</t>
  </si>
  <si>
    <t>glaciology; ice streams; ice-ocean interactions; ocean tides; surface velocities; geophysics</t>
  </si>
  <si>
    <t>ICE-SHELF; RADAR; GREENLAND; VELOCITY; REPRESENTATION; MODULATION; FLEXURE; MOTION; INSAR</t>
  </si>
  <si>
    <t>Tidal modulation of ice streams and their adjacent ice shelves is a real-world experiment to understand ice-dynamic processes. We observe the dynamics of Priestley Glacier, Antarctica, using Terrestrial Radar Interferometry (TRI) and GNSS. Ocean tides are predominantly diurnal but horizontal GNSS displacements also oscillate semi-diurnally. The oscillations are strongest in the ice shelf and tidal signatures decay near-linearly in the TRI data over &gt;10 km upstream of the grounding line. Tidal flexing is observed &gt;6 km upstream of the grounding line including cm-scale uplift. Tidal grounding line migration is small and &lt;40% of the ice thickness. The frequency doubling of horizontal displacements relative to the ocean tides is consistent with variable ice-shelf buttressing demonstrated with a visco-elastic Maxwell model. Taken together, this supports previously hypothesized flexural ice softening in the grounding-zone through tides and offers new observational constraints for the role of ice rheology in ice-shelf buttressing. Plain Language Summary Temperatures in Antarctica's interior are below zero, so that ice continuously accumulates through snowfall. This mass gain is balanced by ice transport from the interior toward the coast. There, floating ice shelves form on the ocean and ice is eventually lost through iceberg calving and ocean induced melting. Small changes in any of these processes impact global ocean circulation and mean sea level. The speed of the ice varies with ocean tides. We use a specialized instrument that detects this variability and tidal flexing area-wide and every few hours. We find that although low- and high-tide only occur once a day in this area, ice flow is largest twice a day. This can be explained because ice softens when it is flexed by the ocean tides so that it can flow episodically faster. This is important because the deformation of ice shelves determines to an extent the stability of the entire ice sheet. Key Points Terrestrial radar interferometry and GNSS identify dynamic changes at Priestley Glacier, Antarctica, forced by diurnal ocean tides Horizontal displacements vary semi-diurnally, are strongest in the shelf and decay near-linearly &gt;10 km upstream of the grounding line Grounding line migration is small and flexural softening in ice-shelf shear margins can explain the semi-diurnal ice flow component</t>
  </si>
  <si>
    <t>[Drews, R.; Ehlers, T. A.] Tubingen Univ, Dept Geosci, Tubingen, Germany; [Wild, C. T.] Oregon State Univ, Coll Earth Ocean &amp; Atmospher Sci, Corvallis, OR 97331 USA; [Wild, C. T.; Rack, W.] Canterbury Univ, Gateway Antarctica, Christchurch, New Zealand; [Marsh, O. J.] British Antarctic Survey, Cambridge, England; [Neckel, N.; Helm, V] Alfred Wegener Inst, Helmholtz Ctr Polar &amp; Marine Res, Bremerhaven, Germany</t>
  </si>
  <si>
    <t>Eberhard Karls University of Tubingen; Oregon State University; University of Canterbury; UK Research &amp; Innovation (UKRI); Natural Environment Research Council (NERC); NERC British Antarctic Survey; Helmholtz Association; Alfred Wegener Institute, Helmholtz Centre for Polar &amp; Marine Research</t>
  </si>
  <si>
    <t>Drews, R (corresponding author), Tubingen Univ, Dept Geosci, Tubingen, Germany.</t>
  </si>
  <si>
    <t>reinhard.drews@uni-tuebingen.de</t>
  </si>
  <si>
    <t>Drews, reinhard/AAP-4134-2021; Marsh, Oliver J/K-7436-2014; Rack, Wolfgang/U-8898-2017</t>
  </si>
  <si>
    <t>Drews, reinhard/0000-0002-2328-294X; Neckel, Niklas/0000-0003-4300-5488; Helm, Veit/0000-0001-7788-9328; Ehlers, Todd/0000-0001-9436-0303; Rack, Wolfgang/0000-0003-2447-377X; Wild, Christian/0000-0003-4586-1704</t>
  </si>
  <si>
    <t>Emmy Noether Grant of the Deutsche Forschungsgemeinschaft [DR 822/3-1]; NZ Antarctic Research Institute Type-A [2018-1]; EU's Horizon 2020 research and innovation programme [689443]; Projekt DEAL; H2020 Societal Challenges Programme [689443] Funding Source: H2020 Societal Challenges Programme</t>
  </si>
  <si>
    <t>Emmy Noether Grant of the Deutsche Forschungsgemeinschaft(German Research Foundation (DFG)); NZ Antarctic Research Institute Type-A; EU's Horizon 2020 research and innovation programme; Projekt DEAL; H2020 Societal Challenges Programme(Horizon 2020European Union (EU)H2020 Societal Challenges Programme)</t>
  </si>
  <si>
    <t>R. Drews was supported by an Emmy Noether Grant of the Deutsche Forschungsgemeinschaft (DR 822/3-1). C. Wild, O. Marsh, and W. Rack were supported by a NZ Antarctic Research Institute Type-A Grant 2018-1. Neckel was supported by EU's Horizon 2020 research and innovation programme (grant No 689443). We acknowledge Antarctica New Zealand and the Korea Polar Research Institute for logistical support. We thank H. Han and J. Lee for fruitful discussions relating to field work. R. Caduff provided valuable in-field support for the GPRI-2. Field work supported by R. Bottomly and J. Southward. Heimplanet Entwicklungs GmBH provided the dome tent to house the TRI. Ice-penetrating radar data used in this study were acquired by NASA's Operation IceBridge. We are thankful for the code of the Maxwell model made available by Alex Robel. Reviewer comments by B. Minchew and P. Milillo and editing by M. Morlighem have greatly improved this study. Open access funding enabled and organized by Projekt DEAL.</t>
  </si>
  <si>
    <t>e2021GL093853</t>
  </si>
  <si>
    <t>10.1029/2021GL093853</t>
  </si>
  <si>
    <t>WOS:000747834500015</t>
  </si>
  <si>
    <t>Neckel, N; Franke, S; Helm, V; Drews, R; Jansen, D</t>
  </si>
  <si>
    <t>Neckel, Niklas; Franke, Steven; Helm, Veit; Drews, Reinhard; Jansen, Daniela</t>
  </si>
  <si>
    <t>Evidence of Cascading Subglacial Water Flow at Jutulstraumen Glacier (Antarctica) Derived From Sentinel-1 and ICESat-2 Measurements</t>
  </si>
  <si>
    <t>subglacial water transport; Sentinel-1 DInSAR; ICESat-2; Antarctica</t>
  </si>
  <si>
    <t>DRONNING MAUD LAND; WEST ANTARCTICA; THWAITES GLACIER; LAKE ACTIVITY; ICE STREAMS; BENEATH; RADAR; THICKNESS; WHILLANS; MODEL</t>
  </si>
  <si>
    <t>Migration of subglacial water underneath thick Antarctic ice is difficult to observe directly but is known to influence ice flow dynamics. Here, we analyze a 6-year time series of displacement maps from differential Sentinel-1 SAR interferometry (DInSAR) in the upstream region of Jutulstraumen Glacier. Our results reveal short-term (between 12 days and 1 year) interconnected subsidence- and uplift events of the ice surface, which we interpret as a pressure response to the drainage and filling of subglacial lakes. This indicates an episodic cascade-like water transport with longer quiescent phases in a dynamically stable glacial setting. Abrupt events appear in the DInSAR time series and are confirmed by ICESat-2 altimetry. The events can be traced for a 1-year period along a similar to 175 km flow path. We are able to observe the migration of subglacial water with unprecedented spatial and temporal resolution, providing a new observational baseline to further develop subglacial hydrological models. Plain Language Summary Subglacial lakes and the movement of subglacial water play an important role in the way how ice flows in the Antarctic Ice Sheet. The drainage and filling of subglacial lakes is reflected in subsidence and uplift at the ice surface, which can be monitored by satellite based elevation measurements. In this study, we detect these elevation changes of the ice surface at the onset of Dronning Maud Land's largest glacier (Jutulstraumen Glacier, Antarctica). We register a number of connected events which show us where and when subglacial water moves downstream. We find that the water flows similarly to a self-tipping swimming pool bucket: water beneath the ice is localized and abruptly moves from one place to another after some time has passed. Using airborne radar-sounding techniques, we find that the water flows along preferential flowpaths in the subglacial system. These are the first confirmed subglacial water movements in central Dronning Maud Land, an area where no subglacial water flow has been observed previously. The episodic nature of water flow is a new observation that will help us to understand how the subglacial water forms its own pluming system beneath these large glaciers. Key Points Sentinel-1 DInSAR estimates reveal a similar to 175 km flow path of a cascade-like chain of subglacial water propagation over a 1-year period High-resolution ultra-wideband radar data show no characteristic lake bed reflections and suggests water transport via a local trough system We find evidence of highly dynamic water transport in a static glacial stetting providing a benchmark dataset to improve modeling results</t>
  </si>
  <si>
    <t>[Neckel, Niklas; Franke, Steven; Helm, Veit; Jansen, Daniela] Helmholtz Ctr Polar &amp; Marine Res, Alfred Wegener Inst, Bremerhaven, Germany; [Drews, Reinhard] Eberhard Karls Univ Tubingen, Dept Geosci, Tubingen, Germany</t>
  </si>
  <si>
    <t>Helmholtz Association; Alfred Wegener Institute, Helmholtz Centre for Polar &amp; Marine Research; Eberhard Karls University of Tubingen</t>
  </si>
  <si>
    <t>Neckel, N (corresponding author), Helmholtz Ctr Polar &amp; Marine Res, Alfred Wegener Inst, Bremerhaven, Germany.</t>
  </si>
  <si>
    <t>niklas.neckel@awi.de</t>
  </si>
  <si>
    <t>Franke, Steven/ABB-6333-2020; Drews, reinhard/AAP-4134-2021</t>
  </si>
  <si>
    <t>Franke, Steven/0000-0001-8462-4379; Drews, reinhard/0000-0002-2328-294X; Jansen, Daniela/0000-0002-4412-5820; Helm, Veit/0000-0001-7788-9328; Neckel, Niklas/0000-0003-4300-5488</t>
  </si>
  <si>
    <t>Emmy Noether Grant of the Deutsche Forschungsgemeinschaft [DR 822/3-1]; AWI Strategy fund; Projekt DEAL</t>
  </si>
  <si>
    <t>Emmy Noether Grant of the Deutsche Forschungsgemeinschaft(German Research Foundation (DFG)); AWI Strategy fund; Projekt DEAL</t>
  </si>
  <si>
    <t>We thank the Ken Borek crew as well as Martin Gehrmann and Sebastian Spelz of AWI's technical staff of the research aircraft Polar 6. John Paden (University of Kansas) assisted remotely during the field campaign. We would like to thank Tobias Binder for the implementation of an entire backup system for UWB radar data acquisition. Without his work, we would not have been able to realize the campaign. We acknowledge fruitful discussions with Angelika Humbert and Charlotte Schoonman. We further want to thank Helen Amanda Fricker, one anonymous referee and the scientific editor Mathieu Morlighem for their helpful suggestions, which greatly improved the manuscript. Furthermore, logistical support in Antarctica was provided at Troll Station (Norway), Novolazarewskaja-Station (Russia) and Kohnen Station (Germany). R. Drews was supported by an Emmy Noether Grant of the Deutsche Forschungsgemeinschaft (DR 822/3-1). Steven Franke and Daniela Jansen were funded by the AWI Strategy fund. Open access funding enabled and organized by Projekt DEAL.</t>
  </si>
  <si>
    <t>e2021GL094472</t>
  </si>
  <si>
    <t>10.1029/2021GL094472</t>
  </si>
  <si>
    <t>WOS:000747834500054</t>
  </si>
  <si>
    <t>Tamsitt, V; England, MH; Rintoul, SR; Morrison, AK</t>
  </si>
  <si>
    <t>Tamsitt, V; England, M. H.; Rintoul, S. R.; Morrison, A. K.</t>
  </si>
  <si>
    <t>Residence Time and Transformation of Warm Circumpolar Deep Water on the Antarctic Continental Shelf</t>
  </si>
  <si>
    <t>Circumpolar Deep Water; residence time; Lagrangian ocean analysis; water mass transformation; Antarctic continental shelf; ocean circulation</t>
  </si>
  <si>
    <t>HEAT-TRANSPORT; VARIABILITY; SENSITIVITY; FRONT</t>
  </si>
  <si>
    <t>Inflow of warm modified Circumpolar Deep Water (CDW) onto the Antarctic continental shelf and into ice shelf cavities is a key driver of Antarctic ice shelf mass loss. While recent research has advanced understanding of CDW heat transport onto the continental shelf, the fate of CDW on the shelf is less understood. Here, we use Lagrangian particle tracking in an ocean-sea ice model without ice shelf cavities to map the residence time of CDW on the Antarctic continental shelf. Mean residence times vary from &lt;1 month in the East Antarctic to &gt;1 year in the West Antarctic. In regions of dense water formation, transformation of CDW on the shelf limits access of CDW to ice shelves, despite strong onshore CDW heat transport. Elsewhere transformation of CDW on the shelf is weak, implying that temperature on the shelf is limited by heat transport onto the shelf or the offshore heat reservoir. Plain Language Summary Antarctic ice shelf melt is accelerating and is linked to the inflow of warm ocean waters that melt ice shelves from below. Multiple processes regulate the amount of warm water that reaches the Antarctic ice shelves, and the relative importance of these processes in different regions is not well known. Here, we conduct a virtual particle tracking experiment in a state-of-the-art ocean model to trace the pathways and timescales of warm water on the Antarctic continental shelf. We find that there is a large regional variation in how long warm waters spend on the continental shelf from less than a month to well over a year. In the regions along the continental slope where very dense water formed near the coast flows off the shelf to the abyssal ocean, this is balanced by a strong inflow of warm water onto the continental shelf, which is rapidly converted to denser water, limiting the heat from reaching the ice shelves. Elsewhere warm water can remain on the continental shelf unmodified for a long time, so the heat available for ice shelf melt is instead limited by the strength of the flow of warm water onto the continental shelf. Key Points Particle tracking in an ocean model shows Circumpolar Deep Water (CDW) residence times on the Antarctic shelf range from a month to several years Water mass transformation limits CDW access to ice shelves in Dense Shelf Water formation regions, despite strong onshore CDW transport In warm shelf regions, long residence times of CDW are associated with weak water mass transformation</t>
  </si>
  <si>
    <t>[Tamsitt, V; England, M. H.] Univ New South Wales, Climate Change Res Ctr, Sydney, NSW, Australia; [Tamsitt, V; Rintoul, S. R.] Ctr Southern Hemisphere Oceans Res, Hobart, Tas, Australia; [Tamsitt, V] Univ S Florida, Coll Marine Sci, St Petersburg, FL 33701 USA; [Rintoul, S. R.] CSIRO Oceans &amp; Atmosphere, Hobart, Tas, Australia; [Rintoul, S. R.] Australian Antarctic Program Partnership, Hobart, Tas, Australia; [Morrison, A. K.] Australian Natl Univ, Australian Ctr Excellence Antarctic Sci, Canberra, ACT, Australia</t>
  </si>
  <si>
    <t>University of New South Wales Sydney; State University System of Florida; University of South Florida; Commonwealth Scientific &amp; Industrial Research Organisation (CSIRO); Australian National University</t>
  </si>
  <si>
    <t>Tamsitt, V (corresponding author), Univ New South Wales, Climate Change Res Ctr, Sydney, NSW, Australia.;Tamsitt, V (corresponding author), Ctr Southern Hemisphere Oceans Res, Hobart, Tas, Australia.;Tamsitt, V (corresponding author), Univ S Florida, Coll Marine Sci, St Petersburg, FL 33701 USA.</t>
  </si>
  <si>
    <t>veronica.tamsitt@gmail.com</t>
  </si>
  <si>
    <t>England, Matthew/A-7539-2011; Morrison, Adele/C-1774-2012</t>
  </si>
  <si>
    <t>England, Matthew/0000-0001-9696-2930; Morrison, Adele/0000-0002-9904-4980</t>
  </si>
  <si>
    <t>Australian Commonwealth Government; Australian Antarctic Program Partnership; Australian Research Council DECRA Fellowship [DE170100184]; Australian Research Council [DE170100184] Funding Source: Australian Research Council</t>
  </si>
  <si>
    <t>Australian Commonwealth Government(Australian Government); Australian Antarctic Program Partnership; Australian Research Council DECRA Fellowship(Australian Research Council); Australian Research Council(Australian Research Council)</t>
  </si>
  <si>
    <t>This research was undertaken on the National Computational Infrastructure (NCI) in Canberra, Australia, which is supported by the Australian Commonwealth Government. CSHOR is a joint research Centre for Southern Hemisphere Oceans Research between QNLM, CSIRO, UNSW, and UTAS. This work was supported in part by the Australian Antarctic Program Partnership. A. K. Morrison was supported by an Australian Research Council DECRA Fellowship DE170100184.</t>
  </si>
  <si>
    <t>e2021GL096092</t>
  </si>
  <si>
    <t>10.1029/2021GL096092</t>
  </si>
  <si>
    <t>WOS:000747834500070</t>
  </si>
  <si>
    <t>Simkins, LM; Greenwood, SL; Garcia, SM; Eareckson, EA; Anderson, JB; Prothro, LO</t>
  </si>
  <si>
    <t>Simkins, L. M.; Greenwood, S. L.; Garcia, S. Munevar; Eareckson, E. A.; Anderson, J. B.; Prothro, L. O.</t>
  </si>
  <si>
    <t>Topographic Controls on Channelized Meltwater in the Subglacial Environment</t>
  </si>
  <si>
    <t>ANTARCTIC ICE-SHEET; DRAINAGE SYSTEM BENEATH; TUNNEL VALLEYS; ESKER FORMATION; GROUNDING-LINE; ROSS SEA; GLACIAL GEOMORPHOLOGY; HOLOCENE RETREAT; WEST ANTARCTICA; ADJACENT AREAS</t>
  </si>
  <si>
    <t>Realistic characterization of subglacial hydrology necessitates knowledge of the range in form, scale, and spatiotemporal evolution of drainage networks. A relict subglacial meltwater corridor on the deglaciated Antarctic continental shelf encompasses 80 convergent and divergent channels, many of which are hundreds of meters wide and several of which lack a definable headwater source. Without significant surface-melt contributions to the bed like similarly described landforms in the Northern Hemisphere, channelized drainage capacity varies non-systematically by three orders of magnitude downstream. This signifies apparent additions and losses of basal water to the bed-channelized system that relates to bed topography. Larger magnitude grounding-line retreat events occurred while the channel system was active than once channelized drainage had ceased. Overall, this corridor demonstrates that meltwater drainage styles co-exist in time and space in response to bed topography, with prolonged impacts on grounding-line behavior. Plain Language Summary Water drainage beneath glacial ice can impact flow of the overlying ice, sediment transport underneath the ice toward the glacier's terminus, and the stability of glacial ice as it transitions from resting on the geologic terrain to floating in the ocean. Despite being an important component of glacial systems, the full range of possible modes of water delivery and how these interact and vary across time and space is not well resolved. We describe a relict subglacial meltwater network preserved on the Antarctic seafloor, representing a persistent pathway for water drainage when the East Antarctic Ice Sheet was much larger. The landforms within the drainage network implicate substantial changes in how subglacial water drainage was influenced by the shape of the underlying terrain and demonstrate the prolonged impacts that meltwater corridors have on the retreat of glacial ice.</t>
  </si>
  <si>
    <t>[Simkins, L. M.; Garcia, S. Munevar; Eareckson, E. A.] Univ Virginia, Dept Environm Sci, Clark Hall, Charlottesville, VA 22903 USA; [Greenwood, S. L.] Stockholm Univ, Dept Geol Sci, Stockholm, Sweden; [Anderson, J. B.] Rice Univ, Dept Earth Environm &amp; Planetary Sci, Houston, TX USA; [Prothro, L. O.] Texas A&amp;M Univ Corpus Christi, Dept Phys &amp; Environm Sci, Corpus Christi, TX USA</t>
  </si>
  <si>
    <t>University of Virginia; Stockholm University; Rice University; Texas A&amp;M University System; Texas A&amp;M University Corpus Christi</t>
  </si>
  <si>
    <t>Simkins, LM (corresponding author), Univ Virginia, Dept Environm Sci, Clark Hall, Charlottesville, VA 22903 USA.</t>
  </si>
  <si>
    <t>lsimkins@virginia.edu</t>
  </si>
  <si>
    <t>Prothro, Lindsay/Y-9837-2019</t>
  </si>
  <si>
    <t>Prothro, Lindsay/0000-0003-3385-8487; Miller, Lauren/0000-0002-9075-5196; Greenwood, Sarah/0000-0003-3048-7916; Anderson, John/0000-0002-3104-5557; Munevar Garcia, Santiago/0000-0003-1291-7978</t>
  </si>
  <si>
    <t>National Science Foundation (NSF) [OPP 1745055, OPP 1246353]; Swedish Research Council; Knut &amp; Alice Wallenberg Foundation [D0567301, 2016.0144]; University of Virginia</t>
  </si>
  <si>
    <t>National Science Foundation (NSF)(National Science Foundation (NSF)); Swedish Research Council(Swedish Research Council); Knut &amp; Alice Wallenberg Foundation(Knut &amp; Alice Wallenberg Foundation); University of Virginia</t>
  </si>
  <si>
    <t>Authors thank D. Le Heron for productive discussions. This project was supported by the National Science Foundation (NSF OPP 1745055, L. M. Simkins; NSF OPP 1246353, J. B. Anderson), the Swedish Research Council and Knut &amp; Alice Wallenberg Foundation (D0567301 and 2016.0144, S. L. Greenwood), and the University of Virginia to L. M. Simkins. Much of the data analysis and interpretation presented in this study was conducted in Charlottesville, Virginia on land that the Monacan Nation has protected and cultivated for thousands of years, and the authors acknowledge their stewardship.</t>
  </si>
  <si>
    <t>e2021GL094678</t>
  </si>
  <si>
    <t>10.1029/2021GL094678</t>
  </si>
  <si>
    <t>YO3JN</t>
  </si>
  <si>
    <t>WOS:000747839800001</t>
  </si>
  <si>
    <t>Jones, EM; Hoppema, M; Bakker, K; de Baar, HJW</t>
  </si>
  <si>
    <t>Jones, Elizabeth M.; Hoppema, Mario; Bakker, Karel; de Baar, Hein J. W.</t>
  </si>
  <si>
    <t>Calcium carbonate saturation states along the West Antarctic Peninsula</t>
  </si>
  <si>
    <t>ANTARCTIC SCIENCE</t>
  </si>
  <si>
    <t>alkalinity; aragonite; Circumpolar Deep Water; inorganic carbon system; meltwater</t>
  </si>
  <si>
    <t>SEA-ICE; OCEAN ACIDIFICATION; INORGANIC CARBON; TOTAL ALKALINITY; RAPID CHANGES; VARIABILITY; CO2; DISSOCIATION; CONSTANTS; SEAWATER</t>
  </si>
  <si>
    <t>The waters along the West Antarctic Peninsula (WAP) have experienced warming and increased freshwater inputs from melting sea ice and glaciers in recent decades. Challenges exist in understanding the consequences of these changes on the inorganic carbon system in this ecologically important and highly productive ecosystem. Distributions of dissolved inorganic carbon (CT), total alkalinity (AT) and nutrients revealed key physical, biological and biogeochemical controls of the calcium carbonate saturation state (Omega(aragonite)) in different water masses across the WAP shelf during the summer. Biological production in spring and summer dominated changes in surface water Omega(aragonite) (Delta Omega(aragonite) up to +1.39; similar to 90%) relative to underlying Winter Water. Sea-ice and glacial meltwater constituted a minor source of AT that increased surface water Omega(aragonite) (Delta Omega(aragonite) up to +0.07; similar to 13%). Remineralization of organic matter and an influx of carbon-rich brines led to cross-shelf decreases in Omega(aragonite) in Winter Water and Circumpolar Deep Water. A strong biological carbon pump over the shelf created Omega(aragonite) oversaturation in surface waters and suppression of Omega(aragonite) in subsurface waters. Undersaturation of aragonite occurred at &lt; similar to 1000 m. Ongoing changes along the WAP will impact the biologically driven and meltwater-driven processes that influence the vulnerability of shelf waters to calcium carbonate undersaturation in the future.</t>
  </si>
  <si>
    <t>[Jones, Elizabeth M.] Fram Ctr, Inst Marine Res, Hjalmar Johansen Gate 14, N-9007 Tromso, Norway; [Jones, Elizabeth M.; de Baar, Hein J. W.] Royal Netherlands Inst Sea Res, NIOZ, Den Burg, Netherlands; [Hoppema, Mario] Helmholtz Ctr Polar &amp; Marine Res, Alfred Wegener Inst, Climate Sci Dept, Postfach 120161, D-27515 Bremerhaven, Germany; [Bakker, Karel] Royal Netherlands Inst Sea Res, NIOZ, Dept Ocean Syst OCS, Den Burg, Netherlands; [Bakker, Karel] Univ Utrecht, POB 59, NL-1790 AB Den Burg, Netherlands; [de Baar, Hein J. W.] Univ Groningen, Ocean Ecosyst, Nijenborgh 7, NL-9747 AG Groningen, Netherlands</t>
  </si>
  <si>
    <t>Institute of Marine Research - Norway; Utrecht University; Royal Netherlands Institute for Sea Research (NIOZ); Helmholtz Association; Alfred Wegener Institute, Helmholtz Centre for Polar &amp; Marine Research; Utrecht University; Royal Netherlands Institute for Sea Research (NIOZ); Utrecht University; University of Groningen</t>
  </si>
  <si>
    <t>Jones, EM (corresponding author), Fram Ctr, Inst Marine Res, Hjalmar Johansen Gate 14, N-9007 Tromso, Norway.;Jones, EM (corresponding author), Royal Netherlands Inst Sea Res, NIOZ, Den Burg, Netherlands.</t>
  </si>
  <si>
    <t>elizabeth.jones@hi.no</t>
  </si>
  <si>
    <t>; Hoppema, Mario/I-6286-2013</t>
  </si>
  <si>
    <t>Jones, Elizabeth/0000-0001-7660-0238; Hoppema, Mario/0000-0002-2326-619X</t>
  </si>
  <si>
    <t>EU project CARBOCHANGE 'Changes in carbon uptake and emissions by oceans in a changing climate', from the European Community's Seventh Framework Programme [264879]</t>
  </si>
  <si>
    <t>EU project CARBOCHANGE 'Changes in carbon uptake and emissions by oceans in a changing climate', from the European Community's Seventh Framework Programme</t>
  </si>
  <si>
    <t>Thisworkwas part of postdoctoral research (E.M. Jones) at the Royal NIOZ supported through EU project CARBOCHANGE 'Changes in carbon uptake and emissions by oceans in a changing climate', which received funding from the European Community's Seventh Framework Programme under grant agreement no. 264879.</t>
  </si>
  <si>
    <t>0954-1020</t>
  </si>
  <si>
    <t>1365-2079</t>
  </si>
  <si>
    <t>ANTARCT SCI</t>
  </si>
  <si>
    <t>Antarct. Sci.</t>
  </si>
  <si>
    <t>10.1017/S0954102021000456</t>
  </si>
  <si>
    <t>Environmental Sciences; Geography, Physical; Geosciences, Multidisciplinary</t>
  </si>
  <si>
    <t>Environmental Sciences &amp; Ecology; Physical Geography; Geology</t>
  </si>
  <si>
    <t>YF0HT</t>
  </si>
  <si>
    <t>WOS:000737585000001</t>
  </si>
  <si>
    <t>Morales-Quintana, L; Barrera, A; Hereme, R; Jara, K; Rivera-Mora, C; Valenzuela-Riffo, F; Gundel, PE; Pollmann, S; Ramos, P</t>
  </si>
  <si>
    <t>Morales-Quintana, Luis; Barrera, Andrea; Hereme, Rasme; Jara, Karla; Rivera-Mora, Claudia; Valenzuela-Riffo, Felipe; Gundel, Pedro E.; Pollmann, Stephan; Ramos, Patricio</t>
  </si>
  <si>
    <t>Molecular and structural characterization of expansins modulated by fungal endophytes in the Antarctic Colobanthus quitensis (Kunth) Bartl. Exposed to drought stress</t>
  </si>
  <si>
    <t>PLANT PHYSIOLOGY AND BIOCHEMISTRY</t>
  </si>
  <si>
    <t>Cell wall; Climate change; Drought stress; Fungal endophytes; Molecular response</t>
  </si>
  <si>
    <t>3-DIMENSIONAL STRUCTURES; BACTERIAL EXPANSIN; CRYSTAL-STRUCTURE; PLANT EXPANSINS; GENE; PROTEIN; IDENTIFICATION; DEHYDRATION; RECOGNITION; DISRUPTION</t>
  </si>
  <si>
    <t>Expansins are proteins involved in cell wall metabolism that play an important role in plant growth, development, fruit ripening and abiotic stress tolerance. In the present study, we analyzed putative expansins that respond to drought stress. Five expansin genes were identified in cDNA libraries isolated from Colobanthus quitensis gown either with or without endophytic fungi under hydric stress. A differential transcript abundance was observed by qPCR analysis upon drought stress. To compare these expansin genes, and to suggest a possible mechanism of action at the molecular level, the structural model of the deduced proteins was obtained by comparative modeling methodology. The structures showed two domains and an open groove on the surface of the proteins was observed in the five structural models. The proteins were evaluated in terms of their proteinligand interactions using four different ligands. The results suggested differences in their mode of proteinligand interaction, in particular concerning the residues involved in the protein-ligand interaction. The presented evidence supports the participation of some members of the expansin multiprotein family in the response to drought stress in C. quitensis and suggest that the response is modulated by endophytic fungi.</t>
  </si>
  <si>
    <t>[Morales-Quintana, Luis] Univ Autonoma Chile, Fac Ciencias Salud, Inst Ciencias Biomed, Multidisciplinary Agroind Res Lab, Talca 3467987, Chile; [Barrera, Andrea; Hereme, Rasme; Jara, Karla; Rivera-Mora, Claudia; Valenzuela-Riffo, Felipe; Gundel, Pedro E.] Univ Talca, Inst Ciencias Biol, Talca, Chile; [Gundel, Pedro E.] Univ Buenos Aires, CONICET, Fac Agron, IFEVA, Buenos Aires, DF, Argentina; [Pollmann, Stephan] Univ Politecn Madrid UPM, Ctr Biotecnol &amp; Genom Plantas, Inst Nacl Invest &amp; Tecnol Agr &amp; Alimentaria INIA, Pozuelo De Alarcon, Spain; [Ramos, Patricio] Univ Catolica Maule, Vicerrectoria Invest &amp; Postgrad, Ctr Invest Estudios Avanzados Maule CIEAM, Talca, Chile; [Ramos, Patricio] Univ Catolica Maule, Fac Ciencias Agr &amp; Forestales, Ctr Biotecnol Recursos Nat CenBio, Talca, Chile</t>
  </si>
  <si>
    <t>Universidad Autonoma de Chile; University of Buenos Aires; Consejo Nacional de Investigaciones Cientificas y Tecnicas (CONICET); Universidad Politecnica de Madrid; Universidad Catolica del Maule; Universidad Catolica del Maule</t>
  </si>
  <si>
    <t>Ramos, P (corresponding author), Univ Catolica Maule, Vicerrectoria Invest &amp; Postgrad, Ctr Invest Estudios Avanzados Maule CIEAM, Talca, Chile.</t>
  </si>
  <si>
    <t>pramos@ucm.cl</t>
  </si>
  <si>
    <t>Pollmann, Stephan/C-2776-2009; Pollmann, Stephan/ABC-8203-2020; Gundel, Pedro Emilio/A-5314-2013; Valenzuela-Riffo, Felipe/AGI-9122-2022; Ramos, Patricio/B-6665-2017; Morales-Quintana, Luis/I-4299-2018</t>
  </si>
  <si>
    <t>Pollmann, Stephan/0000-0002-5111-4425; Gundel, Pedro Emilio/0000-0003-3246-0282; Ramos, Patricio/0000-0001-8341-314X; Morales-Quintana, Luis/0000-0002-7194-1989; , Claudia Rivera-Mora/0000-0001-6258-2366; Valenzuela-Riffo, Felipe/0000-0001-7396-5207</t>
  </si>
  <si>
    <t>Agencia Nacional de Investigacion y Desarrollo (ANID, Chile) [190093, 190078, 1211057]</t>
  </si>
  <si>
    <t>Agencia Nacional de Investigacion y Desarrollo (ANID, Chile)</t>
  </si>
  <si>
    <t>The Agencia Nacional de Investigacion y Desarrollo (ANID, Chile) [grants REDES #190093 to L.M-Q; REDES #190078 to P.R.; FONDECYT #1211057 to P.R.] supported the work. The funders had no role in study design, data collection and analysis, decision to publish, or preparation of the manuscript.</t>
  </si>
  <si>
    <t>ELSEVIER FRANCE-EDITIONS SCIENTIFIQUES MEDICALES ELSEVIER</t>
  </si>
  <si>
    <t>ISSY-LES-MOULINEAUX</t>
  </si>
  <si>
    <t>65 RUE CAMILLE DESMOULINS, CS50083, 92442 ISSY-LES-MOULINEAUX, FRANCE</t>
  </si>
  <si>
    <t>0981-9428</t>
  </si>
  <si>
    <t>1873-2690</t>
  </si>
  <si>
    <t>PLANT PHYSIOL BIOCH</t>
  </si>
  <si>
    <t>Plant Physiol. Biochem.</t>
  </si>
  <si>
    <t>10.1016/j.plaphy.2021.10.036</t>
  </si>
  <si>
    <t>XH7NI</t>
  </si>
  <si>
    <t>WOS:000725616300001</t>
  </si>
  <si>
    <t>Wang, XW; Voytenko, D; Holland, DM</t>
  </si>
  <si>
    <t>Wang, Xianwei; Voytenko, Denis; Holland, David M.</t>
  </si>
  <si>
    <t>Accuracy evaluation of digital elevation models derived from Terrestrial Radar Interferometer over Helheim Glacier, Greenland</t>
  </si>
  <si>
    <t>Helheim Glacier; Terrestrial radar interferometer; Digital elevation model; ICESat; GLAS; ICESat-2; ATLAS; ArcticDEM; Accuracy and precision</t>
  </si>
  <si>
    <t>ANTARCTIC ICE-SHEET; JAKOBSHAVN ISBRAE; SURFACE ELEVATION; SOUTHEASTERN ICELAND; SNOW COVER; TANDEM-X; OCEAN; DEM; TOPOGRAPHY; STABILITY</t>
  </si>
  <si>
    <t>Glaciers in polar regions are sensitive to climate and ocean changes and can thin rapidly as a consequence of global warming. Digital Elevation Models (DEMs) from remote sensing observations have been widely used to detect changes in polar glaciers. DEMs from Terrestrial Radar Interferometer (TRI) have recently been used for high frequency glacier change and glacier-ocean interaction studies. However, it is unclear whether TRI DEM over a large study area can be combined directly with remote sensing observations to investigate glacier changes as well as the accuracy of TRI DEM at far range. In this study, we deployed a TRI close to Helheim Glacier, East Greenland and generated DEMs using TRI and satellite laser altimetry. We analyzed the accuracy of the TRI DEM using theoretical calculations, comparisons based on repeat observations, and comparisons with a high accurate ArcticDEM. The validation results suggest that for stable ground surfaces, the uncertainty (standard deviation) is &lt;5 m at range &lt; 9.8 km. Averaging across time (e.g. one hour) decreases the uncertainty almost linearly with range, over 0.5 m to 1.2 m when the range increases from 7.0 km to 10.0 km. Increasing the correlation coefficient threshold for phase unwrapping does not significantly reduce uncertainty. TRI DEMs are influenced by systematic error at far range primarily due to coarse azimuth resolution and phase unwrapping difficulties in discontinuous interferograms. As the absolute accuracy of TRI DEMs is not uniformly distributed in the range direction (farther points have worse uncertainty), our findings indicate that TRI DEMs within range of 10 km can reach &lt;5 m uncertainty, which can be compared with DEMs obtained from remote sensing satellites to detect glacier thinning.</t>
  </si>
  <si>
    <t>[Wang, Xianwei; Holland, David M.] New York Univ Abu Dhabi, Ctr Global Sea Level Change, Abu Dhabi 129188, U Arab Emirates; [Wang, Xianwei] Shanghai Jiao Tong Univ, Sch Oceanog, Shanghai 200030, Peoples R China; [Voytenko, Denis; Holland, David M.] NYU, Courant Inst Math Sci, 251 Mercer St, New York, NY 10012 USA</t>
  </si>
  <si>
    <t>New York University Abu Dhabi; Shanghai Jiao Tong University; New York University</t>
  </si>
  <si>
    <t>Wang, XW (corresponding author), New York Univ Abu Dhabi, Ctr Global Sea Level Change, Abu Dhabi 129188, U Arab Emirates.;Wang, XW (corresponding author), Shanghai Jiao Tong Univ, Sch Oceanog, Shanghai 200030, Peoples R China.</t>
  </si>
  <si>
    <t>wangxianwei0304@163.com</t>
  </si>
  <si>
    <t>wang, xianwei/0000-0002-2119-0267</t>
  </si>
  <si>
    <t>Center for Global Sea Level Change, New York University Abu Dhabi Research Institute [G1204]; National Science Foundation of the USA [ARC-1304137]; NASA Oceans Melting Greenland [NNX15AD55G]; Advanced Polar Science Institute of Shanghai (APSIS); Polar Geospatial Center under NSF-OPP awards [1043681, 1559691]; NASA [NNX15AD55G, 808718] Funding Source: Federal RePORTER</t>
  </si>
  <si>
    <t>Center for Global Sea Level Change, New York University Abu Dhabi Research Institute; National Science Foundation of the USA(National Science Foundation (NSF)); NASA Oceans Melting Greenland; Advanced Polar Science Institute of Shanghai (APSIS); Polar Geospatial Center under NSF-OPP awards; NASA(National Aeronautics &amp; Space Administration (NASA))</t>
  </si>
  <si>
    <t>We acknowledge Denise Holland from Center for Global Sea Level Change, New York University Abu Dhabi for organizing the field logistics. This research was supported by the Center for Global Sea Level Change (CSLC) of NYU Abu Dhabi Research Institute (G1204), the National Science Foundation (ARC-1304137) of the USA, NASA Oceans Melting Greenland to NYU (NNX15AD55G) and Advanced Polar Science Institute of Shanghai (APSIS). We are grateful to United States Geological Survey (USGS) for free use of Landsat images, to the National Snow and Ice Data Center (NSIDC) for free use of ICESat/GLAS and ICESat-2/ATLAS data. The ArcticDEM is provided by the Polar Geospatial Center under NSF-OPP awards 1043681 and 1559691.</t>
  </si>
  <si>
    <t>10.1016/j.rse.2021.112759</t>
  </si>
  <si>
    <t>XD2YJ</t>
  </si>
  <si>
    <t>WOS:000722575600004</t>
  </si>
  <si>
    <t>Azad, MA; Islam, SS; Amin, MN; Ghosh, AK; Hasan, KR; Bir, J; Banu, GR; Huq, KA</t>
  </si>
  <si>
    <t>Azad, Md. Abul Kalam; Islam, Shikder Saiful; Amin, Md. Nurul; Ghosh, Alokesh Kumar; Hasan, Khandaker Rasel; Bir, Joyanta; Banu, Ghausiatur Reza; Huq, Khandaker Anisul</t>
  </si>
  <si>
    <t>Production and economics of probiotics treated Macrobrachium rosenbergii at different stocking densities</t>
  </si>
  <si>
    <t>ANIMAL FEED SCIENCE AND TECHNOLOGY</t>
  </si>
  <si>
    <t>Macrobrachium rosenbergii; Probiotics; Stocking density; Growth</t>
  </si>
  <si>
    <t>FRESH-WATER PRAWN; LENGTH-WEIGHT RELATIONSHIP; DE-MAN; SHRIMP AQUACULTURE; GROWTH; SURVIVAL; RIVER; DIGESTIBILITY; PALAEMONIDAE; EVOLUTION</t>
  </si>
  <si>
    <t>The effect of stocking density on growth, production, feed utilization and condition factor of probiotic treated Macrobrachium rosenbergii were analyzed in the present study. Juvenile prawn of weight 3.48 +/- 1.4 g was stocked at the densities of 2, 3, 4 and 5 individuals/m(2) respectively in T1, T2, T3 and T4. A supplementary diet containing 32% protein was used with the commercial feed probiotics Zymetin daily and soil probiotics Super PS weekly. After 180-days culture-period, significant differences in growth parameters were observed between different treatments (F-3,F-645 = 228.81, P &lt; 0.01). The highest and lowest final mean body weight (56.95 +/- 6.7 g and 30.85 +/- 11.43 g), weight gain (47.47 +/- 6.74 g and 27.37 +/- 11.43 g), specific growth rate (1.49 +/- 0.07% BW/day and 1.18 +/- 0.19% BW/day), and survival rate (88.43 +/- 0.46% and 69.23 +/- 0.32%) were found in T1 and T4, respectively. The treatments containing lower stocking densities showed better feed utilization indices; and except T4, higher stocking densities showed better gross production. The length-weight analysis showed positive allometry in T1, T2 and T3; whereas, it was isometric in T4. The condition factors varied between 0.80 and 1.16 indicating the healthy condition of the prawns in all groups. Water quality parameters were found within the acceptable limits in all treatments. Probiotic treated prawn cultured with the density of 3/m(2) obtained highest gross return, and net returns to land, family labor and management, would be considered for the best practice of commercial prawn production.</t>
  </si>
  <si>
    <t>[Azad, Md. Abul Kalam; Islam, Shikder Saiful; Ghosh, Alokesh Kumar; Bir, Joyanta; Banu, Ghausiatur Reza; Huq, Khandaker Anisul] Khulna Univ, Fisheries &amp; Marine Resource Technol Discipline, Khulna 9208, Bangladesh; [Azad, Md. Abul Kalam] Minist Fisheries &amp; Livestock, Dept Fisheries, Dhaka, Bangladesh; [Islam, Shikder Saiful; Amin, Md. Nurul] Univ Tasmania, Inst Marine &amp; Antarctic Studies, Private Bag 1370, Launceston, Tas 7250, Australia; [Ghosh, Alokesh Kumar] Katholieke Univ Leuven, Fac Sci, Dept Biol, Anim Physiol &amp; Neurobiol Sect, B-3000 Leuven, Belgium; [Hasan, Khandaker Rasel] Bangabandhu Sheikh Mujibur Rahman Maritime Univ, Dept Port &amp; Shipping Management, Plot 14-06-14-23,Pallabi Mirpur 12, Dhaka 1216, Bangladesh</t>
  </si>
  <si>
    <t>Khulna University; University of Tasmania; KU Leuven</t>
  </si>
  <si>
    <t>Islam, SS (corresponding author), Khulna Univ, Fisheries &amp; Marine Resource Technol Discipline, Khulna 9208, Bangladesh.</t>
  </si>
  <si>
    <t>shikdersaiful.islam@ku.ac.bd</t>
  </si>
  <si>
    <t>Islam, Shikder Saiful/ABC-3688-2021; Schramm, Hans-Joachim/E-5108-2014; Amin, Md Nurul/GXV-3562-2022; Amin, Muhamad/R-4343-2019</t>
  </si>
  <si>
    <t>Islam, Shikder Saiful/0000-0001-7134-6736; Schramm, Hans-Joachim/0000-0001-9086-1493; Amin, Muhamad/0000-0002-7633-8388; Bir, Joyanta/0000-0002-7106-7814; Amin, Md. Nurul/0000-0002-3640-6913; Hasan, Khandaker Rasel/0000-0002-5614-4025</t>
  </si>
  <si>
    <t>Ministry of Education, Government of the People's Republic of Bangladesh [37.01.0000.078.02.018.13-206 (38) /6]; Ministry of Science and Technology, Government of the People's Republic of Bangladesh [39.012.002.01.03.022.2015-439]</t>
  </si>
  <si>
    <t>Ministry of Education, Government of the People's Republic of Bangladesh; Ministry of Science and Technology, Government of the People's Republic of Bangladesh</t>
  </si>
  <si>
    <t>The authors would like to acknowledge the Ministry of Education, Government of the People's Republic of Bangladesh for the 'Grants for Advanced Studies in Science' (grant ID: No. 37.01.0000.078.02.018.13-206 (38) /6) to carry out this research work. The authors also gratefully acknowledge the Ministry of Science and Technology, Government of the People's Republic of Bangladesh forproviding National Science and Technology (NST) fellowship (grant ID: No. 39.012.002.01.03.022.2015-439) to the first author of this paper. Md. Naser All Mahadi, Prosen Majumder and Md. Amirul Islam are highly acknowledged by the authors for their sincere co-operation during sampling and measuring the sampled prawn. Sincere acknowledgement goes to Shrimp Research Station, Bangladesh Fisheries Research Institute, Bagerhat, Bangladesh for their extended support to determine proximate composition and water quality in their laboratory.</t>
  </si>
  <si>
    <t>0377-8401</t>
  </si>
  <si>
    <t>1873-2216</t>
  </si>
  <si>
    <t>ANIM FEED SCI TECH</t>
  </si>
  <si>
    <t>Anim. Feed Sci. Technol.</t>
  </si>
  <si>
    <t>10.1016/j.anifeedsci.2021.115125</t>
  </si>
  <si>
    <t>Agriculture, Dairy &amp; Animal Science</t>
  </si>
  <si>
    <t>WZ2OO</t>
  </si>
  <si>
    <t>WOS:000719811700013</t>
  </si>
  <si>
    <t>Puskic, PS; Coghlan, AR</t>
  </si>
  <si>
    <t>Puskic, Peter S.; Coghlan, Amy R.</t>
  </si>
  <si>
    <t>Minimal meso-plastics detected in Australian coastal reef fish</t>
  </si>
  <si>
    <t>Plastic pollution; Diet; Baseline; Ingestion; Coastal litter; Fish</t>
  </si>
  <si>
    <t>AQUATIC ORGANISMS; MICROPLASTICS; INGESTION; ACCUMULATION; ENVIRONMENT; SEABIRDS</t>
  </si>
  <si>
    <t>Recording plastic ingestion across various species and spatial scales is key to elucidating the impact of plastic pollution on coastal and marine ecosystems. The effect of plastic ingestion on the diets, physiologies, and behaviors of selected fish species are well documented under laboratory settings. However, prevalence of plastic ingestion in wild fish across latitudinal gradients is yet to be widely documented; with a substantial lack of research in the Southern Hemisphere. We analyzed the gut content of reef fish across similar to 30 degrees latitude of the east coast of Australia. Of 876 fish examined from 140 species (83 genera and 37 families), 12 individuals had visible (meso-plastics detectable to the naked eye) plastics present in the gut. Here, we present a first-look at plastic ingestion for coastal species with this region.</t>
  </si>
  <si>
    <t>[Puskic, Peter S.; Coghlan, Amy R.] Univ Tasmania, Inst Marine &amp; Antarctic Studies, Hobart, Tas 7000, Australia; [Puskic, Peter S.] Univ Tasmania, Ctr Marine Sociol, Hobart, Tas, Australia</t>
  </si>
  <si>
    <t>Coghlan, AR (corresponding author), Univ Tasmania, Inst Marine &amp; Antarctic Studies, Hobart, Tas 7000, Australia.</t>
  </si>
  <si>
    <t>amy.coghlan@utas.edu.au</t>
  </si>
  <si>
    <t>Puskic, Peter S/AAD-7887-2022</t>
  </si>
  <si>
    <t>Puskic, Peter S/0000-0003-1352-8843</t>
  </si>
  <si>
    <t>ARC Discovery grant [DP170104240]</t>
  </si>
  <si>
    <t>ARC Discovery grant(Australian Research Council)</t>
  </si>
  <si>
    <t>We acknowledge the traditional owners of the lands and waters where this study took place, the Palawa/Pakana, Eora, Yuin, Gumbaynggirr, and Dingaal peoples. Thanks to Dr. A. Audzijonyte, Dr. J. Blanchard, Dr. R. Stuart-Smith for their supervision of the PhD from which this data was collected. This study was supported by the ARC Discovery grant DP170104240 (to Julia L. Blanchard, Gretta Pecl and Rick D. Stuart-Smith) which supported A.R.C's PhD. Thanks also to Dr. L. Roman, and C. Serra-Goncalves for support regarding the manuscript. We are grateful to the many volunteer spear-fishers who assisted with the collection and processing of specimens, notably Dr. D.O. Cruz, Dr. T. Botterill-James, M. Parker, S. Smith, and S. Powell; and Dr. R. Evans for assistance in the sample processing. Many thanks to Dr. T. Rodemannn at the Central Sciences Lab at the University of Tasmania for the assistance with FTIR analysis, for which funding was provided by the Centre for Marine Socioecology. Thanks to Ocean Diagnostics for the use of the Saturna Microplastics Imaging System. Comments from three anonymous reviewers tremendously improved earlier drafts and provided much needed encouragement.</t>
  </si>
  <si>
    <t>PART A</t>
  </si>
  <si>
    <t>10.1016/j.marpolbul.2021.113074</t>
  </si>
  <si>
    <t>WY5DB</t>
  </si>
  <si>
    <t>WOS:000719297300001</t>
  </si>
  <si>
    <t>Ekwealor, JTB; Mishler, BD</t>
  </si>
  <si>
    <t>Ekwealor, Jenna T. B.; Mishler, Brent D.</t>
  </si>
  <si>
    <t>Transcriptomic Effects of Acute Ultraviolet Radiation Exposure on Two Syntrichia Mosses</t>
  </si>
  <si>
    <t>FRONTIERS IN PLANT SCIENCE</t>
  </si>
  <si>
    <t>Syntrichia caninervis; Syntrichia ruralis; bryophyte; desiccation tolerance; transcriptomics; UV radiation tolerance</t>
  </si>
  <si>
    <t>UV-B RADIATION; DESICCATION-TOLERANCE; ANTARCTIC MOSS; SOLAR ULTRAVIOLET; OXIDATIVE STRESS; TORTULA-RURALIS; PLANT; LIGHT; BRYOPHYTES; RESPONSES</t>
  </si>
  <si>
    <t>Ultraviolet radiation (UVR) is a major environmental stressor for terrestrial plants. Here we investigated genetic responses to acute broadband UVR exposure in the highly desiccation-tolerant mosses Syntrichia caninervis and Syntrichia ruralis, using a comparative transcriptomics approach. We explored whether UVR protection is physiologically plastic and induced by UVR exposure, addressing the following questions: (1) What is the timeline of changes in the transcriptome with acute UVR exposure in these two species? (2) What genes are involved in the UVR response? and (3) How do the two species differ in their transcriptomic response to UVR? There were remarkable differences between the two species after 10 and 30 min of UVR exposure, including no overlap in significantly differentially abundant transcripts (DATs) after 10 min of UVR exposure and more than twice as many DATs for S. caninervis as there were for S. ruralis. Photosynthesis-related transcripts were involved in the response of S. ruralis to UVR, while membrane-related transcripts were indicated in the response of S. caninervis. In both species, transcripts involved in oxidative stress and those important for desiccation tolerance (such as late embryogenesis abundant genes and early light-inducible protein genes) were involved in response to UVR, suggesting possible roles in UVR tolerance and cross-talk with desiccation tolerance in these species. The results of this study suggest potential UVR-induced responses that may have roles outside of UVR tolerance, and that the response to URV is different in these two species, perhaps a reflection of adaptation to different environmental conditions.</t>
  </si>
  <si>
    <t>[Ekwealor, Jenna T. B.; Mishler, Brent D.] Univ Calif Berkeley, Dept Integrat Biol, Berkeley, CA 94720 USA; [Ekwealor, Jenna T. B.; Mishler, Brent D.] Univ Calif Berkeley, Univ &amp; Jepson Herbaria, Berkeley, CA 94720 USA</t>
  </si>
  <si>
    <t>University of California System; University of California Berkeley; University of California System; University of California Berkeley</t>
  </si>
  <si>
    <t>Ekwealor, JTB (corresponding author), Univ Calif Berkeley, Dept Integrat Biol, Berkeley, CA 94720 USA.;Ekwealor, JTB (corresponding author), Univ Calif Berkeley, Univ &amp; Jepson Herbaria, Berkeley, CA 94720 USA.</t>
  </si>
  <si>
    <t>ekwealorj@si.edu</t>
  </si>
  <si>
    <t>Ekwealor, Jenna/K-6733-2019</t>
  </si>
  <si>
    <t>Ekwealor, Jenna/0000-0001-9014-8786</t>
  </si>
  <si>
    <t>University of California, Berkeley</t>
  </si>
  <si>
    <t>University of California, Berkeley(University of California System)</t>
  </si>
  <si>
    <t>Funding This work was supported by the University of California, Berkeley, Department of Integrative Biology Graduate Research Fund (to JE), California Native Plant Society, East Bay, Wolf Grant (to JE), Berkeley Chapter of Sigma Xi Grant-in-Aid of Research (to JE), University of California Berkeley Fellowship (to JE), UC Berkeley Pinto-Fialon Fellowship (to JE), and National Science Foundation Dimensions of Biodiversity award (DEB-1638956, to BM).</t>
  </si>
  <si>
    <t>1664-462X</t>
  </si>
  <si>
    <t>FRONT PLANT SCI</t>
  </si>
  <si>
    <t>Front. Plant Sci.</t>
  </si>
  <si>
    <t>10.3389/fpls.2021.752913</t>
  </si>
  <si>
    <t>WW2GD</t>
  </si>
  <si>
    <t>WOS:000717741000001</t>
  </si>
  <si>
    <t>Navarrete, C</t>
  </si>
  <si>
    <t>Navarrete, C.</t>
  </si>
  <si>
    <t>The volcanism of the Jurassic Chon Aike Silicic LIP influenced by Paleozoic inherited crustal structures in the northeastern Deseado Massif, Patagonia</t>
  </si>
  <si>
    <t>JOURNAL OF SOUTH AMERICAN EARTH SCIENCES</t>
  </si>
  <si>
    <t>Jurassic; Deseado massif; Volcanism; Patagonia; Chon aike silicic LIP</t>
  </si>
  <si>
    <t>ANTARCTIC PENINSULA; WATER CONCENTRATION; BAHIA LAURA; VEIN SYSTEM; SANTA-CRUZ; BREAK-UP; PROVINCE; ROCKS; PLAGIOCLASE; ARGENTINA</t>
  </si>
  <si>
    <t>An area of similar to 40 km(2) located in the northeastern sector of the Deseado Massif is detailed studied, in which Paleozoic metamorphic and Jurassic volcanic rocks crop out. Two genetically linked and compositionally different Jurassic volcanic events of the Chon Aike Silicic LIP are documented by geological mapping and lithofacies and petrographic analyses. The first event was only represented by andesitic lava flows assignable to the intermediate portion of the Bahia Laura Volcanic Complex (Bajo Pobre Formation). The second was represented by the acidic rocks of the Bahia Laura Volcanic Complex (Chon Aike and La Matilde formations) and it was constituted by low-grade and moderate grade ignimbrites, pyroclastic fall deposits (ash tuffs) and several lava bodies (rhyolitic lava domes and lava flows). Firstly, the effusive eruptions dominated during the intermediate magmatic eruptions, whereas the explosives mechanisms dominated during the first stage of the acidic magma extrusion, to end with effusive eruptions of previously degassed magma. According to the morphology of the NNW-elongated lava domes (feeder conduits plugs) and internal measurements carried out on these rhyolitic bodies, fissure conduits are interpreted, which were directly controlled by the Paleozoic inherited structures during the Jurassic extensional tectonic reactivation ascribed to the initial stages of the Gondwana breakup.</t>
  </si>
  <si>
    <t>[Navarrete, C.] Univ Nacl Patagonia San Juan Bosco, Lab Patagon Petro Tecton, Dept Geol, Fac Ciencias Nat, Comodoro Rivadavia, Chubut, Argentina; [Navarrete, C.] Consejo Nacl Invest Cient &amp; Tecn, Buenos Aires, DF, Argentina</t>
  </si>
  <si>
    <t>Universidad Nacional de la Patagonia San Juan Bosco; Consejo Nacional de Investigaciones Cientificas y Tecnicas (CONICET)</t>
  </si>
  <si>
    <t>Navarrete, C (corresponding author), Univ Nacl Patagonia San Juan Bosco, Lab Patagon Petro Tecton, Dept Geol, Fac Ciencias Nat, Comodoro Rivadavia, Chubut, Argentina.;Navarrete, C (corresponding author), Consejo Nacl Invest Cient &amp; Tecn, Buenos Aires, DF, Argentina.</t>
  </si>
  <si>
    <t>cesarnavarrete@live.com.ar</t>
  </si>
  <si>
    <t>Navarrete, Cesar/0000-0001-7106-3672</t>
  </si>
  <si>
    <t>Laboratorio Patagonico de Petro-Tectonica of the Universidad Nacional de la Patagonia San Juan Bosco (UNPSJB)</t>
  </si>
  <si>
    <t>I wish to acknowledge the support received by the Laboratorio Patagonico de Petro-Tectonica of the Universidad Nacional de la Patagonia San Juan Bosco (UNPSJB) and the unconditional support of my family. I also want to thank the three reviewers, Patricia Sruoga, Diego Guido and Daniel Gregori, who made corrections and suggestions that helped me to improve this work. Finally, I want to thank the editor-inchief, Andres Folguera, for his support. This article is dedicated to Isabella Navarrete Calvo.</t>
  </si>
  <si>
    <t>0895-9811</t>
  </si>
  <si>
    <t>1873-0647</t>
  </si>
  <si>
    <t>J S AM EARTH SCI</t>
  </si>
  <si>
    <t>J. South Am. Earth Sci.</t>
  </si>
  <si>
    <t>10.1016/j.jsames.2021.103611</t>
  </si>
  <si>
    <t>WW6TG</t>
  </si>
  <si>
    <t>WOS:000718045800001</t>
  </si>
  <si>
    <t>Zhang, X; Zhang, ZF; Zhang, XM; Yang, PF; Li, YF; Cai, MH; Kallenborn, R</t>
  </si>
  <si>
    <t>Zhang, Xue; Zhang, Zi-Feng; Zhang, Xianming; Yang, Pu-Fei; Li, Yi-Fan; Cai, Minghong; Kallenborn, Roland</t>
  </si>
  <si>
    <t>Dissolved polycyclic aromatic hydrocarbons from the Northwestern Pacific to the Southern Ocean: Surface seawater distribution, source apportionment, and air-seawater exchange</t>
  </si>
  <si>
    <t>WATER RESEARCH</t>
  </si>
  <si>
    <t>PAHs; Spatial distribution; Ocean currents; Air-seawater exchange; Positive matrix factorization model</t>
  </si>
  <si>
    <t>POSITIVE MATRIX FACTORIZATION; ORGANOCHLORINE PESTICIDES; SPATIAL-DISTRIBUTION; PAHS; URBAN; ATMOSPHERE; DEPOSITION; FATE; HEXACHLOROCYCLOHEXANES; SEDIMENTS</t>
  </si>
  <si>
    <t>Polycyclic aromatic hydrocarbons (PAHs) as a group of toxic and carcinogenic compounds are large scale globally emitted anthropogenic pollutants mainly emitted into the atmosphere. However, atmospheric transport cannot fully explain the spatial variability of PAHs in the marine atmosphere and seawater. It is hypothesized that PAHs accumulated in seawater and ocean circulation can also influence PAHs observed in air above the ocean. In order to investigate PAHs in seawater as a potential secondary source to air, we collected paired air and seawater samples during a research cruise from China to the Antarctic in 2018-2019, covering the Pacific Ocean, the Indian Ocean, and the Southern Ocean. Summed concentrations of 28 analyzed PAHs in seawater were highest in the Pacific Ocean (4000 +/- 1400 pg/L), followed by the Indian Ocean (2700 +/- 1000 pg/L), and the Southern Ocean (2300 +/- 520 pg/L). Three-ringed PAHs dominated the composition profile. We found that PAH levels in the Pacific and Indian Oceans were strong inversely correlated with salinity and distance to the coastline. This suggests that riverine inputs and continental discharges are important sources of PAHs to the marine environment. Derived air-seawater fugacity ratios suggest that net fluxes of PAHs were from seawater to the air in the Pacific and Indian Oceans at 9.0-8100 (median: 1600) ng/m2/d and 290-2000 (median: 1300) ng/ m2/d, respectively. In the Southern Ocean, the net flow of PAHs was from air to seawater with a flux of -1000-450 (median: -82) ng/m2/d. Source apportionment from two different models suggested that the largest contribution to total PAHs was from petrogenic sources (44-57%), followed by coal/wood combustion (30-31%), fossil fuel combustion (15%), and engine combustion emissions (2.8-9.5%). Higher contributions from petrogenic sources were found at sites close to coastal regions. Both coal/wood combustion and petrogenic sources are responsible for the PAH concentrations detected in the Indian and Southern Oceans.</t>
  </si>
  <si>
    <t>[Zhang, Xue; Zhang, Zi-Feng; Yang, Pu-Fei; Li, Yi-Fan; Kallenborn, Roland] Harbin Inst Technol, Int Joint Res Ctr Persistent Tox Subst IJRC PTS, State Key Lab Urban Water Resource &amp; Environm, Harbin 150090, Peoples R China; [Zhang, Xue; Zhang, Zi-Feng; Yang, Pu-Fei; Li, Yi-Fan; Kallenborn, Roland] Harbin Inst Technol, Polar Acad, Int Joint Res Ctr Arct Environm &amp; Ecosyst IJRC AE, Harbin 150090, Peoples R China; [Zhang, Xue; Zhang, Zi-Feng; Yang, Pu-Fei; Li, Yi-Fan; Kallenborn, Roland] Harbin Inst Technol HIT, Heilongjiang Prov Key Lab Polar Environm &amp; Ecosys, Harbin 150090, Peoples R China; [Zhang, Xianming] Concordia Univ, Dept Chem &amp; Biochem, 7141 Sherbrooke St West, Montreal, PQ H4B 1R6, Canada; [Li, Yi-Fan] IJRC PTS NA, Toronto, ON M2N 6X9, Canada; [Cai, Minghong] Minist Nat Resources, Polar Res Inst China, Key Lab Polar Sci, 451 Jinqiao Rd, Shanghai 200136, Peoples R China; [Cai, Minghong] Shanghai Jiao Tong Univ, Sch Oceanog, 1954 Huashan Rd, Shanghai 200030, Peoples R China; [Kallenborn, Roland] Norwegian Univ Life Sci NMBU, Fac Chem Biotechnol &amp; Food Sci KBM, As, Norway</t>
  </si>
  <si>
    <t>Harbin Institute of Technology; Harbin Institute of Technology; Harbin Institute of Technology; Concordia University - Canada; Ministry of Natural Resources of the People's Republic of China; Polar Research Institute of China; Shanghai Jiao Tong University; Norwegian University of Life Sciences</t>
  </si>
  <si>
    <t>Cai, MH (corresponding author), Minist Nat Resources, Polar Res Inst China, Key Lab Polar Sci, 451 Jinqiao Rd, Shanghai 200136, Peoples R China.;Zhang, ZF; Cai, MH (corresponding author), Harbin Inst Technol, State Key Lab Urban Water Resource &amp; Environm, 73 Huanghe Rd, Harbin 150090, Heilongjiang, Peoples R China.</t>
  </si>
  <si>
    <t>zifeng_zhang@aliyun.com; caiminghong@pric.org.cn</t>
  </si>
  <si>
    <t>Li, Yifan/HGA-6843-2022; Zhang, Zi-Feng/GPT-2243-2022; Li, Yifan/JCE-0660-2023; Liu, Yi/HTN-4916-2023; LI, yi/HKO-0480-2023; Li, Yifan/IAQ-2592-2023; Kallenborn, Roland/F-8368-2011; Zhang, Xianming/A-2926-2010</t>
  </si>
  <si>
    <t>Li, Yifan/0000-0002-3249-1778; Li, Yifan/0000-0002-3249-1778; Li, Yifan/0000-0002-9243-0264; Kallenborn, Roland/0000-0003-1703-2538; Zhang, Zifeng/0000-0001-6439-4975; Zhang, Xianming/0000-0002-5301-7899</t>
  </si>
  <si>
    <t>0043-1354</t>
  </si>
  <si>
    <t>1879-2448</t>
  </si>
  <si>
    <t>WATER RES</t>
  </si>
  <si>
    <t>Water Res.</t>
  </si>
  <si>
    <t>10.1016/j.watres.2021.117780</t>
  </si>
  <si>
    <t>Engineering, Environmental; Environmental Sciences; Water Resources</t>
  </si>
  <si>
    <t>Engineering; Environmental Sciences &amp; Ecology; Water Resources</t>
  </si>
  <si>
    <t>WP7KS</t>
  </si>
  <si>
    <t>WOS:000713306300006</t>
  </si>
  <si>
    <t>van Geel, B; van Leeuwen, JFN; Nooren, K; Mol, D; den Ouden, N; van der Knaap, PWO; Seersholm, FV; Rey-Iglesia, A; Lorenzen, ED</t>
  </si>
  <si>
    <t>van Geel, Bas; van Leeuwen, Jacqueline F. N.; Nooren, Kees; Mol, Dick; den Ouden, Natasja; van der Knaap, Pim W. O.; Seersholm, Frederik, V; Rey-Iglesia, Alba; Lorenzen, Eline D.</t>
  </si>
  <si>
    <t>Diet and environment of Mylodon darwinii based on pollen of a Late-Glacial coprolite from the Mylodon Cave in southern Chile</t>
  </si>
  <si>
    <t>REVIEW OF PALAEOBOTANY AND PALYNOLOGY</t>
  </si>
  <si>
    <t>Chile; Coprolite; Diet; Giant ground sloth; Late-Glacial; Pollen</t>
  </si>
  <si>
    <t>CUEVA DEL-MILODON; LATE PLEISTOCENE; GROUND SLOTH; ULTIMA ESPERANZA; PATAGONIA; DNA; VARIABILITY; EXTINCTIONS; CHRONOLOGY; VEGETATION</t>
  </si>
  <si>
    <t>We studied the pollen content of a well-preserved coprolite of a Late-Glacial giant ground sloth (Mylodon darwinii) from the Mylodon Cave, province Ultima Esperanza, southern Chile. The specimen was obtained in 1909 and has been stored in a museum in the Netherlands since. It was radiocarbon dated to 13,140 +/- 55 BP (15,927-15,522 cal BP), which fits with other radiocarbon dates showing the early Late-Glacial presence of M. darwinii in the province Ultima Esperanza. Contemporaneous oxygen isotope data from Antarctic EPICA Dome C indicates that our Mylodon specimen lived during a warming phase of the Late-Glacial, ca. 1000 years before the start of the Antarctic Cold Reversal. We compared our pollen data with pollen records showing contemporaneous regional vegetation and discuss the uncertainties in the interpretation of pollen spectra fromfaeces. To expand on the pollen data, we tested ancient DNA preservation in the sample; we sequenced similar to 9.4 million DNA reads and found that the concentration of ancient plant DNA is below detectable levels. Pollen analysis confirms earlier findings that the Mylodon was a grazer, but the discovery of large amounts of Fragaria and Azorella pollen in the faeces may indicate that Mylodon was also able to select and consume specific plants, and therefore could also be regarded as a selective feeder. (C) 2021 The Author(s). Published by Elsevier B.V.</t>
  </si>
  <si>
    <t>[van Geel, Bas; van Leeuwen, Jacqueline F. N.; Nooren, Kees; van der Knaap, Pim W. O.] Univ Amsterdam, Inst Biodivers &amp; Ecosyst Dynam, POB 94240, NL-1090 GE Amsterdam, Netherlands; [Mol, Dick] Nat Hist Museum Rotterdam, Westzeedijk 345, NL-3015 AA Rotterdam, Netherlands; [den Ouden, Natasja] Nat Biodivers Ctr, Darwinweg 2, NL-2333 CR Leiden, Netherlands; [Seersholm, Frederik, V; Rey-Iglesia, Alba; Lorenzen, Eline D.] Univ Copenhagen, GLOBE Inst, Oster Voldgade 5-7, DK-1350 Copenhagen K, Denmark</t>
  </si>
  <si>
    <t>University of Amsterdam; Naturalis Biodiversity Center; University of Copenhagen</t>
  </si>
  <si>
    <t>van Geel, B (corresponding author), Univ Amsterdam, Inst Biodivers &amp; Ecosyst Dynam, POB 94240, NL-1090 GE Amsterdam, Netherlands.</t>
  </si>
  <si>
    <t>b.vangeel@uva.nl</t>
  </si>
  <si>
    <t>Lorenzen, Eline/GRF-1592-2022</t>
  </si>
  <si>
    <t>Lorenzen, Eline/0000-0002-6353-2819</t>
  </si>
  <si>
    <t>0034-6667</t>
  </si>
  <si>
    <t>1879-0615</t>
  </si>
  <si>
    <t>REV PALAEOBOT PALYNO</t>
  </si>
  <si>
    <t>Rev. Palaeobot. Palynology</t>
  </si>
  <si>
    <t>10.1016/j.revpalbo.2021.104549</t>
  </si>
  <si>
    <t>Plant Sciences; Paleontology</t>
  </si>
  <si>
    <t>WO2YB</t>
  </si>
  <si>
    <t>WOS:000712324400006</t>
  </si>
  <si>
    <t>Durban, JW; Fearnbach, H; Paredes, A; Hickmott, LS; LeRoi, DJ</t>
  </si>
  <si>
    <t>Durban, J. W.; Fearnbach, H.; Paredes, A.; Hickmott, L. S.; LeRoi, D. J.</t>
  </si>
  <si>
    <t>Size and body condition of sympatric killer whale ecotypes around the Antarctic Peninsula</t>
  </si>
  <si>
    <t>MARINE ECOLOGY PROGRESS SERIES</t>
  </si>
  <si>
    <t>Photogrammetry; Drone; Antarctica; Climate change; Predator; Marine mammal</t>
  </si>
  <si>
    <t>ORCINUS-ORCA; PHOTOGRAMMETRY; PREDATION; ABUNDANCE; DYNAMICS; WATERS</t>
  </si>
  <si>
    <t>Killer whales Orcinus orca are apex predators, and their health can indicate trophic dynamics in ecosystems that support them. We used aerial photogrammetry to estimate body lengths, to better understand size differences and food requirements, and widths, to infer current nutritional condition, of killer whales in the rapidly warming waters around the Antarctic Peninsula. A remotely controlled hexacopter drone was used to collect aerial images of 242 killer whales of 3 sympatric ecotypes (Type A, n = 34; Type B1, n = 19; and Type B2, n = 189) in the austral summers between 2015/2016 and 2018/2019. Total length (TL) varied between ecotypes, with B2s being diminutive in size, indicating large differences in energy requirements. The mean length for adult females ranged from 5.82 m (B2s) to 6.93 m (B1s), and the mean for adult males ranged from 6.44 m (B2s) to 7.80 m (As). We also found significant differences in head width (HW, proxy for body condition), with B2s being significantly leaner. Although this variation may reflect natural shape differences, we also estimated divergent regression lines of HW-TL indicating that this difference was greater at larger body sizes, with some anomalously thin adult female B2s. We suggest that these dissimilarities may indicate a density-dependent response, with leaner body condition in adults with higher energetic requirements, as the abundance of B2s is almost an order of magnitude greater than that of B1s and As. We hypothesize that food limitation resulted from a decline in carrying capacity during recent reductions in sea ice and warmer ocean temperatures.</t>
  </si>
  <si>
    <t>[Durban, J. W.] Natl Marine Fisheries Serv, Marine Mammal &amp; Turtle Div, Southwest Fisheries Sci Ctr, 8901 La Jolla Shores Dr, La Jolla, CA 92037 USA; [Durban, J. W.] Southall Environm Associates Inc, 9099 Soquel Dr, Aptos, CA 95003 USA; [Fearnbach, H.; Paredes, A.] SR3 SeaLife Response Rehabil &amp; Res, 2003 S 216th St 98811, Des Moines, WA 98198 USA; [Hickmott, L. S.] Open Ocean Consulting, 3B Oaklands Rd, Petersfield GU32 2EY, England; [LeRoi, D. J.] Aerial Imaging Solut, 5 Myrica Way, Old Lyme, CT 06371 USA</t>
  </si>
  <si>
    <t>National Oceanic Atmospheric Admin (NOAA) - USA</t>
  </si>
  <si>
    <t>Durban, JW (corresponding author), Natl Marine Fisheries Serv, Marine Mammal &amp; Turtle Div, Southwest Fisheries Sci Ctr, 8901 La Jolla Shores Dr, La Jolla, CA 92037 USA.;Durban, JW (corresponding author), Southall Environm Associates Inc, 9099 Soquel Dr, Aptos, CA 95003 USA.</t>
  </si>
  <si>
    <t>john.durban@sea-inc.net</t>
  </si>
  <si>
    <t>Hickmott, Leigh/0000-0002-6140-1866</t>
  </si>
  <si>
    <t>Lindblad-Expeditions-National Geographic (LEX-NG) Conservation Fund; LEX-NG Conservation Fund; Amy Berquist from LEX</t>
  </si>
  <si>
    <t>All field work was conducted from small boat launches from Lindblad Expedition's ship MV `National Geographic Explorer'. We are extremely grateful for support from the Lindblad-Expeditions-National Geographic (LEX-NG) Conservation Fund, from Amy Berquist from LEX, and from all onboard officers, crew and expedition staff. Particular thanks go to Captains Oliver Kruess and Leif Skog, and Expedition Leaders Lucho Verdesoto, Brent Stephenson, Jimmy White, Russ Evans and Lisa Trotter. Molly Groskreutz and Paige Casler assisted with laboratory photogrammetry measurements. Trevor Joyce, Jessica Farrer, Jimmy White, Doug Gaultieri, Paul North, Ian Tomcho, Eduardo Shaw and Bud Lehnhausen assisted ably in the field. The Pew Charitable Trusts and the LEX-NG Conservation Fund supported image analysis. Wayne Perryman, Bob Pitman, George Watters and Dave Weller provided useful comments on an earlier version of this manuscript. We are grateful for the helpful reviews by 3 anonymous reviewers, and for extremely useful suggestions by the handling editor, Robert Suryan. Research was authorized by Permits 14097 and 19091 from the US National Marine Fisheries Service and Antarctic Conservation Act Permits 2015-001 and 2017-029 from the US National Science Foundation.</t>
  </si>
  <si>
    <t>INTER-RESEARCH</t>
  </si>
  <si>
    <t>OLDENDORF LUHE</t>
  </si>
  <si>
    <t>NORDBUNTE 23, D-21385 OLDENDORF LUHE, GERMANY</t>
  </si>
  <si>
    <t>0171-8630</t>
  </si>
  <si>
    <t>1616-1599</t>
  </si>
  <si>
    <t>MAR ECOL PROG SER</t>
  </si>
  <si>
    <t>Mar. Ecol.-Prog. Ser.</t>
  </si>
  <si>
    <t>10.3354/meps13866</t>
  </si>
  <si>
    <t>Ecology; Marine &amp; Freshwater Biology; Oceanography</t>
  </si>
  <si>
    <t>Environmental Sciences &amp; Ecology; Marine &amp; Freshwater Biology; Oceanography</t>
  </si>
  <si>
    <t>WQ5HH</t>
  </si>
  <si>
    <t>WOS:000713846700014</t>
  </si>
  <si>
    <t>Wan, XH; Saito, JA; Hou, SB; Geib, SM; Yuryev, A; Higa, LM; Womersley, CZ; Alam, M</t>
  </si>
  <si>
    <t>Wan, Xuehua; Saito, Jennifer A.; Hou, Shaobin; Geib, Scott M.; Yuryev, Anton; Higa, Lynne M.; Womersley, Christopher Z.; Alam, Maqsudul</t>
  </si>
  <si>
    <t>The Aphelenchus avenae genome highlights evolutionary adaptation to desiccation</t>
  </si>
  <si>
    <t>COMMUNICATIONS BIOLOGY</t>
  </si>
  <si>
    <t>HORIZONTAL GENE-TRANSFER; DE-NOVO IDENTIFICATION; PANAGROLAIMUS-DAVIDI; ANTARCTIC NEMATODE; WEB SERVER; TOLERANCE; DEHYDRATION; SURVIVAL; STRESS; ANHYDROBIOSIS</t>
  </si>
  <si>
    <t>Some organisms can withstand complete body water loss (losing up to 99% of body water) and stay in ametabolic state for decades until rehydration, which is known as anhydrobiosis. Few multicellular eukaryotes on their adult stage can withstand life without water. We still have an incomplete understanding of the mechanism for metazoan survival of anhydrobiosis. Here we report the 255-Mb genome of Aphelenchus avenae, which can endure relative zero humidity for years. Gene duplications arose genome-wide and contributed to the expansion and diversification of 763 kinases, which represents the second largest metazoan kinome to date. Transcriptome analyses of ametabolic state of A. avenae indicate the elevation of ATP level for global recycling of macromolecules and enhancement of autophagy in the early stage of anhydrobiosis. We catalogue 74 species-specific intrinsically disordered proteins, which may facilitate A. avenae to survive through desiccation stress. Our findings refine a molecular basis evolving for survival in extreme water loss and open the way for discovering new anti-desiccation strategies. Wan et al. report the genome and transcriptome of the Aphelenchus avenae nematode that can withstand long-term extreme desiccation. This study compares gene features to eight other nematode species and identifies intrinsically disordered proteins and changes in gene expression that contribute toward anhydrobiosis adaptation.</t>
  </si>
  <si>
    <t>[Wan, Xuehua; Saito, Jennifer A.; Hou, Shaobin; Alam, Maqsudul] Univ Hawaii, Adv Studies Genom Prote &amp; Bioinformat, Honolulu, HI 96822 USA; [Wan, Xuehua] Nankai Univ, TEDA Inst Biol Sci &amp; Biotechnol, Tianjin, Peoples R China; [Geib, Scott M.] USDA ARS, Trop Crop &amp; Commod Protect Res Unit, Pacific Basin Agr Res Ctr, Hilo, HI USA; [Yuryev, Anton] Elsevier Life Sci Solut, Rockville, MD USA; [Higa, Lynne M.; Womersley, Christopher Z.] Univ Hawaii, Sch Life Sci, Honolulu, HI 96822 USA</t>
  </si>
  <si>
    <t>University of Hawaii System; Nankai University; United States Department of Agriculture (USDA); Reed Elsevier; Elsevier; University of Hawaii System</t>
  </si>
  <si>
    <t>Wan, XH (corresponding author), Univ Hawaii, Adv Studies Genom Prote &amp; Bioinformat, Honolulu, HI 96822 USA.;Wan, XH (corresponding author), Nankai Univ, TEDA Inst Biol Sci &amp; Biotechnol, Tianjin, Peoples R China.;Womersley, CZ (corresponding author), Univ Hawaii, Sch Life Sci, Honolulu, HI 96822 USA.</t>
  </si>
  <si>
    <t>xuehua.wan@hotmail.com; womersle@hawaii.edu</t>
  </si>
  <si>
    <t>Wan, Xuehua/AAE-4237-2022; Saito, Jennifer A/B-7288-2011</t>
  </si>
  <si>
    <t>Wan, Xuehua/0000-0002-6367-848X;</t>
  </si>
  <si>
    <t>Advanced Studies in Genomics, Proteomics and Bioinformatics, University of Hawaii</t>
  </si>
  <si>
    <t>This work was supported by Advanced Studies in Genomics, Proteomics and Bioinformatics, University of Hawaii (M.A.).</t>
  </si>
  <si>
    <t>2399-3642</t>
  </si>
  <si>
    <t>COMMUN BIOL</t>
  </si>
  <si>
    <t>Commun. Biol.</t>
  </si>
  <si>
    <t>10.1038/s42003-021-02778-8</t>
  </si>
  <si>
    <t>Biology; Multidisciplinary Sciences</t>
  </si>
  <si>
    <t>Life Sciences &amp; Biomedicine - Other Topics; Science &amp; Technology - Other Topics</t>
  </si>
  <si>
    <t>WO4NX</t>
  </si>
  <si>
    <t>WOS:000712434100005</t>
  </si>
  <si>
    <t>Holland, MM; Clemens-Sewall, D; Landrum, L; Light, B; Perovich, D; Polashenski, C; Smith, M; Webster, M</t>
  </si>
  <si>
    <t>Holland, Marika M.; Clemens-Sewall, David; Landrum, Laura; Light, Bonnie; Perovich, Donald; Polashenski, Chris; Smith, Madison; Webster, Melinda</t>
  </si>
  <si>
    <t>The influence of snow on sea ice as assessed from simulations of CESM2</t>
  </si>
  <si>
    <t>THICKNESS DISTRIBUTION; MELT PONDS; MODEL; DEPTH; CLIMATE; IMPACT; ACCUMULATION; VARIABILITY; SENSITIVITY; CYCLE</t>
  </si>
  <si>
    <t>We assess the influence of snow on sea ice in experiments using the Community Earth System Model version 2 for a preindustrial and a 2xCO2 climate state. In the preindustrial climate, we find that increasing simulated snow accumulation on sea ice results in thicker sea ice and a cooler climate in both hemispheres. The sea ice mass budget response differs fundamentally between the two hemispheres. In the Arctic, increasing snow results in a decrease in both congelation sea ice growth and surface sea ice melt due to the snow's impact on conductive heat transfer and albedo, respectively. These factors dominate in regions of perennial ice but have a smaller influence in seasonal ice areas. Overall, the mass budget changes lead to a reduced amplitude in the annual cycle of ice thickness. In the Antarctic, with increasing snow, ice growth increases due to snow-ice formation and is balanced by larger basal ice melt, which primarily occurs in regions of seasonal ice. In a warmer 2xCO2 climate, the Arctic sea ice sensitivity to snow depth is small and reduced relative to that of the preindustrial climate. In contrast, in the Antarctic, the sensitivity to snow on sea ice in the 2xCO2 climate is qualitatively similar to the sensitivity in the preindustrial climate. These results underscore the importance of accurately representing snow accumulation on sea ice in coupled Earth system models due to its impact on a number of competing processes and feedbacks that affect the melt and growth of sea ice.</t>
  </si>
  <si>
    <t>[Holland, Marika M.; Landrum, Laura] Natl Ctr Atmospher Res, Climate &amp; Global Dynam Lab, POB 3000, Boulder, CO 80307 USA; [Clemens-Sewall, David; Perovich, Donald; Polashenski, Chris] Dartmouth Coll, Thayer Sch Engn, Hanover, NH 03755 USA; [Light, Bonnie; Smith, Madison] Univ Washington, Appl Phys Lab, Polar Sci Ctr, Seattle, WA 98105 USA; [Webster, Melinda] Univ Alaska Fairbanks, Geophys Inst, Fairbanks, AK USA</t>
  </si>
  <si>
    <t>National Center Atmospheric Research (NCAR) - USA; Dartmouth College; University of Washington; University of Washington Seattle; University of Alaska System; University of Alaska Fairbanks</t>
  </si>
  <si>
    <t>Holland, MM (corresponding author), Natl Ctr Atmospher Res, Climate &amp; Global Dynam Lab, POB 3000, Boulder, CO 80307 USA.</t>
  </si>
  <si>
    <t>mholland@ucar.edu</t>
  </si>
  <si>
    <t>Smith, Madison/JME-8685-2023</t>
  </si>
  <si>
    <t>Light, Bonnie/0000-0003-2640-5738; Webster, Melinda/0000-0002-5976-9485; Perovich, Don/0000-0002-0576-0864; Clemens-Sewall, David/0000-0003-2496-5256; Smith, Madison/0000-0003-2259-042X</t>
  </si>
  <si>
    <t>NSF [OPP-1724748, OPP-1724540, OPP-1724467]; NASA [80NSSC21K0264]</t>
  </si>
  <si>
    <t>NSF(National Science Foundation (NSF)); NASA(National Aeronautics &amp; Space Administration (NASA))</t>
  </si>
  <si>
    <t>Marika M. Holland and Laura Landrum received support from NSF grant no. OPP-1724748; Donald Perovich, Chris Polashenski, and David Clemens-Sewall received support from NSF grant no. OPP-1724540; Bonnie Light and Madison Smith received support from NSF grant no. OPP-1724467; Melinda Webster received support from NASA grant no. 80NSSC21K0264.</t>
  </si>
  <si>
    <t>10.5194/tc-15-4981-2021</t>
  </si>
  <si>
    <t>WN8TU</t>
  </si>
  <si>
    <t>WOS:000712040600001</t>
  </si>
  <si>
    <t>Berg, S; Jivcov, S; Kusch, S; Kuhn, G; White, D; Bohrmann, G; Melles, M; Rethemeyer, J</t>
  </si>
  <si>
    <t>Berg, Sonja; Jivcov, Sandra; Kusch, Stephanie; Kuhn, Gerhard; White, Duanne; Bohrmann, Gerhard; Melles, Martin; Rethemeyer, Janet</t>
  </si>
  <si>
    <t>Increased petrogenic and biospheric organic carbon burial in sub-Antarctic fjord sediments in response to recent glacier retreat</t>
  </si>
  <si>
    <t>SOUTH GEORGIA; METHANE SEEPAGE; CUMBERLAND BAY; FATTY-ACIDS; TERRESTRIAL; MATTER; LIPIDS; GEOMORPHOLOGY; FLUCTUATIONS; DEGLACIATION</t>
  </si>
  <si>
    <t>Fjords are recognized as hotspots of organic carbon (OC) burial in the coastal ocean. In fjords with glaciated catchments, glacier discharge carries large amounts of suspended matter. This sedimentary load includes OC from bedrock and terrigenous sources (modern vegetation, peat, soil deposits), which is either buried in the fjord or remineralized during export, acting as a potential source of CO2 to the atmosphere. In sub-Antarctic South Georgia, fjord-terminating glaciers have been retreating during the past decades, likely as a response to changing climate conditions. We determine sources of OC in surface sediments of Cumberland Bay, South Georgia, using lipid biomarkers and the bulk C-14 isotopic composition, and quantify OC burial at present and for the time period of documented glacier retreat (between 1958 and 2017). Petrogenic OC is the dominant type of OC in proximity to the present-day calving fronts (60.4 +/- 1.4% to 73.8 +/- 2.6%) and decreases to 14.0 +/- 2.7% outside the fjord, indicating that petrogenic OC is effectively buried in the fjord. Beside of marine OC, terrigenous OC comprises 2.7 +/- 0.5% to 7.9 +/- 5.9% and is mostly derived from modern plants and Holocene peat and soil deposits that are eroded along the flanks of the fjord, rather than released by the retreating fjord glaciers. We estimate that the retreat of tidewater glaciers between 1958 and 2017 led to an increase in petrogenic carbon accumulation of 22% in Cumberland West Bay and 6.5% in Cumberland East Bay, suggesting that successive glacier retreat does not only release petrogenic OC into the fjord, but also increases the capacity of OC burial.</t>
  </si>
  <si>
    <t>[Berg, Sonja; Jivcov, Sandra; Melles, Martin; Rethemeyer, Janet] Univ Cologne, Inst Geol &amp; Mineral, Cologne, Germany; [Kusch, Stephanie] Univ Cologne, CologneAMS Ctr Accelerator Mass Spectrometry, Cologne, Germany; [Kuhn, Gerhard] Alfred Wegener Inst, Helmholtz Zentrum Polar &amp; Meeresforsch, Bremerhaven, Germany; [White, Duanne] Univ Canberra, Ctr Appl Water Sci, Inst Appl Ecol, Canberra, ACT, Australia; [Bohrmann, Gerhard] Univ Bremen, MARUM Ctr Marine Environm Sci, Bremen, Germany; [Bohrmann, Gerhard] Univ Bremen, Dept Geosci, Bremen, Germany</t>
  </si>
  <si>
    <t>University of Cologne; University of Cologne; Helmholtz Association; Alfred Wegener Institute, Helmholtz Centre for Polar &amp; Marine Research; University of Canberra; University of Bremen; University of Bremen</t>
  </si>
  <si>
    <t>Berg, S (corresponding author), Univ Cologne, Inst Geol &amp; Mineral, Cologne, Germany.</t>
  </si>
  <si>
    <t>sonja.berg@uni-koeln.de</t>
  </si>
  <si>
    <t>Berg, Sonja/AAW-3817-2021; Melles, Martin/J-4070-2012; Rethemeyer, Janet/G-4019-2013; Bohrmann, Gerhard/D-4474-2017; Kusch, Stephanie/M-8218-2015</t>
  </si>
  <si>
    <t>Melles, Martin/0000-0003-0977-9463; Rethemeyer, Janet/0000-0001-6698-4186; Bohrmann, Gerhard/0000-0001-9976-4948; Berg, Sonja/0000-0002-9629-6007; Kusch, Stephanie/0000-0002-2708-4975; White, Duanne/0000-0003-0740-2072</t>
  </si>
  <si>
    <t>Deutsche Forschungsgemeinschaft (DFG) [SPP1158, BE 4764/3-1]; Projekt DEAL</t>
  </si>
  <si>
    <t>Deutsche Forschungsgemeinschaft (DFG)(German Research Foundation (DFG)); Projekt DEAL</t>
  </si>
  <si>
    <t>This study was funded by the Deutsche Forschungsgemeinschaft (DFG) in the framework of the priority program SPP1158 Antarctic Research with comparative investigations in Arctic ice areas, grant BE 4764/3-1. The fieldwork was carried out within the scope of the RV Polarstern cruise PS81; we are grateful to the captain and the crew for their support. We also like to thank the Government of South Georgia and the South Sandwich Islands for providing helpful advice and the permission for fieldwork. Data will be made available via PANGAEA geoscientific database. Open access funding enabled and organized by Projekt DEAL.</t>
  </si>
  <si>
    <t>10.1002/lno.11965</t>
  </si>
  <si>
    <t>XK3IJ</t>
  </si>
  <si>
    <t>WOS:000711837600001</t>
  </si>
  <si>
    <t>Currie, AA; Marshall, AJ; Lohrer, AM; Cummings, VJ; Seabrook, S; Cary, SC</t>
  </si>
  <si>
    <t>Currie, Ashleigh A.; Marshall, Alexis J.; Lohrer, Andrew M.; Cummings, Vonda J.; Seabrook, Sarah; Cary, S. Craig</t>
  </si>
  <si>
    <t>Sea Ice Dynamics Drive Benthic Microbial Communities in McMurdo Sound, Antarctica</t>
  </si>
  <si>
    <t>sediment; benthic; microbial; community; climate change; sea ice; organic matter</t>
  </si>
  <si>
    <t>ROSS SEA; CLIMATE-CHANGE; DIVERSITY; CARBON; PATTERNS; ALGAE; BACTERIOPLANKTON; BIODIVERSITY; BIOGEOGRAPHY; PHYLOGENIES</t>
  </si>
  <si>
    <t>Climate change is driving dramatic variability in sea ice dynamics, a key driver in polar marine ecosystems. Projected changes in Antarctica suggest that regional warming will force dramatic shifts in sea ice thickness and persistence, altering sea ice-associated primary production and deposition to the seafloor. To improve our understanding of the impacts of sea ice change on benthic ecosystems, we directly compared the benthic microbial communities underlying first-year sea ice (FYI) and multi-year sea ice (MYI). Using two tractable coastal habitats in McMurdo Sound, Antarctica, where FYI (Cape Evans) and MYI (New Harbour) prevail, we show that the structure and composition of the benthic microbial communities reflect the legacy of sea ice dynamics. At Cape Evans, an enrichment of known heterotrophic algal polysaccharide degrading taxa (e.g., Flavobacteriaceae, unclassified Gammaproteobacteria, and Rubritaleaceae) and sulfate-reducing bacteria (e.g., Desulfocapsaceae) correlated with comparatively higher chlorophyll a (14.2 +/- 0.8 mu gg(-1)) and total organic carbon content (0.33%+/- 0.04), reflecting increased productivity and seafloor deposition beneath FYI. Conversely, at New Harbour, an enrichment of known archaeal (e.g., Nitrosopumilaceae) and bacterial (e.g., Woeseiaceae and Nitrospiraceae) chemoautotrophs was common in sediments with considerably lower chlorophyll a (1.0 +/- 0.24 mu gg(-1)) and total organic carbon content (0.17%+/- 0.01), reflecting restricted productivity beneath MYI. We also report evidence of a submarine discharge of sub-permafrost brine from Taylor Valley into New Harbour. By comparing our two study sites, we show that under current climate-warming scenarios, changes to sea ice productivity and seafloor deposition are likely to initiate major shifts in benthic microbial communities, with heterotrophic organic matter degradation processes becoming increasingly important. This study provides the first assessment of how legacy sea ice conditions influence benthic microbial communities in Antarctica, contributing insight into sea ice-benthic coupling and ecosystem functioning in a polar environment.</t>
  </si>
  <si>
    <t>[Currie, Ashleigh A.; Marshall, Alexis J.; Cary, S. Craig] Univ Waikato, Sch Sci, Hamilton, New Zealand; [Currie, Ashleigh A.; Marshall, Alexis J.; Cary, S. Craig] Int Ctr Terr Antarct Res, Environm Res Inst, Hamilton, New Zealand; [Lohrer, Andrew M.] Natl Inst Water &amp; Atmosphere, Hamilton, New Zealand; [Cummings, Vonda J.; Seabrook, Sarah] Natl Inst Water &amp; Atmosphere, Wellington, New Zealand</t>
  </si>
  <si>
    <t>University of Waikato; National Institute of Water &amp; Atmospheric Research (NIWA) - New Zealand; National Institute of Water &amp; Atmospheric Research (NIWA) - New Zealand</t>
  </si>
  <si>
    <t>Cary, SC (corresponding author), Univ Waikato, Sch Sci, Hamilton, New Zealand.;Cary, SC (corresponding author), Int Ctr Terr Antarct Res, Environm Res Inst, Hamilton, New Zealand.</t>
  </si>
  <si>
    <t>caryc@waikato.ac.nz</t>
  </si>
  <si>
    <t>Marshall, Alexis/0000-0003-1990-6411; Cary, Stephen/0000-0002-2876-2387; Seabrook, Sarah/0000-0001-5708-5947</t>
  </si>
  <si>
    <t>New Zealand Antarctic Research Institute</t>
  </si>
  <si>
    <t>Funding This research was conducted as part of the Resilience in Antarctic Biota and Ecosystems Project, funded by the New Zealand Antarctic Research Institute (RFP2016-2) to SC, VC, and AL. Support for field logistics was provided by Antarctica New Zealand. Support for AC came directly through a University of Waikato Postgraduate Scholarship. AM was supported by Smart Ideas Award (UOWX1602) from the New Zealand Ministry of Business, Innovation and Employment and the Rutherford Foundation Royal Society Te Aparangi Postdoctoral Fellowship (20-UOW006).</t>
  </si>
  <si>
    <t>10.3389/fmicb.2021.745915</t>
  </si>
  <si>
    <t>WW1RP</t>
  </si>
  <si>
    <t>WOS:000717703200001</t>
  </si>
  <si>
    <t>Xu, Y; Li, H; Liu, BJ; Xie, HJ; Ozsoy-Cicek, B</t>
  </si>
  <si>
    <t>Xu, Yue; Li, Huan; Liu, Baojian; Xie, Hongjie; Ozsoy-Cicek, Burcu</t>
  </si>
  <si>
    <t>Deriving Antarctic Sea-Ice Thickness From Satellite Altimetry and Estimating Consistency for NASA's ICESat/ICESat-2 Missions</t>
  </si>
  <si>
    <t>ICESat; ICESat-2; sea ice tickness; Antarctic</t>
  </si>
  <si>
    <t>WEDDELL SEA; SNOW DEPTH; VARIABILITY; FREEBOARD; ICESAT-2; TRENDS; COVER</t>
  </si>
  <si>
    <t>With the launch of the Ice, Cloud and Land Elevation Satellite-2 (ICESat-2), densely measuring the Antarctic ocean all year long, monthly sea ice thickness changes can be inspected. However, the consistency between ICESat-2 and its predecessor ICESat remains unknown if a long-term change of the Antarctic sea ice thickness is to be examined. Due to the complex physical structure of Antarctic sea ice, an improved One-Layer Method (OLMi) for sea-ice thickness retrieval, with an similar to 0.3 m uncertainty, is proposed in this study. Using this method, the monthly sea ice variation in each sea sector of Antarctica from ICESat-2 is inspected, revealing detailed characteristics of Antarctic sea ice over sector scale such as bi-modal distributions. The different retrieving methods for the total freeboard from ICESat are found to be similar to 0.036 m lower than that from ICESat-2. The circum-Antarctic sea ice thickness shows a decreasing tendency (2003-2020), especially in summer with -0.014 m/yr. Plain Language Summary Sea ice variations can reflect global climate change since sea ice has a very strong cyclical process of growing/expanding and melting/shrinking when the seasons change. Sea ice elevation has been monitored by satellite-borne laser altimetry, namely Ice, Cloud and Land Elevation Satellite-2 (ICESat) (2003-2009) and ICESat-2 (2018-2020), with accuracy in centimeters. However, whether the two datasets are consistent with each other and suitable for long-term analysis needs to be examined. Here, we first improve an existing method to get a better estimation of sea ice thickness. Monthly sea ice thickness computed from ICESat-2 elevations has nearly 10 times the data coverage than the older generation ICESat, and shows how the expansion of newly formed sea ice and sea ice thickness change in some sea sectors would influence the statistical distribution of sea ice thickness in detail. Based on the consistency analysis, the gaps between ICESat/ICESat-2 could reach 14%. The underestimation of sea ice thickness with ICESat supports a thinning tendency of Antarctic sea ice, especially in summer. Key Points A new sea ice thickness retrieval method based on Ice, Cloud and Land Elevation Satellite (ICESat)/ICESat-2 is proposed Monthly ICESat-2-based sea ice thickness shows detailed variation in each sea sector The consistency of total freeboard between ICESat and ICESat-2 is estimated</t>
  </si>
  <si>
    <t>[Xu, Yue; Li, Huan; Liu, Baojian] Peking Univ, Sch Earth &amp; Space Sci, Beijing, Peoples R China; [Xie, Hongjie] Univ Texas San Antonio, Dept Earth &amp; Planetary Sci, San Antonio, TX USA; [Ozsoy-Cicek, Burcu] Istanbul Tech Univ ITU, Polar Res Ctr PolRec, Istanbul, Turkey</t>
  </si>
  <si>
    <t>Peking University; University of Texas System; University of Texas at San Antonio (UTSA); Istanbul Technical University</t>
  </si>
  <si>
    <t>Li, H (corresponding author), Peking Univ, Sch Earth &amp; Space Sci, Beijing, Peoples R China.</t>
  </si>
  <si>
    <t>huan.li@pku.edu.cn</t>
  </si>
  <si>
    <t>Ozsoy, Burcu/AAH-5348-2020; Liu, Baojian/HSD-5170-2023; Xie, Hongjie/B-5845-2009; Liu, Baojian/IZD-9759-2023</t>
  </si>
  <si>
    <t>Ozsoy, Burcu/0000-0003-4320-1796; Xie, Hongjie/0000-0003-3516-1210; Liu, Baojian/0000-0002-2390-2889; Li, Huan/0000-0003-1204-8370; Xu, Yue/0000-0002-7591-6238</t>
  </si>
  <si>
    <t>National Natural Science Foundation of China [41901346]; China Postdoctoral Science Foundation [2019M650348]</t>
  </si>
  <si>
    <t>National Natural Science Foundation of China(National Natural Science Foundation of China (NSFC)); China Postdoctoral Science Foundation(China Postdoctoral Science Foundation)</t>
  </si>
  <si>
    <t>This work was jointly supported by the National Natural Science Foundation of China (No. 41901346) and China Postdoctoral Science Foundation (No. 2019M650348). We want to thank Professor Steve Ackley for proofreading the paper and anonymous reviewers for their constructive comments to greatly improve the paper.</t>
  </si>
  <si>
    <t>e2021GL093425</t>
  </si>
  <si>
    <t>10.1029/2021GL093425</t>
  </si>
  <si>
    <t>WOS:000747834500013</t>
  </si>
  <si>
    <t>Riihelä, A; Bright, RM; Anttila, K</t>
  </si>
  <si>
    <t>Riihela, Aku; Bright, Ryan M.; Anttila, Kati</t>
  </si>
  <si>
    <t>Recent strengthening of snow and ice albedo feedback driven by Antarctic sea-ice loss</t>
  </si>
  <si>
    <t>SURFACE ALBEDO; PRODUCTS; CLARA-A2; EXTENT; CLOUD</t>
  </si>
  <si>
    <t>The decline of the Arctic cryosphere during recent decades has lowered the region's surface albedo, reducing its ability to reflect solar radiation back to space. It is not clear what role the Antarctic cryosphere plays in this regard, but new remote-sensing-based techniques and datasets have recently opened the possibility to investigate its role. Here, we leverage these to show that the surface albedo reductions from sustained post-2000 losses in Arctic snow and ice cover equate to increasingly positive snow and ice albedo feedback relative to a 1982-1991 baseline period, with a decadal trend of +0.08 +/- 0.04 W m(-2) decade(-1) between 1992 and 2015. During the same period, the expansion of the Antarctic sea-ice pack generated a negative feedback, with a decadal trend of -0.06 +/- 0.02 W m(-2) decade(-1). However, substantial Antarctic sea-ice losses during 2016-2018 completely reversed the trend, increasing the three-year mean combined Arctic and Antarctic snow and ice albedo feedback to +0.26 +/- 0.15 W m(-2). This reversal highlights the importance of Antarctic sea-ice loss to the global snow and ice albedo feedback. The 1992-2018 mean feedback is equivalent to approximately 10% of anthropogenic CO2 emissions over the same period; the share may rise markedly should 2016-2018 snow and ice conditions become common, although increasing long-wave emissions will probably mediate the impact on the total radiative-energy budget. Recent strengthening of the snow/ice albedo feedback is due to Antarctic sea-ice loss, according to satellite observations of surface albedo.</t>
  </si>
  <si>
    <t>[Riihela, Aku; Anttila, Kati] Finnish Meteorol Inst, Helsinki, Finland; [Bright, Ryan M.] Norwegian Inst Bioecon Res, As, Norway</t>
  </si>
  <si>
    <t>Finnish Meteorological Institute; Norwegian Institute of Bioeconomy Research</t>
  </si>
  <si>
    <t>Riihelä, A (corresponding author), Finnish Meteorol Inst, Helsinki, Finland.</t>
  </si>
  <si>
    <t>aku.riihela@fmi.fi</t>
  </si>
  <si>
    <t>Keyes, Dennis/AAZ-9285-2021; Riihela, Aku/D-2799-2013</t>
  </si>
  <si>
    <t>Bright, Ryan/0000-0001-8553-5570; Riihela, Aku/0000-0001-6581-8792</t>
  </si>
  <si>
    <t>Academy of Finland [309125]; Research Council of Norway [294948]; Academy of Finland (AKA) [309125] Funding Source: Academy of Finland (AKA)</t>
  </si>
  <si>
    <t>Academy of Finland(Research Council of Finland); Research Council of Norway(Research Council of Norway); Academy of Finland (AKA)(Research Council of Finland)</t>
  </si>
  <si>
    <t>Work of A.R. has been financially supported by the Academy of Finland, decision 309125, and R.M.B. through the Research Council of Norway, project number 294948 (EMERALD). Natural Earth map dataset is acknowledged as the coastline data source in spatially resolved figures.</t>
  </si>
  <si>
    <t>10.1038/s41561-021-00841-x</t>
  </si>
  <si>
    <t>WOS:000712347600002</t>
  </si>
  <si>
    <t>Chelchowski, M; Balazy, P; Grzelak, K; Grzelak, L; Kedra, M; Legezynska, J; Kuklinski, P</t>
  </si>
  <si>
    <t>Chelchowski, Maciej; Balazy, Piotr; Grzelak, Katarzyna; Grzelak, Lukasz; Kedra, Monika; Legezynska, Joanna; Kuklinski, Piotr</t>
  </si>
  <si>
    <t>Vertical zonation of benthic invertebrates in the intertidal zone of Antarctica (Admiralty Bay, King George Island)</t>
  </si>
  <si>
    <t>benthic assemblage patterns; diversity; intertidal; macrofauna; meiofauna</t>
  </si>
  <si>
    <t>SOUTH SHETLAND ISLANDS; SANDY BEACHES; MEIOFAUNA; COMMUNITY; ASSEMBLAGES; SEA; ICE; PENINSULA; LIMPET; LIFE</t>
  </si>
  <si>
    <t>The Antarctic Peninsula is undergoing rapid change due to global warming, including air and water temperature increases. Fauna inhabiting the intertidal zone are particularly exposed to warming impacts, as they are subjected to high variations in both terrestrial and marine environmental settings. This study aimed to assess intertidal macrofaunal and meiofaunal biodiversity, tidal height-related assemblage structural patterns and their responses to variability in environmental parameters on King George Island. A total of 39 macrofaunal taxa were identified, with polychaetes and amphipods being the most diverse groups and gastropods, amphipods and bivalves being the most abundant. In the case of meiofauna, 16 taxa were found, mainly nematodes, copepod nauplii and harpacticoids. There was a significant decrease in the number of species, abundance and biomass for both macrofauna and meiofauna with increasing tidal height. Our investigation documented highly diverse and abundant fauna in the Antarctic intertidal zone. With its thriving life, it could serve as a perfect model system for detecting climate change impacts on local biodiversity. Therefore, we propose the Antarctic intertidal zone as a suitable habitat for monitoring these changes.</t>
  </si>
  <si>
    <t>[Chelchowski, Maciej; Balazy, Piotr; Grzelak, Katarzyna; Grzelak, Lukasz; Kedra, Monika; Legezynska, Joanna; Kuklinski, Piotr] Polish Acad Sci, Inst Oceanol, Powstancow Warszawy 55, PL-81712 Sopot, Poland</t>
  </si>
  <si>
    <t>Polish Academy of Sciences; Institute of Oceanology of the Polish Academy of Sciences</t>
  </si>
  <si>
    <t>Chelchowski, M (corresponding author), Polish Acad Sci, Inst Oceanol, Powstancow Warszawy 55, PL-81712 Sopot, Poland.</t>
  </si>
  <si>
    <t>chelchowski@iopan.gda.pl</t>
  </si>
  <si>
    <t>; Balazy, Piotr/D-2949-2018</t>
  </si>
  <si>
    <t>Chelchowski, Maciej/0000-0002-5742-1960; Legezynska, Joanna/0000-0001-7718-0335; Balazy, Piotr/0000-0002-1126-3151</t>
  </si>
  <si>
    <t>National Science Centre Poland [PANIC/2016/23/B/ST10/01936]</t>
  </si>
  <si>
    <t>National Science Centre Poland(National Science Centre, Poland)</t>
  </si>
  <si>
    <t>This research was finished thanks to funding provided by grant PANIC/2016/23/B/ST10/01936 to PK from the National Science Centre Poland.</t>
  </si>
  <si>
    <t>PII S095410202100047X</t>
  </si>
  <si>
    <t>10.1017/S095410202100047X</t>
  </si>
  <si>
    <t>ZT8TE</t>
  </si>
  <si>
    <t>WOS:000737586600001</t>
  </si>
  <si>
    <t>Baumann, M; Taucher, J; Paul, AJ; Heinemann, M; Vanharanta, M; Bach, LT; Spilling, K; Ortiz, J; Arístegui, J; Hernández-Hernández, N; Baños, I; Riebesell, U</t>
  </si>
  <si>
    <t>Baumann, Moritz; Taucher, Jan; Paul, Allanah J.; Heinemann, Malte; Vanharanta, Mari; Bach, Lennart T.; Spilling, Kristian; Ortiz, Joaquin; Aristegui, Javier; Hernandez-Hernandez, Nauzet; Banos, Isabel; Riebesell, Ulf</t>
  </si>
  <si>
    <t>Effect of Intensity and Mode of Artificial Upwelling on Particle Flux and Carbon Export</t>
  </si>
  <si>
    <t>artificial upwelling; export flux; particle properties; sinking velocity; remineralization rate; remineralization depth; carbon sequestration; mesocosm study</t>
  </si>
  <si>
    <t>TRANSPARENT EXOPOLYMER PARTICLES; SINKING VELOCITY; ORGANIC-CARBON; PHYTOPLANKTON COMMUNITY; INVERSE RELATIONSHIP; CO2 CONCENTRATIONS; BACTERIAL-GROWTH; TECHNICAL NOTE; MARINE SNOW; UPPER OCEAN</t>
  </si>
  <si>
    <t>Reduction of anthropogenic CO2 emissions alone will not sufficiently restrict global warming and enable the 1.5 degrees C goal of the Paris agreement to be met. To effectively counteract climate change, measures to actively remove carbon dioxide from the atmosphere are required. Artificial upwelling has been proposed as one such carbon dioxide removal technique. By fueling primary productivity in the surface ocean with nutrient-rich deep water, it could potentially enhance downward fluxes of particulate organic carbon (POC) and carbon sequestration. In this study we investigated the effect of different intensities of artificial upwelling combined with two upwelling modes (recurring additions vs. one singular addition) on POC export, sinking matter stoichiometry and remineralization depth. We carried out a 39 day-long mesocosm experiment in the subtropical North Atlantic, where we fertilized oligotrophic surface waters with different amounts of deep water. The total nutrient inputs ranged from 1.6 to 11.0 mu mol NO3- L-1. We found that on the one hand POC export under artificial upwelling more than doubled, and the molar C:N ratios of sinking organic matter increased from values around Redfield (6.6) to similar to 8-13, which is beneficial for potential carbon dioxide removal. On the other hand, sinking matter was remineralized at faster rates and showed lower sinking velocities, which led to shallower remineralization depths. Particle properties were more favorable for deep carbon export in the recurring upwelling mode, while in the singular mode the C:N increase of sinking matter was more pronounced. In both upwelling modes roughly half of the produced organic carbon was retained in the water column until the end of the experiment. This suggests that the plankton communities were still in the process of adjustment, possibly due to the different response times of producers and consumers. There is thus a need for studies with longer experimental durations to quantify the responses of fully adjusted communities. Finally, our results revealed that artificial upwelling affects a variety of sinking particle properties, and that the intensity and mode with which it is applied control the strength of the effects.</t>
  </si>
  <si>
    <t>[Baumann, Moritz; Taucher, Jan; Paul, Allanah J.; Ortiz, Joaquin; Riebesell, Ulf] GEOMAR Helmholtz Ctr Ocean Res Kiel, Biol Oceanog, Marine Biogeochem, Kiel, Germany; [Heinemann, Malte] Univ Kiel, Inst Geosci, Kiel, Germany; [Vanharanta, Mari; Spilling, Kristian] Finnish Environm Inst, Marine Res Ctr, Helsinki, Finland; [Vanharanta, Mari] Univ Helsinki, Tvarminne Zool Stn, Hango, Finland; [Bach, Lennart T.] Univ Tasmania, Inst Marine &amp; Antarctic Studies, Hobart, Tas, Australia; [Spilling, Kristian] Univ Agder, Ctr Coastal Res, Kristiansand, Norway; [Aristegui, Javier; Hernandez-Hernandez, Nauzet; Banos, Isabel] Univ Las Palmas Gran Canaria, Inst Oceanog &amp; Cambio Global, Oceanog Biol, Las Palmas Gran Canaria, Spain</t>
  </si>
  <si>
    <t>Helmholtz Association; GEOMAR Helmholtz Center for Ocean Research Kiel; University of Kiel; Finnish Environment Institute; University of Helsinki; University of Tasmania; University of Agder; Universidad de Las Palmas de Gran Canaria</t>
  </si>
  <si>
    <t>Baumann, M (corresponding author), GEOMAR Helmholtz Ctr Ocean Res Kiel, Biol Oceanog, Marine Biogeochem, Kiel, Germany.</t>
  </si>
  <si>
    <t>mbaumann@geomar.de</t>
  </si>
  <si>
    <t>Hernández-Hernández, Nauzet/AAH-5738-2019; Hernández-Hernández, Nauzet/ABD-8205-2020; Spilling, Kristian/L-7932-2014; Spilling, Kristian/KEH-0764-2024; Arístegui, Javier/D-5833-2013</t>
  </si>
  <si>
    <t>Hernández-Hernández, Nauzet/0000-0003-1503-4214; Arístegui, Javier/0000-0002-7526-7741; Ortiz, Joaquin/0000-0003-3183-7340; Vanharanta, Mari/0000-0002-4632-6861; Bach, Lennart/0000-0003-0202-3671; Taucher, Jan/0000-0001-9944-0775; Banos Ceron, lsabel/0000-0003-3811-6597</t>
  </si>
  <si>
    <t>European Research Council (ERC); EU projects AQUACOSM; TRIATLAS; German Federal Ministry of Education and Research (BMBF) during [01LP1505D]; Helmholtz International Fellow Award</t>
  </si>
  <si>
    <t>European Research Council (ERC)(European Research Council (ERC)Spanish Government); EU projects AQUACOSM; TRIATLAS; German Federal Ministry of Education and Research (BMBF) during(Federal Ministry of Education &amp; Research (BMBF)); Helmholtz International Fellow Award</t>
  </si>
  <si>
    <t>This study was funded by an Advanced Grant of the European Research Council (ERC) in the framework of the Ocean Artificial Upwelling project (Ocean artUp, No. 695094). Additional Transnational Access funds were provided by the EU projects AQUACOSM (EU H2020-INFRAIA-project, No. 731065), which supported the participation of KS and MV, and TRIATLAS (EU H2020- project, No. 817578-5), which supported JA. MH received additional funding from the German Federal Ministry of Education and Research (BMBF) during this study through the PalMod Project (Nos. 01LP1505D and 01LP1919C). JA was also supported by a Helmholtz International Fellow Award, 2015 (Helmholtz Association, Germany).</t>
  </si>
  <si>
    <t>OCT 27</t>
  </si>
  <si>
    <t>10.3389/fmars.2021.742142</t>
  </si>
  <si>
    <t>XI6GQ</t>
  </si>
  <si>
    <t>WOS:000726207900001</t>
  </si>
  <si>
    <t>Exon, NF; Arculus, RJ</t>
  </si>
  <si>
    <t>Exon, N. F.; Arculus, R. J.</t>
  </si>
  <si>
    <t>Scientific ocean drilling in the Australasian region: a review</t>
  </si>
  <si>
    <t>AUSTRALIAN JOURNAL OF EARTH SCIENCES</t>
  </si>
  <si>
    <t>scientific ocean drilling; DSDP; ODP and IODP; plate tectonics; continental margins; oceanic plateaus; spreading centres and oceanic crust; subduction zones and volcanic arcs; ocean basins; sediments and fossils; sediment and extremophile microbiology</t>
  </si>
  <si>
    <t>LARGE IGNEOUS PROVINCES; OFFSHORE WESTERN-AUSTRALIA; ONTONG JAVA PLATEAU; FORE-ARC BASALTS; PAPUA-NEW-GUINEA; SUBDUCTION INITIATION; NATURALISTE PLATEAU; TECTONIC EVOLUTION; KERGUELEN PLATEAU; SW PACIFIC</t>
  </si>
  <si>
    <t>Extensive scientific ocean drilling in the Australasian region for 50 years has generated public-domain geoscience knowledge on a scale that no other science program could. Predominantly continuous coring, commonly to depths of 1000 m or more below the sea bed, has revealed the nature and origin of the continental margins, the plateaus and ridges, and the deep ocean, and put them into their plate-tectonic context. Many Australian and New Zealand scientists have played important roles in the 50 two-month regional expeditions, including building the international proposals that led to them. Large International teams aboard ship exchanged ideas and often formed long-term scientific partnerships. Most are not formally marine geoscientists or marine microbiologists. Scientists from Australia and New Zealand were also involved in numerous expeditions outside this region, but this is not their story. There have been ground-breaking results addressing global questions, such as the nature and history of plate tectonics, subduction zones and island arcs, spreading centres and polymetallic ore deposits, ocean basins and ridges, and subseafloor microbiology. Without this research, relatively little would be known about the geological history of the oceans and indeed of the continents over the last ca 150 million years. The most widely researched field has been oceanographic and climate history, which depends on plate-tectonic configuration, the thermal circulation from the Equator to the poles, and the links and constraints of deep-water circulation in the oceans. The change from a generally warm globe during the existence of Gondwana to a cooling globe after Antarctica became isolated from the rest of that supercontinent at about 33 Ma, when the deep-water Antarctic Circumpolar Current developed, cutting off the warm water and leading to a complete reorganisation of oceanic currents. Microbiological studies have shown that large communities of microbes occur deep within oceanic sediments, and also where hot fluids vent from young oceanic spreading centres and submarine island arcs.</t>
  </si>
  <si>
    <t>[Exon, N. F.; Arculus, R. J.] Australian Natl Univ, Res Sch Earth Sci, Bldg 142,Mills Rd, Canberra, ACT 2601, Australia</t>
  </si>
  <si>
    <t>Australian National University</t>
  </si>
  <si>
    <t>Exon, NF (corresponding author), Australian Natl Univ, Res Sch Earth Sci, Bldg 142,Mills Rd, Canberra, ACT 2601, Australia.</t>
  </si>
  <si>
    <t>neville.exon@anu.edu.au</t>
  </si>
  <si>
    <t>Arculus, Richard/0000-0002-3432-392X; Exon, Neville/0000-0003-4169-4144</t>
  </si>
  <si>
    <t>Research School of Earth Sciences Australian National University [Q47230-23]</t>
  </si>
  <si>
    <t>Research School of Earth Sciences Australian National University(Australian National University)</t>
  </si>
  <si>
    <t>This work was supported by Research School of Earth Sciences Australian National University (Q47230-23).</t>
  </si>
  <si>
    <t>0812-0099</t>
  </si>
  <si>
    <t>1440-0952</t>
  </si>
  <si>
    <t>AUST J EARTH SCI</t>
  </si>
  <si>
    <t>Aust. J. Earth Sci.</t>
  </si>
  <si>
    <t>APR 3</t>
  </si>
  <si>
    <t>10.1080/08120099.2021.1966835</t>
  </si>
  <si>
    <t>ZO4CN</t>
  </si>
  <si>
    <t>Green Published, hybrid, Green Submitted</t>
  </si>
  <si>
    <t>WOS:000712376500001</t>
  </si>
  <si>
    <t>D'Sa, EJ; Kim, HC; Ha, SY; Joshi, I</t>
  </si>
  <si>
    <t>D'Sa, Eurico J.; Kim, Hyun-Cheol; Ha, Sun-Yong; Joshi, Ishan</t>
  </si>
  <si>
    <t>Ross Sea Dissolved Organic Matter Optical Properties During an Austral Summer: Biophysical Influences</t>
  </si>
  <si>
    <t>Ross Sea; Southern Ocean; DOM; CDOM; FDOM; DOC</t>
  </si>
  <si>
    <t>PARALLEL FACTOR-ANALYSIS; OCEAN COLOR ALGORITHMS; BIOOPTICAL PROPERTIES; PHAEOCYSTIS-ANTARCTICA; LIGHT-ABSORPTION; FLUORESCENCE CHARACTERISTICS; PHYTOPLANKTON COMMUNITY; MISSISSIPPI RIVER; SPATIAL-PATTERNS; MOLECULAR-WEIGHT</t>
  </si>
  <si>
    <t>The Ross Sea, one of the most productive regions in the Southern Ocean, plays a significant role in deep water formation and carbon cycling. Dissolved organic carbon (DOC) concentrations and chromophoric dissolved organic matter (CDOM) absorption and fluorescence (FDOM) properties were studied in conjunction with biophysical properties during austral summer. Elevated values of both DOC (mean 47.82 +/- 5.70 mu M) and CDOM (absorption coefficient at 325 nm, a(cdom)325: mean 0.31 +/- 0.18 m(-1)) observed in the upper shelf waters in the southwest (SW), north of the Ross Ice Shelf (RIS), the northwest and along a transect inward of the shelf break, suggested in situ production and accumulation linked to the productive spring/summer season. However, regional differences were observed in CDOM with a(cdom)325 higher (0.63 +/- 0.19 m(-1)) and its spectral slope S275-295 lower (24.06 +/- 2.93 mu m(-1)) in the SW compared to other regions (0.25 +/- 0.08 m(-1) and 28.92 +/- 2.67 mu m(-1), respectively). Similarly, the specific UV absorption coefficient or SUVA(254) determined at 254 nm was greater (1.85 +/- 0.55 m(2) mg(-1) C) compared to other regions (1.07 +/- 0.24 m(2) mg(-1) C), indicating CDOM of greater molecular weight and aromaticity in the SW. Phytoplankton absorption spectra indicated the shallow mixed layer of SW Ross Sea to be dominated by diatoms (e.g., Fragilariopsis spp.), a preferential food source for grazers such as the Antarctic krill, which in large numbers have been shown to enhance CDOM absorption, a likely source in the SW. Excitation-emission matrix (EEM) fluorescence combined with parallel factor analysis (PARAFAC) retrieved one protein-like and two humic-like FDOM fractions commonly observed in the global ocean. In contrast to a(cdom)325 which was uncorrelated to DOC, we observed weak but significant positive correlations between the humic-like FDOM with salinity and DOC, high value of the biological index parameter BIX and an instance of increasing FDOM with depth at a location with sinking organic matter, suggesting autochthonous production of FDOM. The absorption budget showed a relatively higher contribution by CDOM (70.7 +/- 18.3%) compared to phytoplankton (22.5 +/- 15.2%) absorption coefficients at 443 nm with implications to ocean color remote sensing. This first study of DOM optical properties provides additional insights on carbon cycling in the Ross Sea.</t>
  </si>
  <si>
    <t>[D'Sa, Eurico J.] Louisiana State Univ, Dept Oceanog &amp; Coastal Sci, Baton Rouge, LA 70803 USA; [Kim, Hyun-Cheol; Ha, Sun-Yong] Korea Polar Res Inst, Incheon, South Korea; [Joshi, Ishan] Univ Calif San Diego, Marine Phys Lab, Scripps Inst Oceanog, San Diego, CA 92103 USA</t>
  </si>
  <si>
    <t>Louisiana State University System; Louisiana State University; Korea Polar Research Institute (KOPRI); University of California System; University of California San Diego; Scripps Institution of Oceanography</t>
  </si>
  <si>
    <t>D'Sa, EJ (corresponding author), Louisiana State Univ, Dept Oceanog &amp; Coastal Sci, Baton Rouge, LA 70803 USA.</t>
  </si>
  <si>
    <t>ejdsa@lsu.edu</t>
  </si>
  <si>
    <t>Joshi, Ishan/I-3465-2019</t>
  </si>
  <si>
    <t>Joshi, Ishan/0000-0001-7710-0059; D'Sa, Eurico/0000-0002-5262-6094</t>
  </si>
  <si>
    <t>KOPRI</t>
  </si>
  <si>
    <t>KOPRI(Korea Polar Research Institute of Marine Research Placement (KOPRI))</t>
  </si>
  <si>
    <t>Funding Funding for this work was provided by a Korea Polar Research Institute (KOPRI) grant PE21040 (Optimum Utilization of Satellite Data for Polar Research).</t>
  </si>
  <si>
    <t>10.3389/fmars.2021.749096</t>
  </si>
  <si>
    <t>WW0OZ</t>
  </si>
  <si>
    <t>WOS:000717627900001</t>
  </si>
  <si>
    <t>Cotté, C; Ariza, A; Berne, A; Habasque, J; Lebourges-Dhaussy, A; Roudaut, G; Espinasse, B; Hunt, BPV; Pakhomov, EA; Henschke, N; Péron, C; Conchon, A; Koedooder, C; Izard, L; Cherel, Y</t>
  </si>
  <si>
    <t>Cotte, C.; Ariza, A.; Berne, A.; Habasque, J.; Lebourges-Dhaussy, A.; Roudaut, G.; Espinasse, B.; Hunt, B. P., V; Pakhomov, E. A.; Henschke, N.; Peron, C.; Conchon, A.; Koedooder, C.; Izard, L.; Cherel, Y.</t>
  </si>
  <si>
    <t>Macrozooplankton and micronekton diversity and associated carbon vertical patterns and fluxes under distinct productive conditions around the Kerguelen Islands</t>
  </si>
  <si>
    <t>Macrozooplankton; Micronekton; Vertical patterns; Active carbon flux; Spatio-temporal variability; Scattering layers; Kerguelen Plateau; Southern Ocean</t>
  </si>
  <si>
    <t>NATURAL IRON FERTILIZATION; TUNICATE SALPA-THOMPSONI; ANTARCTIC FUR SEALS; SOUTHERN-OCEAN; NORTHEAST ATLANTIC; MESOPELAGIC FISH; INVERSE RELATIONSHIP; PHYTOPLANKTON BLOOM; EXPORT EFFICIENCY; DIEL MIGRATIONS</t>
  </si>
  <si>
    <t>Mesopelagic communities are characterized by a large biomass of diverse macrozooplankton and micronekton (MM) performing diel vertical migration (DVM) connecting the surface to the deeper ocean and contributing to biogeochemical fluxes. In the Southern Ocean, a prominent High Nutrient Low Chlorophyll (HNLC) and low carbon export region, the contribution of MM to the vertical carbon flux of the biological pump remains largely unknown. Furthermore, few studies have investigated MM communities and vertical flux in naturally iron fertilized areas associated with shallow bathymetry. In this study, we assessed the MM community diversity, abundance and biomass in the Kerguelen Island region, including two stations in the HNLC region upstream of the islands, and two stations in naturally iron fertilized areas, one on the Plateau, and one downstream of the Plateau. The MM community was examined using a combination of trawl sampling and acoustic measurements at 18 and 38 kHz from the surface to 800 m. A conspicuous three-layer vertical system was observed in all areas - a shallow scattering layer, SSL, between 10 and 200 m; mid-depth scattering layer, MSL, between 200 and 500 m; deep scattering layer, DSL, between 500 and 800 m - but communities differing among stations. While salps (Salpa thompsoni) dominated the biomass at the productive Kerguelen Plateau and the downstream station, they were scarce in the HNLC upstream area. In addition, crustaceans (mainly Euphausia vallentini and Themisto gaudichaudii) were particularly abundant over the Plateau, representing a large, although varying, carbon stock in the 0-500 m water layer. Mesopelagic fish were prominent below 400 m where they formed permanent or migrant layers accounting for the main source of carbon biomass. Through these spatial and temporal sources of variability, complex patterns of the MM vertical distribution and associated carbon content were identified. The total carbon flux mediated by migratory myctophids at the four stations was quantified. While this flux was likely underestimated, this study identified the main components and mechanisms of active carbon export in the region and how they are modulated by complex topography and land mass effects.</t>
  </si>
  <si>
    <t>[Cotte, C.; Berne, A.; Conchon, A.; Izard, L.] Sorbonne Univ, CNRS, IRD, MNHN,Lab dOceanog &amp; Climat Expt &amp; Approches Numer, Paris, France; [Berne, A.; Habasque, J.; Lebourges-Dhaussy, A.; Roudaut, G.; Conchon, A.] UBO CNRS IRD Ifremer IUEM, LEMAR, Plouzane, France; [Ariza, A.] Univ Montpellier, MARBEC, CNRS, Ifremer,IRD, Sete, France; [Espinasse, B.] UiT Arctic Univ Norway, Dept Arctic &amp; Marine Biol, Tromso, Norway; [Hunt, B. P., V; Pakhomov, E. A.; Henschke, N.] Univ British Columbia, Dept Earth Ocean &amp; Atmospher Sci, Vancouver, BC, Canada; [Hunt, B. P., V; Pakhomov, E. A.] Univ British Columbia, Inst Oceans &amp; Fisheries, Vancouver, BC, Canada; [Hunt, B. P., V; Pakhomov, E. A.] Hakai Inst, POB 309, Heriot Bay, BC, Canada; [Peron, C.] BOREA, MNHN, CNRS UPMC IRD UCBN UAG, Paris, France; [Koedooder, C.] Sorbonne Univ, UPMC Univ Paris 06, CNRS, Lab Oceanog Microbienne LOMIC,Observ Oceanol, Banyuls Sur Mer, France; [Koedooder, C.] Hebrew Univ Jerusalem, Fredy &amp; Nadine Herrmann Inst Earth Sci, Jerusalem, Israel; [Cherel, Y.] La Rochelle Univ, Ctr Etud Biol Chize CEBC, CNRS, UMR 7372, F-79360 Villiers En Bois, France</t>
  </si>
  <si>
    <t>Sorbonne Universite; Centre National de la Recherche Scientifique (CNRS); Museum National d'Histoire Naturelle (MNHN); Institut de Recherche pour le Developpement (IRD); Centre National de la Recherche Scientifique (CNRS); Ifremer; Institut de Recherche pour le Developpement (IRD); Universite de Bretagne Occidentale; Institut de Recherche pour le Developpement (IRD); Universite de Montpellier; Ifremer; Centre National de la Recherche Scientifique (CNRS); UiT The Arctic University of Tromso; University of British Columbia; University of British Columbia; Hakai Institute; Centre National de la Recherche Scientifique (CNRS); Institut de Recherche pour le Developpement (IRD); Museum National d'Histoire Naturelle (MNHN); Sorbonne Universite; Sorbonne Universite; Centre National de la Recherche Scientifique (CNRS); Hebrew University of Jerusalem; Centre National de la Recherche Scientifique (CNRS); CNRS - Institute of Ecology &amp; Environment (INEE)</t>
  </si>
  <si>
    <t>Cotté, C (corresponding author), Sorbonne Univ, CNRS, IRD, MNHN,Lab dOceanog &amp; Climat Expt &amp; Approches Numer, Paris, France.</t>
  </si>
  <si>
    <t>cedric.cotte@locean.ipsl.fr</t>
  </si>
  <si>
    <t>Ariza, Alejandro/IZQ-3603-2023; Espinasse, Boris/AFS-7849-2022; Espinasse, Boris/AAE-1435-2022; Cotte, Cedric/C-3296-2013</t>
  </si>
  <si>
    <t>Espinasse, Boris/0000-0002-7490-5588; Conchon, Anna/0000-0003-1601-5613; Cotte, Cedric/0000-0002-8307-6435; Ariza, Alejandro/0000-0001-7864-4381</t>
  </si>
  <si>
    <t>French oceanographic fleet (Flotte oceanographique francaise); French ANR (Agence Nationale de la Recherche, AAPG 2017 program, MOBYDICK Project) [ANR-17CE01-0013]; French Research program of INSU-CNRS LEFE/CYBER (Les enveloppes fluides et l'environnement -Cycles biogeochimiques, environnement et ressources); Cnes OSTST Tosca project LAECOS; BEST program IUCN-European Commission (SEECTOR grant) [2279]; H2020 (MESOPP grant) [692173]; H2020 Societal Challenges Programme [692173] Funding Source: H2020 Societal Challenges Programme</t>
  </si>
  <si>
    <t>French oceanographic fleet (Flotte oceanographique francaise); French ANR (Agence Nationale de la Recherche, AAPG 2017 program, MOBYDICK Project)(Agence Nationale de la Recherche (ANR)); French Research program of INSU-CNRS LEFE/CYBER (Les enveloppes fluides et l'environnement -Cycles biogeochimiques, environnement et ressources); Cnes OSTST Tosca project LAECOS; BEST program IUCN-European Commission (SEECTOR grant); H2020 (MESOPP grant); H2020 Societal Challenges Programme(Horizon 2020European Union (EU)H2020 Societal Challenges Programme)</t>
  </si>
  <si>
    <t>We thank B. Queguiner, the PI of the MOBYDICK project, for providing us the opportunity to participate to this cruise, the chief scientist I. Obernosterer and the captain and crew of the R/V Marion Dufresne for their enthusiasm and support aboard during the MOBY-DICK-THEMISTO cruise (https://doi.org/10.17600/18000403).This work was supported by the French oceanographic fleet (Flotte oceanographique francaise), the French ANR (Agence Nationale de la Recherche, AAPG 2017 program, MOBYDICK Project number: ANR-17CE01-0013), and the French Research program of INSU-CNRS LEFE/CYBER (Les enveloppes fluides et l'environnement -Cycles biogeochimiques, environnement et ressources). This research was partially supported by the Cnes OSTST Tosca project LAECOS, BEST program IUCN-European Commission (SEECTOR grant agreement No 2279) and H2020 (MESOPP grant agreement No 692173) held by CC. The authors acknowledged Aviso, ACRI-ST and the European Copernicus Marine Environment Monitoring Service for the production and the delivery of environmental data.</t>
  </si>
  <si>
    <t>10.1016/j.jmarsys.2021.103650</t>
  </si>
  <si>
    <t>WR4ZQ</t>
  </si>
  <si>
    <t>WOS:000714510000003</t>
  </si>
  <si>
    <t>Barlow, J; Cheeseman, T; Trickey, JS</t>
  </si>
  <si>
    <t>Barlow, Jay; Cheeseman, Ted; Trickey, Jennifer S.</t>
  </si>
  <si>
    <t>Acoustic detections of beaked whales, narrow-band high-frequency pulses and other odontocete cetaceans in the Southern Ocean using an autonomous towed hydrophone recorder</t>
  </si>
  <si>
    <t>Towed hydrophone; Acoustic survey; Cetacean; Odontocetes; Echolocation; Beaked whale; Sperm whale; Southern Ocean; Antarctic</t>
  </si>
  <si>
    <t>ECHOLOCATION CLICKS; HOURGLASS DOLPHINS; KILLER WHALES; CLASSIFICATION; EVOLUTION; SIGNALS</t>
  </si>
  <si>
    <t>Encased in a streamlined, flooded housing, a SoundTrap ST300HF hydrophone recording system was towed on voyages to South Georgia Island and the South Sandwich Islands and to the Antarctic Peninsula in December 2019-February 2020. Recordings were analyzed to identify acoustic detections of cetacean species. Acoustically identified species included sperm whales (Physeter macrocephalus), southern bottlenose whales (Hyperoodon planifrons), Arnoux's beaked whales (Berardius arnuxii), killer whales (Orcinus orca), and long-finned pilot whales (Globicephala melas). Acoustic detections also included several recognized types of beaked whale echolocation pulses (BW37/39 and BW58) as well as two likely beaked whale echolocation pulse types that do not match any previous descriptions. Narrow-band high-frequency echolocation signals (NBHF) (typical of porpoises and some dolphin species) were detected in many locations, and one of these coincided with a sighting of hourglass dolphins (Lagenorhynchus cruciger). This study shows the utility of an autonomous towed hydrophone system on a vessel of opportunity to study the distribution of cetaceans in rough seas that are difficult to study by visual survey methods.</t>
  </si>
  <si>
    <t>[Barlow, Jay] NOAA, Natl Marine Fisheries Serv, Southwest Fisheries Sci Ctr, La Jolla, CA USA; [Cheeseman, Ted] Happywhale, Santa Cruz, CA USA; [Cheeseman, Ted] Southern Cross Univ, Lismore, NSW, Australia; [Trickey, Jennifer S.] Univ Calif San Diego, Scripps Inst Oceanog, La Jolla, CA 92093 USA</t>
  </si>
  <si>
    <t>National Oceanic Atmospheric Admin (NOAA) - USA; Southern Cross University; University of California System; University of California San Diego; Scripps Institution of Oceanography</t>
  </si>
  <si>
    <t>Barlow, J (corresponding author), Southwest Fisheries Sci Ctr, 8901 La Jolla Shores Dr, La Jolla, CA 92037 USA.</t>
  </si>
  <si>
    <t>jay.barlow@noaa.gov; ted@happywhale.com; jtrickey@ucsd.edu</t>
  </si>
  <si>
    <t>Trickey, Jennifer/0000-0002-6080-8744; Cheeseman, Ted/0000-0002-5805-2431</t>
  </si>
  <si>
    <t>10.1016/j.dsr2.2021.104973</t>
  </si>
  <si>
    <t>WP1MR</t>
  </si>
  <si>
    <t>WOS:000712904800003</t>
  </si>
  <si>
    <t>Cedras, RB; Gibbons, MJ</t>
  </si>
  <si>
    <t>Cedras, R. B.; Gibbons, M. J.</t>
  </si>
  <si>
    <t>Latitudinal changes in copepod assemblages across the South West Indian Ridge</t>
  </si>
  <si>
    <t>Calanoida; Copepods; Zooplankton; Ecology; Zoogeography</t>
  </si>
  <si>
    <t>LIFE-CYCLE STRATEGIES; COMMUNITY STRUCTURE; EGG-PRODUCTION; SUBTROPICAL GYRE; PELAGIC COPEPODS; TROPHIC POSITION; ATLANTIC SECTOR; OITHONA-SIMILIS; FRONTAL ZONE; OCEAN</t>
  </si>
  <si>
    <t>In the South Atlantic Ocean, the Subtropical Front (STF) separates warm-water copepod assemblages of high diversity from cold-water assemblages of lower diversity. Comparable information from the southern Indian Ocean are scarce. Here we test observations made in the southwest sector of the Indian Ocean using samples collected during 2009 from along the South West Indian Ridge (SWIR, -27 - 42 degrees S). Distinct assemblages were associated with the Agulhas Return Current (ARC), the Sub-Tropical Front (STF) and Sub-Antarctic Front (SAF). Sixty-nine percent of the structure of the assemblages could be attributable to the temperature at both the surface and 200 m, the salinity and the fluorescence signal of surface waters and the depth of the upper mixed layer. Forty-nine copepod genera and 132 species were recorded. While richness was greatest in waters of the ARC and lowest in the SAF, copepods were most abundant in the latter and scarcest in the former. Mean prosome length decreased with increasing latitude, and assemblages of the ARC included greater numbers of carnivorous taxa than those associated with either the STF or the SAF. As in the Atlantic, the STF markedly influenced the relative distribution range of copepod assemblages above the South West Indian Ridge.</t>
  </si>
  <si>
    <t>[Cedras, R. B.; Gibbons, M. J.] Univ Western Cape, Dept Biodivers &amp; Conservat Biol, Private Bag X17, ZA-7535 Bellville, South Africa</t>
  </si>
  <si>
    <t>University of the Western Cape</t>
  </si>
  <si>
    <t>Cedras, RB (corresponding author), Univ Western Cape, Dept Biodivers &amp; Conservat Biol, Private Bag X17, ZA-7535 Bellville, South Africa.</t>
  </si>
  <si>
    <t>rcedras@uwc.ac.za</t>
  </si>
  <si>
    <t>10.1016/j.dsr2.2021.104963</t>
  </si>
  <si>
    <t>WOS:000712904800002</t>
  </si>
  <si>
    <t>Shackleton, S; Menking, JA; Brook, E; Buizert, C; Dyonisius, MN; Petrenko, VV; Baggenstos, D; Severinghaus, JP</t>
  </si>
  <si>
    <t>Shackleton, Sarah; Menking, James A.; Brook, Edward; Buizert, Christo; Dyonisius, Michael N.; Petrenko, Vasilii V.; Baggenstos, Daniel; Severinghaus, Jeffrey P.</t>
  </si>
  <si>
    <t>Evolution of mean ocean temperature in Marine Isotope Stage 4</t>
  </si>
  <si>
    <t>MERIDIONAL OVERTURNING CIRCULATION; SEA-LEVEL; GLACIAL MAXIMUM; ICE VOLUME; CLIMATE; RECORD; CARBON; ATLANTIC; DELTA-O-18; GASES</t>
  </si>
  <si>
    <t>Deglaciations are characterized by relatively fast and near-synchronous changes in ice sheet volume, ocean temperature, and atmospheric greenhouse gas concentrations, but glacial inception occurs more gradually. Understanding the evolution of ice sheet, ocean, and atmosphere conditions from interglacial to glacial maximum provides insight into the interplay of these components of the climate system. Using noble gas measurements in ancient ice samples, we reconstruct mean ocean temperature (MOT) from 74 to 59.7 ka, covering the Marine Isotope Stage (MIS) 5a-4 boundary, MIS 4, and part of the MIS 4-3 transition. Comparing this MOT reconstruction to previously published MOT reconstructions from the last and penultimate deglaciation, we find that the majority of the last interglacial-glacial ocean cooling must have occurred within MIS 5. MOT reached equally cold conditions in MIS 4 as in MIS 2 (-2.7 +/- 0.3 degrees C relative to the Holocene, -0.1 +/- 0.3 degrees C relative to MIS 2). Using a carbon cycle model to quantify the CO2 solubility pump, we show that ocean cooling can explain most of the CO2 drawdown (32 +/- 4 of 40 ppm) across MIS 5. Comparing MOT to contemporaneous records of benthic delta O-18, we find that ocean cooling can also explain the majority of the delta O-18 increase across MIS 5 (0.7 parts per thousand of 1.3 parts per thousand). The timing of ocean warming and cooling in the record and the comparison to coeval Antarctic isotope data suggest an intimate link between ocean heat content, Southern Hemisphere high-latitude climate, and ocean circulation on orbital and millennial timescales.</t>
  </si>
  <si>
    <t>[Shackleton, Sarah; Severinghaus, Jeffrey P.] Univ Calif San Diego, Scripps Inst Oceanog, La Jolla, CA 92093 USA; [Menking, James A.; Brook, Edward; Buizert, Christo] Oregon State Univ, Coll Earth Ocean &amp; Atmospher Sci, Corvallis, OR 97331 USA; [Dyonisius, Michael N.; Petrenko, Vasilii V.] Univ Rochester, Dept Earth &amp; Environm Sci, Rochester, NY 14627 USA; [Baggenstos, Daniel] Univ Bern, Phys Inst, Climate &amp; Environm Phys, Bern, Switzerland; [Baggenstos, Daniel] Univ Bern, Oeschger Ctr Climate Change Res, Bern, Switzerland; [Shackleton, Sarah] Princeton Univ, Dept Geosci, Princeton, NJ 08544 USA; [Dyonisius, Michael N.] Univ Copenhagen, Niels Bohr Inst, Phys Ice Climate &amp; Earth, Copenhagen, Denmark</t>
  </si>
  <si>
    <t>University of California System; University of California San Diego; Scripps Institution of Oceanography; Oregon State University; University of Rochester; University of Bern; University of Bern; Princeton University; University of Copenhagen; Niels Bohr Institute</t>
  </si>
  <si>
    <t>Shackleton, S (corresponding author), Univ Calif San Diego, Scripps Inst Oceanog, La Jolla, CA 92093 USA.;Shackleton, S (corresponding author), Princeton Univ, Dept Geosci, Princeton, NJ 08544 USA.</t>
  </si>
  <si>
    <t>ss77@princeton.edu</t>
  </si>
  <si>
    <t>Menking, James Andrew/GPX-8702-2022; Baggenstos, Daniel/AAK-5751-2021</t>
  </si>
  <si>
    <t>Menking, James Andrew/0000-0002-5891-6711; Baggenstos, Daniel/0000-0001-9756-6884; Shackleton, Sarah/0000-0001-5927-1954; Severinghaus, Jeffrey/0000-0001-8883-3119</t>
  </si>
  <si>
    <t>National Science Foundation (NSF) [1246148, 1245821, 1245659]; NSF Graduate Research Fellowships Program [DGE-1650112]</t>
  </si>
  <si>
    <t>National Science Foundation (NSF)(National Science Foundation (NSF)); NSF Graduate Research Fellowships Program(National Science Foundation (NSF))</t>
  </si>
  <si>
    <t>This research has been supported by the National Science Foundation (NSF) (grant nos. 1246148, SIO; 1245821, OSU; and 1245659, UR) and the NSF Graduate Research Fellowships Program (grant no. DGE-1650112).</t>
  </si>
  <si>
    <t>10.5194/cp-17-2273-2021</t>
  </si>
  <si>
    <t>WN7UQ</t>
  </si>
  <si>
    <t>WOS:000711973300001</t>
  </si>
  <si>
    <t>Whittle, A; Barnett, RL; Charman, DJ; Gallego-Sala, AV</t>
  </si>
  <si>
    <t>Whittle, Alex; Barnett, Robert L.; Charman, Dan J.; Gallego-Sala, Angela, V</t>
  </si>
  <si>
    <t>Low-salinity transitions drive abrupt microbial response to sea-level change</t>
  </si>
  <si>
    <t>ECOLOGY LETTERS</t>
  </si>
  <si>
    <t>biomass; climate change; coastal ecology; microbial; productivity; salinity; sea level; testate amoebae</t>
  </si>
  <si>
    <t>TESTATE AMEBAS; INDICATORS; PROTOZOA</t>
  </si>
  <si>
    <t>The salinisation of many coastal ecosystems is underway and is expected to continue into the future because of sea-level rise and storm intensification brought about by the changing climate. However, the response of soil microbes to increasing salinity conditions within coastal environments is poorly understood, despite their importance for nutrient cascading, carbon sequestration and wider ecosystem functioning. Here, we demonstrate deterioration in the productivity of a top-tier microbial group (testate amoebae) with increasing coastal salinity, which we show to be consistent across phylogenetic groups, salinity gradients, environment types and latitude. Our results show that microbial changes occur in the very early stages of marine inundation, presaging more radical changes in soil and ecosystem function and providing an early warning of coastal salinisation that could be used to improve coastal planning and adaptation.</t>
  </si>
  <si>
    <t>[Whittle, Alex; Barnett, Robert L.; Charman, Dan J.; Gallego-Sala, Angela, V] Univ Exeter, Coll Life &amp; Environm Sci, Geog, Exeter, Devon, England; [Whittle, Alex] British Antarctic Survey, Nat Environm Res Council, Cambridge, England; [Barnett, Robert L.] Univ Quebec Rimouski, Dept Biol Chim &amp; Geog, Rimouski, PQ, Canada; [Barnett, Robert L.] Univ Quebec Rimouski, Ctr Etud Nordiques, Rimouski, PQ, Canada</t>
  </si>
  <si>
    <t>University of Exeter; UK Research &amp; Innovation (UKRI); Natural Environment Research Council (NERC); NERC British Antarctic Survey; University of Quebec; Universite du Quebec a Rimouski; University of Quebec; Universite du Quebec a Rimouski; Laval University</t>
  </si>
  <si>
    <t>Whittle, A (corresponding author), Univ Exeter, Coll Life &amp; Environm Sci, Geog, Exeter, Devon, England.</t>
  </si>
  <si>
    <t>aw424@exeter.ac.uk</t>
  </si>
  <si>
    <t>Gallego-Sala, Angela/G-8770-2012</t>
  </si>
  <si>
    <t>Gallego-Sala, Angela/0000-0002-7483-7773; Whittle, Alex/0000-0001-9615-7579; Barnett, Robert/0000-0001-6179-8456</t>
  </si>
  <si>
    <t>Securite publique du Quebec [CPS 16-17-04]; Natural Environment Research Council [NE/L002434/1]</t>
  </si>
  <si>
    <t>Securite publique du Quebec; Natural Environment Research Council(UK Research &amp; Innovation (UKRI)Natural Environment Research Council (NERC))</t>
  </si>
  <si>
    <t>Securite publique du Quebec, Grant/Award Number: CPS 16-17-04; Natural Environment Research Council, Grant/Award Number: NE/L002434/1</t>
  </si>
  <si>
    <t>1461-023X</t>
  </si>
  <si>
    <t>1461-0248</t>
  </si>
  <si>
    <t>ECOL LETT</t>
  </si>
  <si>
    <t>Ecol. Lett.</t>
  </si>
  <si>
    <t>10.1111/ele.13893</t>
  </si>
  <si>
    <t>XL7QC</t>
  </si>
  <si>
    <t>WOS:000711628300001</t>
  </si>
  <si>
    <t>Jacques, C; Sapart, CJ; Fripiat, F; Carnat, G; Zhou, JY; Delille, B; Röckmann, T; van der Veen, C; Niemann, H; Haskell, T; Tison, JL</t>
  </si>
  <si>
    <t>Jacques, Caroline; Sapart, Celia J.; Fripiat, Francois; Carnat, Gauthier; Zhou, Jiayun; Delille, Bruno; Rockmann, Thomas; van der Veen, Carina; Niemann, Helge; Haskell, Tim; Tison, Jean-Louis</t>
  </si>
  <si>
    <t>Sources and sinks of methane in sea ice: Insights from stable isotopes</t>
  </si>
  <si>
    <t>Methane; Stable isotopes; Sea ice; Arctic; Antarctic; Production and consumption pathways</t>
  </si>
  <si>
    <t>HYDROGEN ISOTOPES; CARBON; OCEAN; FRACTIONATION; MARINE; OXIDATION; FLOW; CONSUMPTION; SEDIMENTS; ORIGIN</t>
  </si>
  <si>
    <t>We report on methane (CH4) stable isotope (delta C-13 and delta H-2) measurements from landfast sea ice collected near Barrow (Utqiagyik, Alaska) and Cape Evans (Antarctica) over the winter-to-spring transition. These measurements provide novel insights into pathways of CH4 production and consumption in sea ice. We found substantial differences between the two sites. Sea ice overlying the shallow shelf of Barrow was supersaturated in CH4 with a clear microbial origin, most likely from methanogenesis in the sediments. We estimated that in situ CH4 oxidation consumed a substantial fraction of the CH4 being supplied to the sea ice, partly explaining the large range of isotopic values observed (delta C-13 between -68.5 and -48.5 parts per thousand and delta H-2 between -246 and -104 parts per thousand). Sea ice at Cape Evans was also supersaturated in CH4 but with surprisingly high delta C-13 values (between -46.9 and -13.0 parts per thousand), whereas delta H-2 values (between -313 and -113 parts per thousand) were in the range of those observed at Barrow. These are the first measurements of CH4 isotopic composition in Antarctic sea ice. Our data set suggests a potential combination of a hydrothermal source, in the vicinity of the Mount Erebus, with aerobic CH4 formation in sea ice, although the metabolic pathway for the latter still needs to be elucidated. Our observations show that sea ice needs to be considered as an active biogeochemical interface, contributing to CH4 production and consumption, which disputes the standing paradigm that sea ice is an inert barrier passively accumulating CH4 at the ocean-atmosphere boundary.</t>
  </si>
  <si>
    <t>[Jacques, Caroline; Sapart, Celia J.; Fripiat, Francois; Carnat, Gauthier; Zhou, Jiayun; Tison, Jean-Louis] Univ Libre Bruxelles, Lab Glaciol, Brussels, Belgium; [Sapart, Celia J.; Rockmann, Thomas; van der Veen, Carina] Univ Utrecht, Inst Marine &amp; Atmospher Res Utrecht IMAU, Utrecht, Netherlands; [Zhou, Jiayun; Delille, Bruno] Univ Liege, Unite Oceanog Chim, Liege, Belgium; [Niemann, Helge] Royal Netherlands Inst Sea Res NIOZ, Dept Marine Microbiol &amp; Biogeochem, Texel, Netherlands; [Niemann, Helge] Univ Utrecht, Fac Geosci, Dept Earth Sci, Utrecht, Netherlands; [Niemann, Helge] UiT Arctic Univ Norway, CAGE Ctr Arctic Gas Hydrate Environm &amp; Climate, Dept Geosci, Tromso, Norway; [Haskell, Tim] Callaghan Innovat, Wellington, New Zealand</t>
  </si>
  <si>
    <t>Universite Libre de Bruxelles; Utrecht University; University of Liege; Utrecht University; Royal Netherlands Institute for Sea Research (NIOZ); Utrecht University; UiT The Arctic University of Tromso</t>
  </si>
  <si>
    <t>Tison, JL (corresponding author), Univ Libre Bruxelles, Lab Glaciol, Brussels, Belgium.</t>
  </si>
  <si>
    <t>jean-louis.tison@ulb.be</t>
  </si>
  <si>
    <t>Niemann, Helge/C-6630-2014; Röckmann, Thomas/F-4479-2015; Fripiat, François/ABB-8918-2021; Delille, Bruno/C-3486-2008</t>
  </si>
  <si>
    <t>Niemann, Helge/0000-0002-3468-8304;</t>
  </si>
  <si>
    <t>FRS-FNRS [2.4584.09, 2.4517.11, PDR T.0268.16 ISOGGAP]; Belgian Science Policy (project BIGSOUTH) [SD/CA/03A, SD/CA/05]; National Science Foundation [OPP-0632398]; University of Alaska Fairbanks; NCE ArcticNet; National Science and Engineering Research Council; Antarctica New Zealand [K131]</t>
  </si>
  <si>
    <t>FRS-FNRS(Fonds de la Recherche Scientifique - FNRS); Belgian Science Policy (project BIGSOUTH); National Science Foundation(National Science Foundation (NSF)); University of Alaska Fairbanks; NCE ArcticNet; National Science and Engineering Research Council(Natural Sciences and Engineering Research Council of Canada (NSERC)); Antarctica New Zealand</t>
  </si>
  <si>
    <t>This research was supported by the FRS-FNRS (contract 2.4584.09, contract 2.4517.11, PDR T.0268.16 ISOGGAP), Belgian Science Policy (project BIGSOUTH, contract SD/CA/03A and SD/CA/05), the National Science Foundation (project OPP-0632398 [SIZONet]), the University of Alaska Fairbanks, the NCE ArcticNet and National Science and Engineering Research Council, and Antarctica New Zealand (project K131). Jiayun Zhou, Gauthier Carnat, Ce ' lia Sapart, and Bruno Delille were or still are PhD students, postdoctoral, and research associate, respectively, of the FRS-FNRS (Fonds National de la Recherche Scientifique, Belgium).</t>
  </si>
  <si>
    <t>10.1525/elementa.2020.00167</t>
  </si>
  <si>
    <t>WN5WU</t>
  </si>
  <si>
    <t>WOS:000711839000001</t>
  </si>
  <si>
    <t>Freer, JJ; Daase, M; Tarling, GA</t>
  </si>
  <si>
    <t>Freer, Jennifer J.; Daase, Malin; Tarling, Geraint A.</t>
  </si>
  <si>
    <t>Modelling the biogeographic boundary shift of Calanus finmarchicus reveals drivers of Arctic Atlantification by subarctic zooplankton</t>
  </si>
  <si>
    <t>boreal; climate warming; phenology; plankton; sea-ice; species distributions</t>
  </si>
  <si>
    <t>NORTH-ATLANTIC OCEAN; CLIMATE-CHANGE; BERING-SEA; GLACIALIS; HELGOLANDICUS; COMMUNITIES; ECOSYSTEMS; RESPONSES; POLEWARD; BLOOMS</t>
  </si>
  <si>
    <t>Biological communities in the Arctic are changing through the climate-driven encroachment of subarctic species. This Atlantification extends to keystone Calanoid copepods, as the small-bodied Calanus finmarchicus increases in abundance in areas where it overlaps with larger Arctic congeners. The environmental factors that are facilitating this shift, whether related to optimal conditions in temperature or seasonality, remain unclear. Assessing these drivers at an Arctic-wide scale is necessary to predict future ecosystem change and impacts. Here we have compiled range-wide occurrences of C. finmarchicus and a suite of seasonal biophysical climatologies to build a boreo-Arctic ecological niche model. The data set was divided into two eras, 1955-1984 and 1985-2017, and an optimized MaxEnt model was used to predict the seasonal distribution of the abiotic niche of C. finmarchicus in both eras. Comparing outputs between eras reveals an increase in habitat suitability at the Arctic range edge. Large and significant increases in suitability are predicted in the regions of the Greenland, Labrador, and Southern Barents Seas that have experienced reduced sea-ice cover. With the exception of the Barents Sea, these areas also show a seasonal shift in the timing of peak habitat suitability toward an earlier season. Our findings suggest that the Atlantification of Arctic zooplankton communities is accompanied by climate-driven phenology changes. Although seasonality is a critical constraint to the establishment of C. finmarchicus at Arctic latitudes, earlier sea-ice retreat and associated productivity is making these environments increasingly favorable for this subarctic species.</t>
  </si>
  <si>
    <t>[Freer, Jennifer J.; Tarling, Geraint A.] British Antarctic Survey, Pelag Ecosyst, Cambridge CB3 0ET, England; [Daase, Malin] Arctic Univ Norway, Fac Biosci Fisheries &amp; Econ, Tromso, Norway</t>
  </si>
  <si>
    <t>UK Research &amp; Innovation (UKRI); Natural Environment Research Council (NERC); NERC British Antarctic Survey; UiT The Arctic University of Tromso</t>
  </si>
  <si>
    <t>Freer, JJ (corresponding author), British Antarctic Survey, Pelag Ecosyst, Cambridge CB3 0ET, England.</t>
  </si>
  <si>
    <t>jenfree@bas.ac.uk</t>
  </si>
  <si>
    <t>Daase, Malin/0000-0001-8413-3924; Freer, Jennifer/0000-0002-3947-9261; Tarling, Geraint/0000-0002-3753-5899</t>
  </si>
  <si>
    <t>British Antarctic Survey [NE/P006213/1, NE/R012687/1]; Norges Forskningsrad [300333]; NERC [NE/R012687/1, bas0100035, NE/P006213/1] Funding Source: UKRI</t>
  </si>
  <si>
    <t>British Antarctic Survey; Norges Forskningsrad(Research Council of Norway); NERC(UK Research &amp; Innovation (UKRI)Natural Environment Research Council (NERC))</t>
  </si>
  <si>
    <t>British Antarctic Survey, Grant/Award Number: NE/P006213/1 and NE/R012687/1; Norges Forskningsrad, Grant/Award Number: 300333</t>
  </si>
  <si>
    <t>10.1111/gcb.15937</t>
  </si>
  <si>
    <t>XN1NS</t>
  </si>
  <si>
    <t>WOS:000711616400001</t>
  </si>
  <si>
    <t>Franco, ALC; Adams, BJ; Diaz, MA; Lemoine, NP; Dragone, NB; Fierer, N; Lyons, WB; Hogg, I; Wall, DH</t>
  </si>
  <si>
    <t>Franco, Andre L. C.; Adams, Byron J.; Diaz, Melisa A.; Lemoine, Nathan P.; Dragone, Nicholas B.; Fierer, Noah; Lyons, W. Berry; Hogg, Ian; Wall, Diana H.</t>
  </si>
  <si>
    <t>Response of Antarctic soil fauna to climate-driven changes since the Last Glacial Maximum</t>
  </si>
  <si>
    <t>biodiversity; climate change; glacial retreat; nematodes; Shackleton Glacier; soil invertebrates</t>
  </si>
  <si>
    <t>MCMURDO DRY VALLEYS; ICE-SHEET; BIOTIC INTERACTIONS; AEOLIAN MATERIAL; TAYLOR VALLEY; POLAR DESERT; COMMUNITIES; DIVERSITY; INSIGHTS; FLUCTUATIONS</t>
  </si>
  <si>
    <t>Understanding how terrestrial biotic communities have responded to glacial recession since the Last Glacial Maximum (LGM) can inform present and future responses of biota to climate change. In Antarctica, the Transantarctic Mountains (TAM) have experienced massive environmental changes associated with glacial retreat since the LGM, yet we have few clues as to how its soil invertebrate-dominated animal communities have responded. Here, we surveyed soil invertebrate fauna from above and below proposed LGM elevations along transects located at 12 features across the Shackleton Glacier region. Our transects captured gradients of surface ages possibly up to 4.5 million years and the soils have been free from human disturbance for their entire history. Our data support the hypothesis that soils exposed during the LGM are now less suitable habitats for invertebrates than those that have been exposed by deglaciation following the LGM. Our results show that faunal abundance, community composition, and diversity were all strongly affected by climate-driven changes since the LGM. Soils more recently exposed by the glacial recession (as indicated by distances from present ice surfaces) had higher faunal abundances and species richness than older exposed soils. Higher abundances of the dominant nematode Scottnema were found in older exposed soils, while Eudorylaimus, Plectus, tardigrades, and rotifers preferentially occurred in more recently exposed soils. Approximately 30% of the soils from which invertebrates could be extracted had only Scottnema, and these single-taxon communities occurred more frequently in soils exposed for longer periods of time. Our structural equation modeling of abiotic drivers highlighted soil salinity as a key mediator of Scottnema responses to soil exposure age. These changes in soil habitat suitability and biotic communities since the LGM indicate that Antarctic terrestrial biodiversity throughout the TAM will be highly altered by climate warming.</t>
  </si>
  <si>
    <t>[Franco, Andre L. C.; Wall, Diana H.] Colorado State Univ, Dept Biol, 200 West Lake St,1878 Biol, Ft Collins, CO 80523 USA; [Adams, Byron J.] Brigham Young Univ, Dept Biol, Evolutionary Ecol Labs, Provo, UT 84602 USA; [Adams, Byron J.] Brigham Young Univ, Monte L Bean Museum Provo, Provo, UT 84602 USA; [Diaz, Melisa A.; Lyons, W. Berry] Ohio State Univ, Sch Earth Sci, Byrd Polar &amp; Climate Res Ctr Columbus, Columbus, OH 43210 USA; [Lemoine, Nathan P.] Marquette Univ, Dept Biol Sci Milwaukee, Milwaukee, WI 53233 USA; [Lemoine, Nathan P.] Milwaukee Publ Museum, Dept Zool Milwaukee, Milwaukee, WI USA; [Dragone, Nicholas B.; Fierer, Noah] Univ Colorado, Dept Ecol &amp; Evolutionary Biol, Boulder, CO 80309 USA; [Dragone, Nicholas B.; Fierer, Noah] Univ Colorado, Cooperat Inst Res Environm Sci, Boulder, CO 80309 USA; [Hogg, Ian] Polar Knowledge Canada, Canadian High Arctic Res Stn, Cambridge Bay, NU, Canada; [Hogg, Ian] Univ Waikato, Sch Sci, Hamilton, New Zealand; [Wall, Diana H.] Colorado State Univ, Sch Global Environm Sustainabil, Ft Collins, CO 80523 USA; [Diaz, Melisa A.] Woods Hole Oceanog Inst, Dept Geol &amp; Geophys, Woods Hole, MA 02543 USA; [Diaz, Melisa A.] Woods Hole Oceanog Inst, Dept Appl Ocean Phys &amp; Engn, Woods Hole, MA 02543 USA</t>
  </si>
  <si>
    <t>Colorado State University; Brigham Young University; Brigham Young University; University System of Ohio; Ohio State University; Marquette University; University of Colorado System; University of Colorado Boulder; University of Colorado System; University of Colorado Boulder; University of Waikato; Colorado State University; Woods Hole Oceanographic Institution; Woods Hole Oceanographic Institution</t>
  </si>
  <si>
    <t>Franco, ALC (corresponding author), Colorado State Univ, Dept Biol, 200 West Lake St,1878 Biol, Ft Collins, CO 80523 USA.</t>
  </si>
  <si>
    <t>andre.franco@colostate.edu</t>
  </si>
  <si>
    <t>Wall, Diana H/F-5491-2011; Hogg, Ian D./HNS-7393-2023; Adams, Byron/C-3808-2009</t>
  </si>
  <si>
    <t>Hogg, Ian D./0000-0002-6685-0089; Adams, Byron/0000-0002-7815-3352; FIERER, NOAH/0000-0002-6432-4261; Franco, Andre/0000-0003-3294-6848; Wall, Diana H./0000-0002-9466-5235; Dragone, Nicholas/0000-0002-8983-6482; Diaz, Melisa/0000-0001-6657-358X</t>
  </si>
  <si>
    <t>National Science Foundation [1043681, 1341629, 1341631, 1341648, 1341736, 1559691, 60041697, 1941390]; Division Of Environmental Biology; Direct For Biological Sciences [1941390] Funding Source: National Science Foundation</t>
  </si>
  <si>
    <t>National Science Foundation(National Science Foundation (NSF)); Division Of Environmental Biology; Direct For Biological Sciences(National Science Foundation (NSF)NSF - Directorate for Biological Sciences (BIO))</t>
  </si>
  <si>
    <t>National Science Foundation, Grant/Award Number: 1043681, 1341629, 1341631, 1341648, 1341736, 1559691, 60041697 and 1941390</t>
  </si>
  <si>
    <t>10.1111/gcb.15940</t>
  </si>
  <si>
    <t>Green Submitted, Green Published, Bronze</t>
  </si>
  <si>
    <t>WOS:000711615000001</t>
  </si>
  <si>
    <t>Barbero, A; Savarino, J; Grilli, R; Blouzon, C; Picard, G; Frey, MM; Huang, Y; Caillon, N</t>
  </si>
  <si>
    <t>Barbero, A.; Savarino, J.; Grilli, R.; Blouzon, C.; Picard, G.; Frey, M. M.; Huang, Y.; Caillon, N.</t>
  </si>
  <si>
    <t>New Estimation of the NOx Snow-Source on the Antarctic Plateau</t>
  </si>
  <si>
    <t>Antarctic Plateau; snowpack emissions; nitrate photolysis; flux chamber</t>
  </si>
  <si>
    <t>ABSORPTION CROSS-SECTIONS; FLUX CHAMBER MEASUREMENTS; NITROGEN-OXIDES NO; DOME C; SOUTH-POLE; EAST ANTARCTICA; NITRIC-ACID; PHOTOCHEMICAL PRODUCTION; ATMOSPHERIC NITRATE; MODELING CHEMISTRY</t>
  </si>
  <si>
    <t>To fully decipher the role of nitrate photolysis on the atmospheric oxidative capacity in snow-covered regions, NOx flux must be determined with more precision than existing estimates. Here, we introduce a method based on dynamic flux chamber measurements for evaluating the NOx production by photolysis of snowpack nitrate in Antarctica. Flux chamber experiments were conducted for the first time in Antarctica, at the French-Italian station Concordia, Dome C (75 degrees 06'S, 123 degrees 20'E, 3233 m a.s.l) during the 2019-2020 summer campaign. Measurements were gathered with several snow samples of different ages ranging from newly formed drifted snow to 6-year-old firn. Contrary to existing literature expectations, the daily average photolysis rate coefficient, JNO3 over bar , did not significantly vary between differently aged snow samples, suggesting that the photolabile nitrate in snow behaves as a single-family source with common photochemical properties, where a JNO3 over bar = (2.37 +/- 0.35) x 10(-8) s(-1) (1 sigma) has been calculated from December 10(th) 2019 to January 7(th) 2020. At Dome C summer daily average NOx flux, FNOx, based on measured NOx production rates was estimated to be (4.3 +/- 1.2) x 10(8) molecules cm(-2) s(-1), which is 1.5-7 times less than the net NOx flux observed previously above snow at Dome C using the gradient flux method. Using these results, we extrapolated an annual continental snow sourced NOx budget of 0.017 +/- 0.003 Tg center dot N y(-1), similar to 2 times the nitrogen budget, (N-budget), of the stratospheric denitrification previously estimated for Antarctica. These quantifications of nitrate photolysis using flux chamber experiments provide a road-map toward a new parameterization of the sigma NO3-(lambda,T)phi(T,pH) product that can improve future global and regional models of atmospheric chemistry.</t>
  </si>
  <si>
    <t>[Barbero, A.; Savarino, J.; Grilli, R.; Blouzon, C.; Picard, G.; Caillon, N.] Univ Grenoble Alpes, Grenoble INP Inst Engn, CNRS, IGE,IRD, Grenoble, France; [Frey, M. M.] NERC, British Antarctic Survey, Cambridge, England; [Huang, Y.] Wayne State Univ, Dept Civil &amp; Environm Engn, Detroit, MI USA</t>
  </si>
  <si>
    <t>Institut de Recherche pour le Developpement (IRD); Centre National de la Recherche Scientifique (CNRS); Communaute Universite Grenoble Alpes; Universite Grenoble Alpes (UGA); UK Research &amp; Innovation (UKRI); Natural Environment Research Council (NERC); NERC British Antarctic Survey; Wayne State University</t>
  </si>
  <si>
    <t>Barbero, A (corresponding author), Univ Grenoble Alpes, Grenoble INP Inst Engn, CNRS, IGE,IRD, Grenoble, France.</t>
  </si>
  <si>
    <t>albane.barbero@univ-grenoble-alpes.fr</t>
  </si>
  <si>
    <t>Frey, Markus/G-1756-2012; Barbero, Albane/AAW-6323-2020; Picard, Ghislain/D-4246-2013; savarino, joel/H-9730-2012; Caillon, Nicolas/B-7127-2019</t>
  </si>
  <si>
    <t>Frey, Markus/0000-0003-0535-0416; Barbero, Albane/0000-0002-3600-2169; Picard, Ghislain/0000-0003-1475-5853; savarino, joel/0000-0002-6708-9623; Huang, Yaoxian/0000-0003-0976-0228; Caillon, Nicolas/0000-0002-6318-6194</t>
  </si>
  <si>
    <t>LabEx OSUG@2020 [ANR10 LABX56]; French National program LEFE (Les Enveloppes Fluides et l'Environnement) via LEFE REACT; Agence Nationale de la Recherche (ANR) [ANR-16-CE01-0011-01 EAIIST]; Foundation BNP-Paribas through its Climate &amp; Biodiversity Initiative program; French Polar Institute (IPEV) [1177 (CAPOXI 35-75), 1169]; National Science Foundation [2111428]; Network for the Detection of Atmospheric Composition Change (NDACC); Div Atmospheric &amp; Geospace Sciences; Directorate For Geosciences [2111428] Funding Source: National Science Foundation; NERC [NE/N011813/1, bas0100032] Funding Source: UKRI</t>
  </si>
  <si>
    <t>LabEx OSUG@2020; French National program LEFE (Les Enveloppes Fluides et l'Environnement) via LEFE REACT; Agence Nationale de la Recherche (ANR)(Agence Nationale de la Recherche (ANR)); Foundation BNP-Paribas through its Climate &amp; Biodiversity Initiative program; French Polar Institute (IPEV); National Science Foundation(National Science Foundation (NSF)); Network for the Detection of Atmospheric Composition Change (NDACC); Div Atmospheric &amp; Geospace Sciences; Directorate For Geosciences(National Science Foundation (NSF)NSF - Directorate for Geosciences (GEO)); NERC(UK Research &amp; Innovation (UKRI)Natural Environment Research Council (NERC))</t>
  </si>
  <si>
    <t>The authors greatly thank the reviewers for their thoughtful comments and efforts towards improving the manuscript. The research leading to these results has received funding from: the LabEx OSUG@2020 (Investissements d'avenir-ANR10 LABX56); the French National program LEFE (Les Enveloppes Fluides et l'Environnement) via LEFE REACT; the Agence Nationale de la Recherche (ANR) via contract ANR-16-CE01-0011-01 EAIIST; the Foundation BNP-Paribas through its Climate &amp; Biodiversity Initiative program and by the French Polar Institute (IPEV) through programs 1177 (CAPOXI 35-75) and 1169 (EAIIST). Y.H. acknowledges funding support from the National Science Foundation (grant no. 2111428). The meteorological data and information were obtained from IPEV/PNRA Project Routine Meteorological Observation at Station Concordia . The data used in this publication for the irradiations fluxes were obtained from LATMOS, with the help of Florence Goutail et Jean-Pierre Pommereau as part of the Network for the Detection of Atmospheric Composition Change (NDACC) and are publicly available (see ). The authors greatly thank Maria Zatko, Becky Alexander, Shaddy Ahmed, Jennie Thomas and Charles Amory for the inputs on the global atmospheric chemistry and boundary layer modelling. We would like to thank Pete Akers for his help with reviewing the English of the manuscript. Finally, the authors greatly thank the technical staff of the IGE and IPEV for their technical and logistic support in Grenoble and during the field campaign.</t>
  </si>
  <si>
    <t>e2021JD035062</t>
  </si>
  <si>
    <t>10.1029/2021JD035062</t>
  </si>
  <si>
    <t>WN0QW</t>
  </si>
  <si>
    <t>WOS:000711482400017</t>
  </si>
  <si>
    <t>Guest, PS</t>
  </si>
  <si>
    <t>Guest, P. S.</t>
  </si>
  <si>
    <t>Inside Katabatic Winds Over the Terra Nova Bay Polynya: 2. Dynamic and Thermodynamic Analyses</t>
  </si>
  <si>
    <t>enthalpy flux; polynya; katabatic; wind stress; heat flux</t>
  </si>
  <si>
    <t>PARAMETERIZING TURBULENT EXCHANGE; SEA SPRAY GENERATION; BULK PARAMETERIZATION; SURFACE-WAVES; HEAT FLUXES; ROSS SEA; ICE; TRANSITION; ROUGHNESS; MOMENTUM</t>
  </si>
  <si>
    <t>Surface fluxes and atmospheric boundary layer budgets of enthalpy and momentum are quantified using bulk and integral methods based on measurements obtained during a research vessel transect across the Terra Nova Bay polynya during an intense late autumnal katabatic wind event. The surface sensible, latent, and net radiation heat fluxes had maximum upward values of 2,500 +/- 600, 400 +/- 100, and 100 +/- 7 Wm(-2), respectively, which occurred over open regions that had been cleared of sea ice by the wind stress. In these open areas, sea spray enhanced the sensible and latent heat fluxes (LHFs) by an estimated 106% and 18%, respectively. As sea ice formed on the surface and became thicker in the downwind direction, the sensible and LHFs decreased to 50% of their maximum values over pancake ice and to 5% at the downwind end of the transect, where snow-covered young ice flows were present. Snow growth removed over 50% of the water vapor that came from the surface. The surface wind stress ranged from mean values of 2.9 Nm(-2) in the most upwind regions to 0.9 Nm(-2) at the end of the transect, with smaller scale variations of almost a factor of three due to different surface types (roughnesses) and gustiness. The downwind slowing and turning of the wind vector can be almost entirely explained by frictional and inertial forces, indicating the horizontal pressure gradient was weak. This case could serve as a case study for future modeling studies of coastal polynyas.</t>
  </si>
  <si>
    <t>[Guest, P. S.] Naval Postgrad Sch, Monterey, CA 93943 USA</t>
  </si>
  <si>
    <t>United States Department of Defense; United States Navy; Naval Postgraduate School</t>
  </si>
  <si>
    <t>Guest, PS (corresponding author), Naval Postgrad Sch, Monterey, CA 93943 USA.</t>
  </si>
  <si>
    <t>pguest@nps.edu</t>
  </si>
  <si>
    <t>Naval Postgraduate School (NPS); NSF [ANT-13141725, ANT-13141606]</t>
  </si>
  <si>
    <t>Naval Postgraduate School (NPS); NSF(National Science Foundation (NSF))</t>
  </si>
  <si>
    <t>This creation of the data set used for this study required the dedicated efforts of many persons and institutions, including the National Science Foundation (NSF), the Naval Postgraduate School (NPS), Antarctic Support Contractors, the crew of the R/V Nathaniel B. Palmer, and the other PIPERS scientists. A special thanks to Steve Ackley, the PIPERS leader and visionary, Dick Lind for designing and constructing the NPS measurement and data collection systems, and Mary Jordan for her graphics help. This work was funded by NSF grants ANT-13141725 (P. Guest, NPS) and ANT-13141606 (J. Cassano, U Colorado).</t>
  </si>
  <si>
    <t>e2021JD034904</t>
  </si>
  <si>
    <t>10.1029/2021JD034904</t>
  </si>
  <si>
    <t>WOS:000711482400011</t>
  </si>
  <si>
    <t>Inside Katabatic Winds Over the Terra Nova Bay Polynya: 1. Atmospheric Jet and Surface Conditions</t>
  </si>
  <si>
    <t>polynya; katabatic wind; Terra Nova Bay; wind jet; Antarctic Meteorology</t>
  </si>
  <si>
    <t>ROSS ICE SHELF; SEA-ICE; BOUNDARY-LAYER; COATS LAND; ANTARCTICA; DYNAMICS; FLOW; SIMULATION; REGIME; TRANSITION</t>
  </si>
  <si>
    <t>The atmospheric and surface conditions during a late autumnal strong katabatic wind event were quantified using ship and rawinsonde measurements over the Terra Nova Bay coastal polynya. Wind speeds decreased from 35 to 18 ms(-1), while the wind direction decreased 18 degrees over the distance from the Nansen Ice Shelf edge out 99 km eastward toward the Ross Sea. Maximum velocity winds (jet cores) at 173, 238, 179 and 144 m elevation were associated with atmospheric boundary layers capped by temperature inversions with bases at 294, 325, 226 and 196 m elevation. The tops of the inversion layers (near 700 m at all locations) also marked the top of the katabatic wind layer. Boundary layer air temperature and specific humidity increased from -31 to -21 degrees C and 0.1 to 0.6 gkg(-1), respectively, in response to the warm polynya surface. The air at 15 +/- 8 m elevation was saturated with respect to ice, causing supersaturation and snow growth where the air parcels become cooler in the upper atmospheric boundary layer. The surface was characterized by three zones, a fluid zone (open ocean, frazil, shuga and pancake floes), an accumulation zone (fused, rafted and compressed pancake floes) and a young floe zone (large floes). The surface temperature varied from freezing (-1.7 degrees C) in the fluid zone to near air temperature (-20 degrees C) in the floe zone with the largest horizontal surface temperature gradient occurring in the transition between the fluid zone and the accumulation zone, and at the edges of leads in the floe zone.</t>
  </si>
  <si>
    <t>Guest, Peter/0000-0001-5313-1571</t>
  </si>
  <si>
    <t>This research in the extreme and logistically challenging environment of the Terra Nova Bay required the dedicated efforts of many persons and institutions, including the National Science Foundation (NSF), the Naval Postgraduate School (NPS), Antarctic Support Contractors, the crew of the R/V Nathaniel B. Palmer and the other PIPERS scientists. A special thanks to Steve Ackley, the PIPERS leader and visionary, Dick Lind for designing and constructing the NPS measurement and data collection systems, Mary Jordan for programming support and Kelly Schick for her help with the measurements. This work was funded by NSF grants ANT-13141725 (P. Guest, NPS), and ANT-13141606 (J. Cassano, U Colorado).</t>
  </si>
  <si>
    <t>e2021JD034902</t>
  </si>
  <si>
    <t>10.1029/2021JD034902</t>
  </si>
  <si>
    <t>WOS:000711482400009</t>
  </si>
  <si>
    <t>Duteil, O; Frenger, I; Getzlaff, J</t>
  </si>
  <si>
    <t>Duteil, Olaf; Frenger, Ivy; Getzlaff, Julia</t>
  </si>
  <si>
    <t>The riddle of eastern tropical Pacific Ocean oxygen levels: the role of the supply by intermediate-depth waters</t>
  </si>
  <si>
    <t>DEEP EQUATORIAL; NORTH PACIFIC; GLOBAL OCEAN; MESOSCALE EDDIES; ZONAL CURRENTS; ANTARCTIC MODE; CLIMATE-CHANGE; MINIMUM ZONES; CIRCULATION; VARIABILITY</t>
  </si>
  <si>
    <t>Observed oxygen minimum zones (OMZs) in the tropical Pacific Ocean are located above intermediate-depth waters (IDWs), defined here as the 500-1500 m water layer. Typical climate models do not represent IDW properties well and are characterized by OMZs that are too deep-reaching. We analyze the role of the IDW in the misrepresentation of oxygen levels in a heterogeneous subset of ocean models characterized by a horizontal resolution ranging from 0.1 to 2.8 degrees. First, we show that forcing the extratropical boundaries (30 degrees S and N) to observed oxygen values results in a significant increase in oxygen levels in the intermediate eastern tropical region. Second, we highlight the fact that the Equatorial Intermediate Current System (EICS) is a key feature connecting the western and eastern part of the basin. Typical climate models lack in representing crucial aspects of this supply at intermediate depth, as the EICS is basically absent in models characterized by a resolution lower than 0.25 degrees. These two aspects add up to a cascade of biases that hampers the correct representation of oxygen levels at intermediate depth in the eastern tropical Pacific Ocean and potentially future OMZ projections.</t>
  </si>
  <si>
    <t>[Duteil, Olaf] Helmholtz Zentrum Ozeanforsch Kiel, GEOMAR, FB1 Ozeanzirkulat &amp; Klimadynam, Dusternbrooker Weg 20, D-24105 Kiel, Germany; [Frenger, Ivy; Getzlaff, Julia] Helmholtz Zentrum Ozeanforsch Kiel, FB2 Marine Biogeochem, Dusternbrooker Weg 20, D-24105 Kiel, Germany</t>
  </si>
  <si>
    <t>Helmholtz Association; GEOMAR Helmholtz Center for Ocean Research Kiel; Helmholtz Association; GEOMAR Helmholtz Center for Ocean Research Kiel</t>
  </si>
  <si>
    <t>Duteil, O (corresponding author), Helmholtz Zentrum Ozeanforsch Kiel, GEOMAR, FB1 Ozeanzirkulat &amp; Klimadynam, Dusternbrooker Weg 20, D-24105 Kiel, Germany.</t>
  </si>
  <si>
    <t>oduteil@geomar.de</t>
  </si>
  <si>
    <t>Frenger, Ivy/B-9023-2017</t>
  </si>
  <si>
    <t>Frenger, Ivy/0000-0002-3490-7239; Duteil, Olaf/0000-0002-5670-570X</t>
  </si>
  <si>
    <t>German Research Foundation (DFG) project SYVARBIO [434479332]; German Federal Ministry of Education and Research (BMBF) project CUSCO [03F0813A]; Helmholtz Association of German Research Centres (HGF) [ZT-I-0010]</t>
  </si>
  <si>
    <t>German Research Foundation (DFG) project SYVARBIO(German Research Foundation (DFG)); German Federal Ministry of Education and Research (BMBF) project CUSCO; Helmholtz Association of German Research Centres (HGF)(Helmholtz Association)</t>
  </si>
  <si>
    <t>Olaf Duteil acknowledges the German Research Foundation (DFG) project SYVARBIO (grant no. 434479332). Ivy Frenger acknowledges the German Federal Ministry of Education and Research (BMBF) project CUSCO (grant no. 03F0813A). Julia Getzlaff acknowledges support by the project Reduced Complexity Models - supported by the Helmholtz Association of German Research Centres (HGF) (grant no. ZT-I-0010).</t>
  </si>
  <si>
    <t>10.5194/os-17-1489-2021</t>
  </si>
  <si>
    <t>WN7PK</t>
  </si>
  <si>
    <t>WOS:000711959300001</t>
  </si>
  <si>
    <t>Meylan, MH; Ilyas, M; Lamichhane, BP; Bennetts, LG</t>
  </si>
  <si>
    <t>Meylan, Michael H.; Ilyas, Muhammad; Lamichhane, Bishnu P.; Bennetts, Luke G.</t>
  </si>
  <si>
    <t>Swell-induced flexural vibrations of a thickening ice shelf over a shoaling seabed</t>
  </si>
  <si>
    <t>PROCEEDINGS OF THE ROYAL SOCIETY A-MATHEMATICAL PHYSICAL AND ENGINEERING SCIENCES</t>
  </si>
  <si>
    <t>ice shelves; hydroelasticity; water waves</t>
  </si>
  <si>
    <t>NORMAL-MODES; TSUNAMI; WAVES</t>
  </si>
  <si>
    <t>A solution method is developed for a linear model of ice shelf flexural vibrations in response to ocean waves, in which the ice shelf thickness and seabed beneath the ice shelf vary over distance, and the ice shelf/sub-ice-shelf cavity are connected to the open ocean. The method combines a decomposition of the ice shelf displacement profile at a prescribed frequency of motion into mode shapes of free vibrations, a finite-element method for the cavity water motion and a non-local operator to connect to the open ocean. An investigation is conducted into the effects of ice shelf thickening, seabed shoaling and the grounding-line conditions on time-harmonic ice shelf vibrations, induced by regular incident waves in the swell regime. Furthermore, results are given for ice shelf vibrations in response to irregular incident waves by superposing time-harmonic responses, and ocean-to-ice-shelf transfer functions are derived. The findings add to evidence that ice shelves experience appreciable flexural vibrations in response to swell, and that ice shelf thickening and seabed shoaling can have a considerable influence on predictions of how ice shelves respond to ocean waves.</t>
  </si>
  <si>
    <t>[Meylan, Michael H.; Ilyas, Muhammad; Lamichhane, Bishnu P.] Univ Newcastle, Sch Math &amp; Phys Sci, Callaghan, NSW 2308, Australia; [Bennetts, Luke G.] Univ Adelaide, Sch Math Sci, Adelaide, SA 5005, Australia</t>
  </si>
  <si>
    <t>University of Newcastle; University of Adelaide</t>
  </si>
  <si>
    <t>Bennetts, LG (corresponding author), Univ Adelaide, Sch Math Sci, Adelaide, SA 5005, Australia.</t>
  </si>
  <si>
    <t>luke.bennetts@adelaide.edu.au</t>
  </si>
  <si>
    <t>Meylan, Michael/A-7341-2010; Bennetts, Luke G/F-1623-2010; Ilyas, Muhammad/ABD-8797-2021</t>
  </si>
  <si>
    <t>Meylan, Michael/0000-0002-3164-1367; Ilyas, Muhammad/0000-0002-5298-756X</t>
  </si>
  <si>
    <t>Australian Research Council [FT190100404]; Australian Antarctic Science Program [4528]; Australian Research Council [FT190100404] Funding Source: Australian Research Council</t>
  </si>
  <si>
    <t>Australian Research Council(Australian Research Council); Australian Antarctic Science Program; Australian Research Council(Australian Research Council)</t>
  </si>
  <si>
    <t>L.G.B. is supported by an Australian Research Council mid-career fellowship (FT190100404), and the Australian Antarctic Science Program (Project 4528).</t>
  </si>
  <si>
    <t>1364-5021</t>
  </si>
  <si>
    <t>1471-2946</t>
  </si>
  <si>
    <t>P ROY SOC A-MATH PHY</t>
  </si>
  <si>
    <t>Proc. R. Soc. A-Math. Phys. Eng. Sci.</t>
  </si>
  <si>
    <t>10.1098/rspa.2021.0173</t>
  </si>
  <si>
    <t>WF9KN</t>
  </si>
  <si>
    <t>WOS:000706619800013</t>
  </si>
  <si>
    <t>Lukashanets, DA; Convey, P; Borodin, O; Miamin, VY; Hihiniak, YH; Gaydashov, AA; Yatsyna, AP; Vezhnavets, VV; Maysak, NN; Shendrik, T</t>
  </si>
  <si>
    <t>Lukashanets, Dzmitry A.; Convey, Peter; Borodin, Oleg, I; Miamin, Vladislav Ye; Hihiniak, Yury H.; Gaydashov, Alexey A.; Yatsyna, Aleksander P.; Vezhnavets, Vasil V.; Maysak, Natallia N.; Shendrik, Tatyana, V</t>
  </si>
  <si>
    <t>Eukarya biodiversity in the Thala Hills, East Antarctica</t>
  </si>
  <si>
    <t>Enderby Land; invertebrates; lichens; moss; parasites; zooplankton</t>
  </si>
  <si>
    <t>DRONNING-MAUD-LAND; VICTORIA-LAND; ALGAL MATS; COMMUNITIES; DIVERSITY; LIFE; INVERTEBRATES; MICROFAUNA; TARDIGRADA; PATTERNS</t>
  </si>
  <si>
    <t>Knowledge of the biodiversity of the Thala Hills oasis (Enderby Land, East Antarctica) is very limited. Here, we integrate all information available since 1962, when the Russian 'Molodyozhnaya' station was established in the western part of the oasis. The published data on local eukaryote diversity (lichens, embryophytes, metazoans) include records of 90 species. Since 2008, Belarusian Antarctic Expedition researchers have worked in the eastern part of the oasis, accessible from the Belarusian station 'Vechernyaya Mount'. This research revealed 95 species, including 44 species not recorded in the earlier published literature. The level of available information is uneven across major taxa. Lichens are the better-known group, with 51 species recorded in total, including 13 species recently recorded for the first time in the oasis. New records were also obtained for rotifers. Thala Hills biodiversity is consistent with wider patterns of Antarctic biogeography, with a high proportion of regionally endemic species (especially metazoans), the occurrence of both endemic and bipolar species of lichens and generally low numbers of cosmopolitan species (largely limited to aquatic rotifers, with the caveat that up-to-date taxonomic studies are required). The lack of data on marine macrobenthos, soil nematodes and terrestrial rotifers emphasizes the need for studies focusing on these groups.</t>
  </si>
  <si>
    <t>[Lukashanets, Dzmitry A.] Klaipeda Univ, Marine Res Inst, Univ 17, LT-92294 Klaipeda, Lithuania; [Lukashanets, Dzmitry A.] Polish Acad Sci, Inst Oceanol, Powstancow Warszawy 55, PL-81712 Sopot, Poland; [Convey, Peter] British Antarctic Survey, NERC, Madingley Rd, Cambridge CB3 0ET, England; [Convey, Peter] Univ Johannesburg, Dept Zool, POB 524, ZA-2006 Auckland Pk, South Africa; [Borodin, Oleg, I; Miamin, Vladislav Ye; Hihiniak, Yury H.; Vezhnavets, Vasil V.; Maysak, Natallia N.; Shendrik, Tatyana, V] Natl Acad Sci Belarus, Sci &amp; Pract Ctr Bioresources, Akad Skaya 27, Minsk 220072, BELARUS; [Miamin, Vladislav Ye; Yatsyna, Aleksander P.] Belarusian State Univ, Biol Fac, Nezavisimosti Ave 4, Minsk 220030, BELARUS; [Gaydashov, Alexey A.] Natl Acad Sci Belarus, Republican Ctr Polar Res, Komsomolskaya 16, Minsk 220030, BELARUS; [Yatsyna, Aleksander P.] Natl Acad Sci Belarus, Inst Expt Bot, Akad Skaya 27, Minsk 220072, BELARUS</t>
  </si>
  <si>
    <t>Klaipeda University; Polish Academy of Sciences; Institute of Oceanology of the Polish Academy of Sciences; UK Research &amp; Innovation (UKRI); Natural Environment Research Council (NERC); NERC British Antarctic Survey; University of Johannesburg; National Academy of Sciences of Belarus (NASB); Scientific &amp; Practical Center for Bioresources of the National Academy of Sciences of Belarus; Belarusian State University; National Academy of Sciences of Belarus (NASB); National Academy of Sciences of Belarus (NASB); Institute of Experimental Botany named after V.F. Kuprevich of the National Academy of Sciences of Belarus</t>
  </si>
  <si>
    <t>Lukashanets, DA (corresponding author), Klaipeda Univ, Marine Res Inst, Univ 17, LT-92294 Klaipeda, Lithuania.;Lukashanets, DA (corresponding author), Polish Acad Sci, Inst Oceanol, Powstancow Warszawy 55, PL-81712 Sopot, Poland.</t>
  </si>
  <si>
    <t>lukashanets.dima@gmail.com</t>
  </si>
  <si>
    <t>Convey, Peter/AAV-5728-2020</t>
  </si>
  <si>
    <t>Convey, Peter/0000-0001-8497-9903; Vezhnavets, Vasil/0000-0001-9878-5448; Gaidashov, Aleksei/0000-0001-6787-0666; Borodin, Oleg/0000-0001-8907-2139; Maisak, Natallia/0000-0001-8872-1141</t>
  </si>
  <si>
    <t>NERC</t>
  </si>
  <si>
    <t>This study was conducted in the framework of the Belarus National Antarctic Program's projects 'Monitoring of the Polar Regions of the Earth and Ensuring the Activities of Arctic and Antarctic Expeditions' (2007-2015) and 'Monitoring of Polar Regions of the Earth, Creation of the Belarusian Antarctic Station and Support of the activities of Polar Expeditions' (2016-2020). This paper also contributes to the SCAR 'State of the Antarctic Ecosystem' programme. Peter Convey is supported by NERC core funding to the British Antarctic Survey's 'Biodiversity, Evolution and Adaptation' Team.</t>
  </si>
  <si>
    <t>PII S0954102021000328</t>
  </si>
  <si>
    <t>10.1017/S0954102021000328</t>
  </si>
  <si>
    <t>WOS:000737584300001</t>
  </si>
  <si>
    <t>Stirnimann, L; Bornman, TG; Verheye, HM; Bachèlery, ML; Van der Poel, J; Fawcett, SE</t>
  </si>
  <si>
    <t>Stirnimann, Luca; Bornman, Thomas G.; Verheye, Hans M.; Bachelery, Marie-Lou; Van der Poel, Janine; Fawcett, Sarah E.</t>
  </si>
  <si>
    <t>Plankton community composition and productivity near the Subantarctic Prince Edward Islands archipelago in autumn</t>
  </si>
  <si>
    <t>SOUTHERN-OCEAN; KERGUELEN PLATEAU; PHYTOPLANKTON BLOOMS; NITROGEN UPTAKE; EGG-PRODUCTION; FOOD QUALITY; GROWTH-RATES; CELL-SIZE; IRON; ZOOPLANKTON</t>
  </si>
  <si>
    <t>The Subantarctic Ocean is a sink for atmospheric CO2, largely due to its biological pump, which is enhanced by the influence of the Subantarctic islands on the plankton ecosystem (the so-called island mass effect). The influence of the Prince Edward Islands archipelago in the Indian Subantarctic on the surrounding hydrography and benthos has been well studied; however, over the last two decades, little attention has been paid to the functioning and productivity of its plankton ecosystem. Here, we present the first measurements of primary production at the archipelago in over 20 years and the first-ever rates of secondary production, interpreted in the context of hydrographic, biogeochemical, and plankton community composition data. In autumn 2017, after the late-summer bloom, nanophytoplankton dominated the near-island waters and regenerated nutrients fuelled 76% of phytoplankton growth. Primary production and carbon export potential (inferred from nitrate uptake) reached a local maximum in the inter-island region, which we attribute to water-mass retention and stratification over the inter-island plateau (a manifestation of the island mass effect). We observed a diverse mesozooplankton community, likely a remnant of the late-summer bloom rather than representing the consumers feeding on the in situ (nano)phytoplankton. We estimate that even after the decay of the late-summer bloom, roughly a quarter of the planktonic carbon was potentially exportable. This finding implies that the archipelago's upper-ocean ecosystem sequesters atmospheric CO2 at least through autumn despite high rates of recycling and inefficient trophic transfer, thereby contributing to the island mass effect-associated strengthening of the Subantarctic Ocean's biological pump.</t>
  </si>
  <si>
    <t>[Stirnimann, Luca; Fawcett, Sarah E.] Univ Cape Town, Dept Oceanog, Cape Town, South Africa; [Bornman, Thomas G.] South African Environm Observat Network, Elwandle Coastal Node, Port Elizabeth, South Africa; [Bornman, Thomas G.] Nelson Mandela Univ, Isnt Coastal &amp; Marine Res, Port Elizabeth, South Africa; [Verheye, Hans M.] Univ Cape Town, Dept Biol Sci, Cape Town, South Africa; [Bachelery, Marie-Lou] Univ Cape Town, Nansen Tutu Ctr, Marine Res Inst, Dept Oceanog, Cape Town, South Africa; [Van der Poel, Janine] Dept Environm Forestry &amp; Fisheries, Environm Affairs Oceans &amp; Coastal Res, Cape Town, South Africa; [Fawcett, Sarah E.] Univ Cape Town, Marine &amp; Antarctic Res Ctr Innovat &amp; Sustainabil, Cape Town, South Africa</t>
  </si>
  <si>
    <t>University of Cape Town; National Research Foundation - South Africa; South African Environmental Observation Network (SAEON); Nelson Mandela University; University of Cape Town; University of Cape Town; University of Cape Town</t>
  </si>
  <si>
    <t>Stirnimann, L (corresponding author), Univ Cape Town, Dept Oceanog, Cape Town, South Africa.</t>
  </si>
  <si>
    <t>strluc010@myuct.ac.za</t>
  </si>
  <si>
    <t>Bornman, Thomas George/0000-0003-1868-479X; Stirnimann, Luca/0000-0001-5000-1720; Fawcett, Sarah/0000-0002-0878-6496; Bachelery, Marielou/0000-0002-5335-2267</t>
  </si>
  <si>
    <t>South African Department of Forestry, Fisheries and Environment; South African National Research Foundation's Antarctic Programme (SANAP) [110735, 129320]; Swiss Polar Institute through Antarctic Circumnavigation Expedition (ACE); Royal Society/African Academy of Sciences FLAIR fellowship; UCT Science Faculty postgraduate fellowship; EU [817578]; Nansen-Tutu Centre for Marine Environmental Research at UCT</t>
  </si>
  <si>
    <t>South African Department of Forestry, Fisheries and Environment; South African National Research Foundation's Antarctic Programme (SANAP); Swiss Polar Institute through Antarctic Circumnavigation Expedition (ACE); Royal Society/African Academy of Sciences FLAIR fellowship; UCT Science Faculty postgraduate fellowship; EU(European Union (EU)); Nansen-Tutu Centre for Marine Environmental Research at UCT</t>
  </si>
  <si>
    <t>We are appreciative to Captain Gavin Syndercombe and the crew of the M/V SA Agulhas II, as well as to the South African Department of Forestry, Fisheries and Environment (formerly Environmental Affairs): Oceans and Coasts for financial and logistical support during the voyage. We particularly thank Renae Logston, Holly Nel, and Grant van der Heever for assistance with sample collection and processing, and Elana Wright for help with the zooplankton incubation experiments and taxonomy. We acknowledge Ian Newton, Julie Luyt, and the Stable Light Isotope Laboratory at the University of Cape Town (UCT), as well as Eleonora Puccinelli, Raymond Roman, Raquel Flynn, Charles von der Meden, Jeremy Kravitz, and the members of the UCT Marine Biogeochemistry Lab (UCT-MBL) for their intellectual contributions. Finally, we are grateful to the Editor, Associate Editor, and two anonymous reviewers for their helpful comments that greatly improved the manuscript. This research was funded by the South African National Research Foundation's Antarctic Programme (SANAP) through grants 110735 and 129320 to S.E.F., the Swiss Polar Institute through Antarctic Circumnavigation Expedition (ACE) Project 12 to S.E.F. and T.G.B., and UCT through a Vice-Chancellor Future Leaders 2030 award to S.E.F., who also acknowledges the support of a Royal Society/African Academy of Sciences FLAIR fellowship. L.S. was funded by a UCT Science Faculty postgraduate fellowship, as well as by SANAP and ACE. M.-L.B. was funded by the EU H2020 TRIATLAS project (grant agreement 817578), and by the Nansen-Tutu Centre for Marine Environmental Research at UCT. The authors also acknowledge the South African Department of Science and Innovation's BIOGRIP and SMCRI platforms.</t>
  </si>
  <si>
    <t>10.1002/lno.11949</t>
  </si>
  <si>
    <t>WOS:000711023400001</t>
  </si>
  <si>
    <t>Siqueira, RG; Veloso, GV; Fernandes, EI; Francelino, MR; Schaefer, CEGR; Corrêa, GR</t>
  </si>
  <si>
    <t>Siqueira, Rafael G.; Veloso, Gustavo V.; Fernandes-Filho, Elpidio, I; Francelino, Marcio R.; Schaefer, Carlos Ernesto G. R.; Correa, Guilherme R.</t>
  </si>
  <si>
    <t>Evaluation of machine learning algorithms to classify and map landforms in Antarctica</t>
  </si>
  <si>
    <t>EARTH SURFACE PROCESSES AND LANDFORMS</t>
  </si>
  <si>
    <t>Antarctica; classification; decision trees; geomorphological maps; geomorphometry; landforms; machine learning</t>
  </si>
  <si>
    <t>JAMES-ROSS-ISLAND; MCMURDO DRY VALLEYS; RANDOM FOREST; FILDES PENINSULA; GLACIAL HISTORY; ARDLEY ISLAND; CLASSIFICATION; SUSCEPTIBILITY; SOIL; LANDSCAPE</t>
  </si>
  <si>
    <t>The detailed geomorphology of ice-free landscapes of Antarctica is key to understanding how their highly fragile environments respond to climate change, at different temporal and spatial scales. Despite the recent advances in geomorphological studies of ice-free areas, machine learning applications to produce landform maps are still scarce on the Antarctic continent. In this study, we evaluated the predictive performance of different supervised machine learning algorithms to produce digital geomorphological maps in Vega Island-Antarctic Peninsula region. We tested six different models: average artificial neural networks, C5.0 decision tree, random forest, support vector machine, supervised self-organizing map and weighted k-nearest neighbours. We used an initial set of 54 geomorphometric and spectral predictors, from which redundant variables with Pearson correlation coefficient &gt;|0.95| were removed, and only the most important predictors for each model were selected using recursive feature elimination. For training, we ran each model 100 times and predictions were assessed by the kappa and global accuracy values. The best predictors were the Red Edge 6 and SWIR 11 bands, roughness concentration index, elevation and drainage density. The decision trees C5.0 and random forest had the best performance, with average validation kappa of 0.85 +/- 0.03 and 0.84 +/- 0.03, respectively, evidencing excellent prediction. Despite the similar performance, random forest showed greater uncertainty degree and accuracy when classifying complex landforms, attesting to its great robustness. From sensitivity and specificity values, we observed that the glaciers and talus showed higher accuracy, whereas cryoplanated platforms and scree slopes had the worst classification. The presented methodology optimized the classification by selecting the most important predictors, assessing accuracy and evaluating uncertainty. The results indicated that machine learning methods have great potential to produce geomorphological mappings in the Antarctic ice-free areas, as a promising tool to provide detailed information on remote, harsh polar environments.</t>
  </si>
  <si>
    <t>[Siqueira, Rafael G.; Veloso, Gustavo V.; Fernandes-Filho, Elpidio, I; Francelino, Marcio R.; Schaefer, Carlos Ernesto G. R.] Univ Fed Vicosa, Dept Soils, Av PH Rolfs S-N, Vicosa, MG, Brazil; [Correa, Guilherme R.] Univ Fed Uberlandia, Inst Geog, Av Joao Naves de Avila 2121, Uberlandia, MG, Brazil</t>
  </si>
  <si>
    <t>Universidade Federal de Vicosa; Universidade Federal de Uberlandia</t>
  </si>
  <si>
    <t>Siqueira, RG (corresponding author), Univ Fed Vicosa, Dept Soils, Av PH Rolfs S-N, Vicosa, MG, Brazil.</t>
  </si>
  <si>
    <t>rafael.geo.siqueira@gmail.com</t>
  </si>
  <si>
    <t>Francelino, Marcio Rocha/AAS-4224-2020; Vieira Veloso, Gustavo/AAR-7287-2020</t>
  </si>
  <si>
    <t>Francelino, Marcio Rocha/0000-0001-8837-1372; Vieira Veloso, Gustavo/0000-0002-9451-2714; Fernandes Filho, Elpidio Inacio/0000-0003-2440-8329; RESENDE CORREA, GUILHERME/0000-0001-8763-7204; Siqueira, Rafael Gomes/0000-0003-2779-136X</t>
  </si>
  <si>
    <t>CoordenacAo de Aperfeicoamento de Pessoal de Nivel Superior - Brasil (CAPES) [001]; Cluster - UFV</t>
  </si>
  <si>
    <t>CoordenacAo de Aperfeicoamento de Pessoal de Nivel Superior - Brasil (CAPES)(Coordenacao de Aperfeicoamento de Pessoal de Nivel Superior (CAPES)); Cluster - UFV</t>
  </si>
  <si>
    <t>This study was financed in part by the CoordenacAo de Aperfeicoamento de Pessoal de Nivel Superior - Brasil (CAPES) - Finance Code 001. We also thank the 'Programa de Pos-GraduacAo em Solos e NutricAo de Plantas - PPGSNP' of the Soil Department of the Federal University of Vicosa (UFV), Brazil. This study was developed with support of the Cluster - UFV.</t>
  </si>
  <si>
    <t>0197-9337</t>
  </si>
  <si>
    <t>1096-9837</t>
  </si>
  <si>
    <t>EARTH SURF PROC LAND</t>
  </si>
  <si>
    <t>Earth Surf. Process. Landf.</t>
  </si>
  <si>
    <t>10.1002/esp.5253</t>
  </si>
  <si>
    <t>YX1FI</t>
  </si>
  <si>
    <t>WOS:000710902900001</t>
  </si>
  <si>
    <t>Carvallo, C; Godoy, N; Aguilar, B; Egas, C; Fuentealba, R; Préndez, M</t>
  </si>
  <si>
    <t>Carvallo, Claire; Godoy, Nathaly; Aguilar, Bertha; Egas, Claudia; Fuentealba, Raul; Prendez, Margarita</t>
  </si>
  <si>
    <t>Long-term monitoring of atmospheric pollution in the Maritime Antarctic with the lichen Usnea aurantiaco-atra (Jacq.) Bory: a magnetic and elemental study</t>
  </si>
  <si>
    <t>anthropogenic particulate matter; biomonitoring; elemental composition; environmental magnetism; Fildes Peninsula; King George Island</t>
  </si>
  <si>
    <t>AIR-POLLUTION; SHETLAND ISLANDS; METALS; MOSS; EMISSIONS</t>
  </si>
  <si>
    <t>Antarctica is a natural research laboratory thanks to its unique climate, geography, flora and fauna. The conservation of Antarctica's environment is monitored through the Madrid Protocol; however, there are local pollution problems associated with human activities such as research and tourism; in particular, there are negative impacts on air quality from the use of fossil fuels. In this work, we studied for the first time the magnetic and elemental characteristics of the lichen Usnea aurantiaco-atra (Jacq.) Bory collected during different years and from various sites in King George Island, Antarctic Peninsula, as well as some samples of its supporting substrate, for long-term monitoring of atmospheric pollution. Several anthropogenic elements (Ni, Pb, Mo, Cd and Zn) have been identified on sites close to human activities, but also on sites far from them. We found that magnetic proxies from U. aurantiaco-atra samples show a spatial correlation with human influence (scientific bases or airstrips). We observed a correlation between magnetic parameters and Ni and, to a lesser extent, with Cr, Co, V and Ag. The results suggest that by using these magnetic and elemental techniques it is possible to implement monitoring with the lichen U. aurantiaco-atra as a bioindicator for some elements of anthropogenic origin.</t>
  </si>
  <si>
    <t>[Carvallo, Claire] Sorbonne Univ, UMR 7590, Inst Mineral Phys Mat &amp; Cosmochim, 4 Pl Jussieu, F-75005 Paris, France; [Godoy, Nathaly; Fuentealba, Raul; Prendez, Margarita] Univ Chile, Fac Ciencias Quim &amp; Farmaceut, Sergio Livingtone 1007, Santiago, Chile; [Aguilar, Bertha] Univ Nacl Autonoma Mexico, Unidad Morelia, Inst Invest Mat, Antigua Carretera Patzcuaro 8701, Morelia 58190, Michoacan, Mexico; [Egas, Claudia] Univ Talca, Inst Ciencias Biol, Av Lircay S-N, Talca, Chile</t>
  </si>
  <si>
    <t>Centre National de la Recherche Scientifique (CNRS); CNRS - Institute of Physics (INP); Universite Paris Cite; Sorbonne Universite; Universidad de Chile; Universidad Nacional Autonoma de Mexico; Universidad de Talca</t>
  </si>
  <si>
    <t>Carvallo, C (corresponding author), Sorbonne Univ, UMR 7590, Inst Mineral Phys Mat &amp; Cosmochim, 4 Pl Jussieu, F-75005 Paris, France.</t>
  </si>
  <si>
    <t>claire.carvallo@sorbonne-universite.fr</t>
  </si>
  <si>
    <t>Godoy, Nathaly/0000-0002-2170-5478; Prendez, Margarita/0000-0001-6299-3640; Egas Egas, Claudia/0000-0002-3591-4676; Fuentealba Poblete, Raul/0000-0003-2513-8594</t>
  </si>
  <si>
    <t>projects URedes Consolidacion, VID, Universidad de Chile, Conicyt [URC-026/17, Inach 0897, 04/03, T-02/07]</t>
  </si>
  <si>
    <t>projects URedes Consolidacion, VID, Universidad de Chile, Conicyt</t>
  </si>
  <si>
    <t>The authors acknowledge the projects URedes Consolidacion-URC-026/17, VID, Universidad de Chile, Conicyt-Inach 0897, 04/03 and T-02/07 for financial support.</t>
  </si>
  <si>
    <t>PII S0954102021000419</t>
  </si>
  <si>
    <t>10.1017/S0954102021000419</t>
  </si>
  <si>
    <t>WOS:000737585700001</t>
  </si>
  <si>
    <t>Satterthwaite, EV; Bax, NJ; Miloslavich, P; Ratnarajah, L; Canonico, G; Dunn, D; Simmons, SE; Carini, RJ; Evans, K; Allain, V; Appeltans, W; Batten, S; Benedetti-Cecchi, L; Bernard, ATF; Bristol, S; Benson, A; Buttigieg, PL; Gerhardinger, LC; Chiba, S; Davies, TE; Duffy, JE; Giron-Nava, A; Hsu, AJ; Kraberg, AC; Kudela, RM; Lear, D; Montes, E; Muller-Karger, FE; O'Brien, TD; Obura, D; Provoost, P; Pruckner, S; Rebelo, LM; Selig, ER; Kjesbu, OS; Starger, C; Stuart-Smith, RD; Vierros, M; Waller, J; Weatherdon, LV; Wellman, TP; Zivian, A</t>
  </si>
  <si>
    <t>Satterthwaite, Erin, V; Bax, Nicholas J.; Miloslavich, Patricia; Ratnarajah, Lavenia; Canonico, Gabrielle; Dunn, Daniel; Simmons, Samantha E.; Carini, Roxanne J.; Evans, Karen; Allain, Valerie; Appeltans, Ward; Batten, Sonia; Benedetti-Cecchi, Lisandro; Bernard, Anthony T. F.; Bristol, Sky; Benson, Abigail; Buttigieg, Pier Luigi; Gerhardinger, Leopoldo Cavaleri; Chiba, Sanae; Davies, Tammy E.; Duffy, J. Emmett; Giron-Nava, Alfredo; Hsu, Astrid J.; Kraberg, Alexandra C.; Kudela, Raphael M.; Lear, Dan; Montes, Enrique; Muller-Karger, Frank E.; O'Brien, Todd D.; Obura, David; Provoost, Pieter; Pruckner, Sara; Rebelo, Lisa-Maria; Selig, Elizabeth R.; Kjesbu, Olav Sigurd; Starger, Craig; Stuart-Smith, Rick D.; Vierros, Marjo; Waller, John; Weatherdon, Lauren, V; Wellman, Tristan P.; Zivian, Anna</t>
  </si>
  <si>
    <t>Establishing the Foundation for the Global Observing System for Marine Life</t>
  </si>
  <si>
    <t>biodiversity; global coordination; long term observations; time series; environmental monitoring; sustainability; essential ocean variables; climate change</t>
  </si>
  <si>
    <t>OCEAN; CHALLENGES; DIVERSITY; TRENDS; ROCKY</t>
  </si>
  <si>
    <t>Maintaining healthy, productive ecosystems in the face of pervasive and accelerating human impacts including climate change requires globally coordinated and sustained observations of marine biodiversity. Global coordination is predicated on an understanding of the scope and capacity of existing monitoring programs, and the extent to which they use standardized, interoperable practices for data management. Global coordination also requires identification of gaps in spatial and ecosystem coverage, and how these gaps correspond to management priorities and information needs. We undertook such an assessment by conducting an audit and gap analysis from global databases and structured surveys of experts. Of 371 survey respondents, 203 active, long-term (&gt;5 years) observing programs systematically sampled marine life. These programs spanned about 7% of the ocean surface area, mostly concentrated in coastal regions of the United States, Canada, Europe, and Australia. Seagrasses, mangroves, hard corals, and macroalgae were sampled in 6% of the entire global coastal zone. Two-thirds of all observing programs offered accessible data, but methods and conditions for access were highly variable. Our assessment indicates that the global observing system is largely uncoordinated which results in a failure to deliver critical information required for informed decision-making such as, status and trends, for the conservation and sustainability of marine ecosystems and provision of ecosystem services. Based on our study, we suggest four key steps that can increase the sustainability, connectivity and spatial coverage of biological Essential Ocean Variables in the global ocean: (1) sustaining existing observing programs and encouraging coordination among these; (2) continuing to strive for data strategies that follow FAIR principles (findable, accessible, interoperable, and reusable); (3) utilizing existing ocean observing platforms and enhancing support to expand observing along coasts of developing countries, in deep ocean basins, and near the poles; and (4) targeting capacity building efforts. Following these suggestions could help create a coordinated marine biodiversity observing system enabling ecological forecasting and better planning for a sustainable use of ocean resources.</t>
  </si>
  <si>
    <t>[Satterthwaite, Erin, V] Univ Calif Santa Barbara, Natl Ctr Ecol Anal &amp; Synth, Santa Barbara, CA 93106 USA; [Satterthwaite, Erin, V; Starger, Craig] Colorado State Univ, Sch Global Environm Sustainabil, Future Earth, Ft Collins, CO 80523 USA; [Satterthwaite, Erin, V] Univ Calif San Diego, Calif Sea Grant, Scripps Inst Oceanog, San Diego, CA 92103 USA; [Bax, Nicholas J.; Ratnarajah, Lavenia; Evans, Karen] CSIRO, Oceans &amp; Atmosphere, Hobart, Tas, Australia; [Bax, Nicholas J.; Stuart-Smith, Rick D.] Univ Tasmania, Inst Marine &amp; Antarctic Studies, Hobart, Tas, Australia; [Miloslavich, Patricia] Univ Delaware, Coll Earth Ocean &amp; Atmosphere, Sci Comm Ocean Res, Robinson Hall, Newark, DE USA; [Miloslavich, Patricia] Univ Simon Bolivar, Dept Estudios Ambientales, Caracas, Venezuela; [Ratnarajah, Lavenia] Univ Liverpool, Sch Environm Sci, Earth Ocean &amp; Ecol Sci, Liverpool, Merseyside, England; [Canonico, Gabrielle] NOAA, US Integrated Ocean Observing Syst, Silver Spring, MD USA; [Dunn, Daniel] Univ Queensland, Sch Earth &amp; Environm Sci, St Lucia, Qld, Australia; [Simmons, Samantha E.] US Marine Mammal Commiss, Bethesda, MD USA; [Carini, Roxanne J.] Univ Washington, Appl Phys Lab, Northwest Assoc Networked Ocean Observing Syst, Seattle, WA 98105 USA; [Allain, Valerie] Pacific Community Fisheries Aquaculture &amp; Marine, Noumea, New Caledonia; [Appeltans, Ward; Provoost, Pieter] UNESCO, Ocean Biodivers Informat Syst, Intergovt Oceanog Commiss, Oostende, Belgium; [Batten, Sonia] North Pacific Marine Sci Org, Sidney, BC, Canada; [Benedetti-Cecchi, Lisandro] Univ Pisa, Dept Biol, CoNISMa, Pisa, Italy; [Bernard, Anthony T. F.] South African Inst Aquat Biodivers, Grahamstown, South Africa; [Bernard, Anthony T. F.] Rhodes Univ, Dept Zool &amp; Entomol, Grahamstown, South Africa; [Bristol, Sky; Benson, Abigail; Wellman, Tristan P.] US Geol Survey, Core Sci Syst, Denver Fed Ctr, Box 25046, Denver, CO 80225 USA; [Buttigieg, Pier Luigi] Helmholtz Ctr Ocean Res, GEOMAR, Helmholtz Metadata Collaborat, Bremen, Germany; [Gerhardinger, Leopoldo Cavaleri] Brazilian Future Ocean Panel, Sao Paulo, Brazil; [Chiba, Sanae] Japan Agcy Marine Earth Sci &amp; Technol, Res Inst Global Change, Yokosuka, Kanagawa, Japan; [Davies, Tammy E.] BirdLife Int, David Attenborough Bldg, Cambridge, England; [Duffy, J. Emmett] Smithsonian Inst, Tennenbaum Marine Observ Network, Edgewater, MD USA; [Duffy, J. Emmett] Smithsonian Inst, Marine GEO Program, Edgewater, MD USA; [Giron-Nava, Alfredo; Selig, Elizabeth R.] Stanford Univ, Stanford Ctr Ocean Solut, Stanford, CA 94305 USA; [Hsu, Astrid J.] Univ Calif San Diego, Scripps Inst Oceanog, La Jolla, CA 92093 USA; [Kraberg, Alexandra C.] Helmholtz Ctr Polar &amp; Marine Res, Alfred Wegener Inst, Sect Polar Biol Oceanog, Bremerhaven, Germany; [Kudela, Raphael M.] Univ Calif Santa Cruz, Inst Marine Sci, Santa Cruz, CA 95064 USA; [Kudela, Raphael M.] Univ Calif Santa Cruz, Ocean Sci Dept, Santa Cruz, CA 95064 USA; [Lear, Dan] Marine Biol Assoc UK, Plymouth, Devon, England; [Montes, Enrique; Muller-Karger, Frank E.] Univ S Florida, Coll Marine Sci, Inst Marine Remote Sensing, St Petersburg, FL USA; [O'Brien, Todd D.] NOAA, Fisheries Off Sci &amp; Technol, Silver Spring, MD USA; [Obura, David] CORDIO East Africa, Mombasa, Kenya; [Pruckner, Sara; Weatherdon, Lauren, V] World Conservat Monitoring Ctr, UN Environm Programme, Cambridge, England; [Rebelo, Lisa-Maria] Int Water Management Inst, Colombo, Sri Lanka; [Kjesbu, Olav Sigurd] Inst Marine Res, Bergen, Norway; [Vierros, Marjo] Coastal Policy &amp; Humanities Res, Vancouver, BC, Canada; [Waller, John] Global Biodivers Informat Facil, Copenhagen, Denmark; [Zivian, Anna] Ocean Conservancy, Santa Cruz, CA USA</t>
  </si>
  <si>
    <t>University of California System; University of California Santa Barbara; National Center for Ecological Analysis &amp; Synthesis; Colorado State University; University of California System; University of California San Diego; Scripps Institution of Oceanography; Commonwealth Scientific &amp; Industrial Research Organisation (CSIRO); University of Tasmania; University of Delaware; Simon Bolivar University; University of Liverpool; National Oceanic Atmospheric Admin (NOAA) - USA; University of Queensland; University of Washington; University of Washington Seattle; CoNISMa; University of Pisa; National Research Foundation - South Africa; South African Institute for Aquatic Biodiversity; Rhodes University; United States Department of the Interior; United States Geological Survey; Helmholtz Association; GEOMAR Helmholtz Center for Ocean Research Kiel; Japan Agency for Marine-Earth Science &amp; Technology (JAMSTEC); BirdLife International; Smithsonian Institution; Smithsonian Environmental Research Center; Smithsonian Institution; Smithsonian Environmental Research Center; Stanford University; University of California System; University of California San Diego; Scripps Institution of Oceanography; Helmholtz Association; Alfred Wegener Institute, Helmholtz Centre for Polar &amp; Marine Research; University of California System; University of California Santa Cruz; University of California System; University of California Santa Cruz; Marine Biological Association United Kingdom; State University System of Florida; University of South Florida; National Oceanic Atmospheric Admin (NOAA) - USA; United Nations Environment Programme; CGIAR; International Water Management Institute (IWMI); Institute of Marine Research - Norway</t>
  </si>
  <si>
    <t>Satterthwaite, EV (corresponding author), Univ Calif Santa Barbara, Natl Ctr Ecol Anal &amp; Synth, Santa Barbara, CA 93106 USA.;Satterthwaite, EV (corresponding author), Colorado State Univ, Sch Global Environm Sustainabil, Future Earth, Ft Collins, CO 80523 USA.;Satterthwaite, EV (corresponding author), Univ Calif San Diego, Calif Sea Grant, Scripps Inst Oceanog, San Diego, CA 92103 USA.</t>
  </si>
  <si>
    <t>esatterthwaite@ucsd.edu</t>
  </si>
  <si>
    <t>Stuart-Smith, Rick/I-5214-2019; Bax, Nicholas/A-2321-2012</t>
  </si>
  <si>
    <t>Stuart-Smith, Rick/0000-0002-8874-0083; Ratnarajah, Lavenia/0000-0002-1021-1923; Weatherdon, Lauren V./0000-0002-3989-027X; Montes, Enrique/0000-0002-3103-4479; Vierros, Marjo/0000-0001-5316-9297; Benson, Abigail/0000-0002-4391-107X; Davies, Tammy/0000-0003-2535-1328; Duffy, J. Emmett/0000-0001-8595-6391; Benedetti-Cecchi, Lisandro/0000-0001-5244-5202; Bax, Nicholas/0000-0002-9697-4963</t>
  </si>
  <si>
    <t>Program for Early-stage Grants Advancing Sustainability Science (PEGASuS) 2: Ocean Sustainability Program; Future Earth, National Center for Ecological Analysis and Synthesis (NCEAS); Colorado State University; NASA [NNX14AP62A, 80NSSC20K0017]; NOAA Award [NA19NOS0120199]; NASA under the A.50 AmeriGEO Work Program of the Group on Earth Observations [80NSSC18K0318]; PEGASuS 2: Ocean Sustainability Program - Gordon and Betty Moore Foundation's Science Program; NOMIS Foundation; BYONIC (ERC award) [724289]; AIMS; CSIRO; IOC/UNESCO; NOAA Sea Grant's 2019 John A. Knauss Marine Policy Fellowship Program; Pew Charitable Trusts; Baum Foundation; NOAA; U.S. Integrated Ocean Observing System/IOOS Program Office [NA19NOS0120199]; NSF [1728913, OCE-1829922, 1758047]; Tennenbaum Marine Observatories Network; UNEP-WCMC's Proteus Partnership; CGIAR Research Program on Water, Land, and Ecosystems; IMR; Australian Research Council Fellowship [FT190100599]; University of Pisa [PRA-2020-76]; Helmholtz Metadata Collaboration; Frontiers in Arctic Marine Monitoring (FRAM) program of the Alfred Wegener Institute, Helmholtz Centre for Polar and Marine Research; Intergovernmental Oceanographic Commission (IOC); Scientific Committee on Oceanic Research (SCOR); Division Of Ocean Sciences; Directorate For Geosciences [1728913] Funding Source: National Science Foundation; ICER; Directorate For Geosciences [1758047] Funding Source: National Science Foundation; Australian Research Council [FT190100599] Funding Source: Australian Research Council</t>
  </si>
  <si>
    <t>Program for Early-stage Grants Advancing Sustainability Science (PEGASuS) 2: Ocean Sustainability Program; Future Earth, National Center for Ecological Analysis and Synthesis (NCEAS); Colorado State University; NASA(National Aeronautics &amp; Space Administration (NASA)); NOAA Award(National Oceanic Atmospheric Admin (NOAA) - USA); NASA under the A.50 AmeriGEO Work Program of the Group on Earth Observations; PEGASuS 2: Ocean Sustainability Program - Gordon and Betty Moore Foundation's Science Program; NOMIS Foundation; BYONIC (ERC award)(European Research Council (ERC)); AIMS; CSIRO(Commonwealth Scientific &amp; Industrial Research Organisation (CSIRO)); IOC/UNESCO; NOAA Sea Grant's 2019 John A. Knauss Marine Policy Fellowship Program; Pew Charitable Trusts; Baum Foundation; NOAA(National Oceanic Atmospheric Admin (NOAA) - USA); U.S. Integrated Ocean Observing System/IOOS Program Office; NSF(National Science Foundation (NSF)); Tennenbaum Marine Observatories Network(Smithsonian InstitutionSmithsonian Tennenbaum Marine Observatories Network); UNEP-WCMC's Proteus Partnership; CGIAR Research Program on Water, Land, and Ecosystems(CGIAR); IMR; Australian Research Council Fellowship(Australian Research Council); University of Pisa; Helmholtz Metadata Collaboration; Frontiers in Arctic Marine Monitoring (FRAM) program of the Alfred Wegener Institute, Helmholtz Centre for Polar and Marine Research; Intergovernmental Oceanographic Commission (IOC); Scientific Committee on Oceanic Research (SCOR); Division Of Ocean Sciences; Directorate For Geosciences(National Science Foundation (NSF)NSF - Directorate for Geosciences (GEO)); ICER; Directorate For Geosciences(National Science Foundation (NSF)NSF - Directorate for Geosciences (GEO)); Australian Research Council(Australian Research Council)</t>
  </si>
  <si>
    <t>This work was supported by the Program for Early-stage Grants Advancing Sustainability Science (PEGASuS) 2: Ocean Sustainability Program, a partnership of Future Earth, National Center for Ecological Analysis and Synthesis (NCEAS), and Colorado State University. We are thankful to contributions by members of the U.S. Marine Biodiversity Observation Network (MBON) under the U.S. National Ocean Partnership Program (NASA, NOAA, U.S. IOOS, BOEM, and ONR) through NASA grant NNX14AP62A (National Marine Sanctuaries as Sentinel Sites for a Demonstration Marine Biodiversity Observation Network) and NOAA Award NA19NOS0120199 (Implementing a Marine Biodiversity Observation Network in South Florida to Advance Ecosystem-Based Management). We also thank contributions from the MBON Pole to Pole of the Americas program funded by NASA under the A.50 AmeriGEO Work Program of the Group on Earth Observations (Grant Number 80NSSC18K0318). This is contribution 91 from the Smithsonian Institution's Tennenbaum Marine Observatories Network and Marine GEO program. ESa was supported by the PEGASuS 2: Ocean Sustainability Program funded in part by the Gordon and Betty Moore Foundation's Science Program and the NOMIS Foundation. LR received support from BYONIC (ERC award number 724289). The GOOS Biology and Ecosystems Panel is funded by AIMS, CSIRO, and IOC/UNESCO and hosted by Australia's Integrated Marine Observing System (IMOS) -IMOS is enabled by the National Collaborative Research Infrastructure Strategy (NCRIS). It is operated by a consortium of institutions as an unincorporated joint venture, with the University of Tasmania as Lead Agent. RC was supported by NOAA Sea Grant's 2019 John A. Knauss Marine Policy Fellowship Program. AH received support from the Pew Charitable Trusts and the Baum Foundation. Partial support for FM-K was provided by NOAA and the U.S. Integrated Ocean Observing System/IOOS Program Office (award number NA19NOS0120199), NASA (awards numbers NNX14AP62A and 80NSSC20K0017), and NSF (award number 1728913). JD was supported by the Tennenbaum Marine Observatories Network and NSF award OCE-1829922. CS was supported by NSF (award #1758047) and the PEGASuS 2: Ocean Sustainability Program funded in part by the Gordon and Betty Moore Foundation's Science Program and the NOMIS Foundation. LW and SP were supported by UNEP-WCMC's Proteus Partnership. L-MR was supported by the CGIAR Research Program on Water, Land, and Ecosystems by Funders contributing to the CGIAR Trust Fund (https://www.cgiar.org/funders/).OK was supported by the IMR. RS-S was supported by an Australian Research Council Fellowship (FT190100599). LB-C was supported by the University of Pisa under grant PRA-2020-76. PB was supported by the Helmholtz Metadata Collaboration and the Frontiers in Arctic Marine Monitoring (FRAM) program of the Alfred Wegener Institute, Helmholtz Centre for Polar and Marine Research. RK contributed as part of the GlobalHAB Research Program funded by the Intergovernmental Oceanographic Commission (IOC) and the Scientific Committee on Oceanic Research (SCOR).</t>
  </si>
  <si>
    <t>OCT 25</t>
  </si>
  <si>
    <t>10.3389/fmars.2021.737416</t>
  </si>
  <si>
    <t>WV5HW</t>
  </si>
  <si>
    <t>WOS:000717268700001</t>
  </si>
  <si>
    <t>Munday, DR; Zhai, XM; Harle, J; Coward, AC; Nurser, AJG</t>
  </si>
  <si>
    <t>Munday, David R.; Zhai, Xiaoming; Harle, James; Coward, Andrew C.; Nurser, A. J. George</t>
  </si>
  <si>
    <t>Relative vs. absolute wind stress in a circumpolar model of the Southern Ocean</t>
  </si>
  <si>
    <t>Southern Ocean; Mesoscale eddies; Relative wind; Current-wind interaction</t>
  </si>
  <si>
    <t>SEA-SURFACE TEMPERATURE; CONSERVATIVE DIFFERENCE SCHEME; ADVECTION SCHEMES; ENERGY INPUT; HEAT-FLUX; NUMERICAL ADVECTION; CIRCULATION MODEL; CONSTANT HEIGHT; POWER INPUT; EDDY HEAT</t>
  </si>
  <si>
    <t>The transfer of momentum between the atmosphere and ocean is dependent upon the velocity difference between the seawater and overlying air. This is commonly known as relative wind, or ocean current interaction, and its direct effect is to damp mesoscale ocean eddies through the imposition of an opposing surface torque. If an ocean model neglects the ocean velocity in its bulk formulae, this can lead to an increase in power input to the ocean and a large increase in Eddy Kinetic Energy (EKE). Other secondary effects that are dependent upon the current system under consideration may also occur. Here we show that the neglect of relative wind leads to an similar to 50% increase in surface EKE in a circumpolar model of the Southern Ocean. This acts to increase the southwards eddy heat transport, fluxing more heat into the seasonal ice zone, and subsequently reducing ice cover in all seasons. The net reduction in planetary albedo may be a way for a largescale impact on climate.</t>
  </si>
  <si>
    <t>[Munday, David R.] British Antarctic Survey, Cambridge, England; [Zhai, Xiaoming] Univ East Anglia, Sch Environm Sci, Norwich, Norfolk, England; [Harle, James; Coward, Andrew C.; Nurser, A. J. George] Natl Oceanog Ctr, Southampton, Hants, England</t>
  </si>
  <si>
    <t>UK Research &amp; Innovation (UKRI); Natural Environment Research Council (NERC); NERC British Antarctic Survey; University of East Anglia; NERC National Oceanography Centre</t>
  </si>
  <si>
    <t>Munday, DR (corresponding author), British Antarctic Survey, Cambridge, England.</t>
  </si>
  <si>
    <t>danday@bas.ac.uk</t>
  </si>
  <si>
    <t>Munday, David R/R-1986-2016; Zhai, Xiaoming/AAB-7129-2021</t>
  </si>
  <si>
    <t>Munday, David R/0000-0003-1920-708X; Zhai, Xiaoming/0000-0003-4519-1931</t>
  </si>
  <si>
    <t>NERC [NE/N018095/1, bas0100033, noc010010] Funding Source: UKRI</t>
  </si>
  <si>
    <t>10.1016/j.ocemod.2021.101891</t>
  </si>
  <si>
    <t>WR6QF</t>
  </si>
  <si>
    <t>hybrid, Green Accepted</t>
  </si>
  <si>
    <t>WOS:000714621900004</t>
  </si>
  <si>
    <t>Zhu, L; Ping, WW; Zhang, SY; Chen, Y; Zhang, Y; Zhang, JL</t>
  </si>
  <si>
    <t>Zhu, Lin; Ping, Weiwei; Zhang, Siyue; Chen, Ya; Zhang, Ying; Zhang, Jianli</t>
  </si>
  <si>
    <t>Description and genome analysis of Microvirga antarctica sp. nov., a novel pink-pigmented psychrotolerant bacterium isolated from Antarctic soil</t>
  </si>
  <si>
    <t>ANTONIE VAN LEEUWENHOEK INTERNATIONAL JOURNAL OF GENERAL AND MOLECULAR MICROBIOLOGY</t>
  </si>
  <si>
    <t>Microvirga; Polyphasic taxonomy; Psychrotolerant; ANI; Genome analysis; Functional enzymes</t>
  </si>
  <si>
    <t>PROPOSED MINIMAL STANDARDS; CORYNEFORM BACTERIA; EMENDED DESCRIPTION; FATTY-ACID; GEN. NOV.; ALPHAPROTEOBACTERIUM; FAMILY; CLASSIFICATION; SEQUENCES; INFERENCE</t>
  </si>
  <si>
    <t>A novel pink-pigmented bacterium, designated strain 3D7(T), was isolated during an investigation of potential psychrotolerant species from Antarctic soil. Cells of the isolate were observed to be rod-shaped (0.7-0.9 x 1.0-2.2 mu m), Gram-stain negative and non-motile. It was able to grow at 4-32 degrees C, pH 7.0-10.0 and in the presence of 0-3% (w/v) NaCl. Phylogenetic analysis based on 16S rRNA gene sequences showed that strain 3D7(T) belongs to the genus Microvirga and was most closely related to 'Microvirga brassicacearum' CDVBN77(T) (98.3%), Microvirga subterranea DSM 14364 (T) (96.8%), Microvirga guangxiensis 25B(T) (96.5%) and Microvirga aerophila DSM 21344 (T) (96.5%). The predominant quinone was ubiquinone 10 (Q-10), and the major fatty acids were summed feature 8 (C-18:1 omega 7c and/or C-18:1 omega 6c) and C-19:0 cyclo omega 8c. The predominant polar lipids were phosphatidylcholine and phosphatidylethanolamine. The genomic DNA G + C content of strain 3D7(T) was 63.5 mol%. Its genome sequence showed genes encoding phosphatases and lipases. Genetic machinery related to carbohydrate-active enzymes and secondary metabolites were also observed. The average nucleotide identity and digital DNA-DNA hybridization values based on whole genome sequences of strain 3D7(T) and its closely related species were below the threshold range for species determination. Phenotypic, chemotaxonomic, phylogenetic and genomic analyses suggested that strain 3D7(T) represents a novel species of the genus Microvirga, for which the name Microvirga antarctica sp. nov. is proposed. The type strain is 3D7(T) (= CGMCC 1.13821(T) = KCTC 72465(T)).</t>
  </si>
  <si>
    <t>[Zhu, Lin; Ping, Weiwei; Zhang, Siyue; Chen, Ya; Zhang, Ying; Zhang, Jianli] Beijing Inst Technol, Sch Life Sci, Key Lab Mol Med &amp; Biotherapy, Beijing 100081, Peoples R China</t>
  </si>
  <si>
    <t>Beijing Institute of Technology</t>
  </si>
  <si>
    <t>Zhang, JL (corresponding author), Beijing Inst Technol, Sch Life Sci, Key Lab Mol Med &amp; Biotherapy, Beijing 100081, Peoples R China.</t>
  </si>
  <si>
    <t>zhangjianli@bit.edu.cn</t>
  </si>
  <si>
    <t>ZHANG, SIYUE/JKI-1069-2023; ZHANG, SIYUE/JKI-0898-2023</t>
  </si>
  <si>
    <t>National Key Research and Development Program of China [2016YFC0501302]; National Natural Science Foundation of China (NSFC) [31070002]</t>
  </si>
  <si>
    <t>National Key Research and Development Program of China; National Natural Science Foundation of China (NSFC)(National Natural Science Foundation of China (NSFC))</t>
  </si>
  <si>
    <t>This research was supported by the National Key Research and Development Program of China (2016YFC0501302) and by the National Natural Science Foundation of China (NSFC, Grant No. 31070002).</t>
  </si>
  <si>
    <t>0003-6072</t>
  </si>
  <si>
    <t>1572-9699</t>
  </si>
  <si>
    <t>ANTON LEEUW INT J G</t>
  </si>
  <si>
    <t>Antonie Van Leeuwenhoek</t>
  </si>
  <si>
    <t>10.1007/s10482-021-01674-9</t>
  </si>
  <si>
    <t>WV1AX</t>
  </si>
  <si>
    <t>WOS:000710832000001</t>
  </si>
  <si>
    <t>Braga, MME; Jones, RS; Newall, JCH; Rogozhina, I; Andersen, JL; Lifton, NA; Stroeven, AP</t>
  </si>
  <si>
    <t>Braga, Martim Mas E.; Jones, Richard Selwyn; Newall, Jennifer C. H.; Rogozhina, Irina; Andersen, Jane L.; Lifton, Nathaniel A.; Stroeven, Arjen P.</t>
  </si>
  <si>
    <t>Nunataks as barriers to ice flow: implications for palaeo ice sheet reconstructions</t>
  </si>
  <si>
    <t>GLACIAL ISOSTATIC-ADJUSTMENT; DRONNING MAUD LAND; NUMERICAL SIMULATIONS; MULTIMODEL ENSEMBLE; COSMOGENIC NUCLIDES; GROUNDING LINES; MASS-LOSS; MODEL; ANTARCTICA; GREENLAND</t>
  </si>
  <si>
    <t>Numerical models predict that discharge from the polar ice sheets will become the largest contributor to sea-level rise over the coming centuries. However, the predicted amount of ice discharge and associated thinning depends on how well ice sheet models reproduce glaciological processes, such as ice flow in regions of large topographic relief, where ice flows around bedrock summits (i.e. nunataks) and through outlet glaciers. The ability of ice sheet models to capture long-term ice loss is best tested by comparing model simulations against geological data. A benchmark for such models is ice surface elevation change, which has been constrained empirically at nunataks and along margins of outlet glaciers using cosmogenic exposure dating. However, the usefulness of this approach in quantifying ice sheet thinning relies on how well such records represent changes in regional ice surface elevation. Here we examine how ice surface elevations respond to the presence of strong topographic relief that acts as an obstacle by modelling ice flow around and between idealised nunataks during periods of imposed ice sheet thinning. We find that, for realistic Antarctic conditions, a single nunatak can exert an impact on ice thickness over 20 km away from its summit, with its most prominent effect being a local increase (decrease) of the ice surface elevation of hundreds of metres upstream (downstream) of the obstacle. A direct consequence of this differential surface response for cosmogenic exposure dating is a delay in the time of bedrock exposure upstream relative to downstream of a nunatak summit. A nunatak elongated transversely to ice flow is able to increase ice retention and therefore impose steeper ice surface gradients, while efficient ice drainage through outlet glaciers produces gentler gradients. Such differences, however, are not typically captured by continent-wide ice sheet models due to their coarse grid resolutions. Their inability to capture site-specific surface elevation changes appears to be a key reason for the observed mismatches between the timing of ice-free conditions from cosmogenic exposure dating and model simulations. We conclude that a model grid refinement over complex topography and information about sample position relative to ice flow near the nunatak are necessary to improve data-model comparisons of ice surface elevation and therefore the ability of models to simulate ice discharge in regions of large topographic relief.</t>
  </si>
  <si>
    <t>[Braga, Martim Mas E.; Newall, Jennifer C. H.; Stroeven, Arjen P.] Stockholm Univ, Dept Phys Geog, Geomorphol &amp; Glaciol, Stockholm, Sweden; [Braga, Martim Mas E.; Newall, Jennifer C. H.; Stroeven, Arjen P.] Stockholm Univ, Bolin Ctr Climate Res, Stockholm, Sweden; [Jones, Richard Selwyn] Univ Durham, Dept Geog, Durham, England; [Jones, Richard Selwyn] Monash Univ, Sch Earth Atmosphere &amp; Environm, Melbourne, Vic, Australia; [Rogozhina, Irina] Norwegian Univ Sci &amp; Technol, Dept Geog, Trondheim, Norway; [Andersen, Jane L.] Aarhus Univ, Dept Geosci, Aarhus, Denmark; [Lifton, Nathaniel A.] Purdue Univ, Dept Earth Atmospher &amp; Planetary Sci, W Lafayette, IN 47907 USA; [Lifton, Nathaniel A.] Purdue Univ, Dept Phys &amp; Astron, W Lafayette, IN 47907 USA</t>
  </si>
  <si>
    <t>Stockholm University; Durham University; Melbourne Genomics Health Alliance; Monash University; Norwegian University of Science &amp; Technology (NTNU); Aarhus University; Purdue University System; Purdue University; Purdue University System; Purdue University</t>
  </si>
  <si>
    <t>Braga, MME (corresponding author), Stockholm Univ, Dept Phys Geog, Geomorphol &amp; Glaciol, Stockholm, Sweden.;Braga, MME (corresponding author), Stockholm Univ, Bolin Ctr Climate Res, Stockholm, Sweden.</t>
  </si>
  <si>
    <t>martim.braga@natgeo.su.se</t>
  </si>
  <si>
    <t>Andersen, Jane Lund/R-6518-2017; Jones, Richard Selwyn/AAJ-3949-2021; Rogozhina, Irina/JFK-1968-2023; Stroeven, Arjen/I-7330-2013; Lifton, Nathaniel/M-2017-2015</t>
  </si>
  <si>
    <t>Andersen, Jane Lund/0000-0003-2829-6352; Jones, Richard Selwyn/0000-0003-2988-0999; Stroeven, Arjen/0000-0001-8812-2253; Lifton, Nathaniel/0000-0002-6976-3298; Mas e Braga, Martim/0000-0002-4843-1876; Rogozhina, Irina/0009-0008-5067-080X</t>
  </si>
  <si>
    <t>Vetenskapsradet [2016-04422]; Deutsche Forschungsgemeinschaft [1158-365737614]; National Science Foundation [OPP-1542930]; Norsk Polarinstitutt [2015/38/7/NK/ihs]; Swedish Research Council [2016-04422] Funding Source: Swedish Research Council</t>
  </si>
  <si>
    <t>Vetenskapsradet(Swedish Research Council); Deutsche Forschungsgemeinschaft(German Research Foundation (DFG)); National Science Foundation(National Science Foundation (NSF)); Norsk Polarinstitutt; Swedish Research Council(Swedish Research Council)</t>
  </si>
  <si>
    <t>This research has been supported by the Vetenskapsradet (grant no. 2016-04422), the Deutsche Forschungsgemeinschaft (grant no. 1158-365737614), the National Science Foundation (grant no. OPP-1542930), and the Norsk Polarinstitutt (grant no. 2015/38/7/NK/ihs).</t>
  </si>
  <si>
    <t>10.5194/tc-15-4929-2021</t>
  </si>
  <si>
    <t>WM3TA</t>
  </si>
  <si>
    <t>WOS:000711009900001</t>
  </si>
  <si>
    <t>Simkus, DN; Aponte, JC; Elsila, JE; McLain, HL; Parker, ET; Dworkin, JP; Glavin, DP</t>
  </si>
  <si>
    <t>Simkus, Danielle N.; Aponte, Jose C.; Elsila, Jamie E.; McLain, Hannah L.; Parker, Eric T.; Dworkin, Jason P.; Glavin, Daniel P.</t>
  </si>
  <si>
    <t>Low total abundances and a predominance of n-ω-amino acids in enstatite chondrites: Implications for thermal stability of amino acids in the inner solar system</t>
  </si>
  <si>
    <t>ORGANIC-MATTER; METEORITES; DECARBOXYLATION; CLASSIFICATION; THERMOMETRY; DENSITY; ORIGIN; WATER; EARTH; EH3</t>
  </si>
  <si>
    <t>Investigating the organic contents of enstatite chondrite meteorites may offer insights into both early inner solar system and early Earth chemistry. Enstatite chondrite meteorites have highly reduced and anhydrous compositions, and their bulk isotopic compositions closely resemble terrestrial values, suggesting that their parent body asteroids accreted within the inner protoplanetary disk and were a primary contributor during Earth's late accretion (Javoy, 1995; Piani et al., 2020). Here, we present the first report of amino acids in enstatite chondrite meteorite samples. Three EH3 meteorites were analyzed (Dominion Range [DOM] 14021, Larkman Nunatak [LAR] 12001, and Larkman Nunatak 06252). The acid-hydrolyzed water extracts of the meteorites contained low abundances (1.5-215.9 pmol g(-1)) of n-omega-amino acids (glycine, beta-alanine, gamma-amino-n-butyric acid [gamma-ABA], delta-amino-n-valeric acid [delta-AVA], and epsilon-amino-n-caproic acid [epsilon-ACA]), but amino acids were not present above detection limits in the nonhydrolyzed samples. The low amino acid abundances and the predominance of n-omega-amino acids resemble amino acid distributions previously observed for thermally altered chondrites. These results suggest that the parent body asteroid was not conducive to the synthesis and/or preservation of alpha-amino acids, or free amino acids in general, and that EH3 chondrite-like material may not have been a primary contributor of diverse or abundant free amino acids to the early Earth.</t>
  </si>
  <si>
    <t>[Simkus, Danielle N.] NASA, Goddard Space Flight Ctr, NASA Postdoctoral Program, Code 916, Greenbelt, MD 20771 USA; [Simkus, Danielle N.; Aponte, Jose C.; Elsila, Jamie E.; McLain, Hannah L.; Parker, Eric T.; Dworkin, Jason P.; Glavin, Daniel P.] NASA, Solar Syst Explorat Div, Goddard Space Flight Ctr, Code 690, Greenbelt, MD 20771 USA; [Simkus, Danielle N.; Aponte, Jose C.; McLain, Hannah L.] Catholic Univ Amer, Dept Phys, Washington, DC 20064 USA</t>
  </si>
  <si>
    <t>National Aeronautics &amp; Space Administration (NASA); NASA Goddard Space Flight Center; National Aeronautics &amp; Space Administration (NASA); NASA Goddard Space Flight Center; Catholic University of America</t>
  </si>
  <si>
    <t>Simkus, DN (corresponding author), NASA, Goddard Space Flight Ctr, NASA Postdoctoral Program, Code 916, Greenbelt, MD 20771 USA.;Simkus, DN (corresponding author), NASA, Solar Syst Explorat Div, Goddard Space Flight Ctr, Code 690, Greenbelt, MD 20771 USA.;Simkus, DN (corresponding author), Catholic Univ Amer, Dept Phys, Washington, DC 20064 USA.</t>
  </si>
  <si>
    <t>danielle.n.simkus@nasa.gov</t>
  </si>
  <si>
    <t>Aponte, Jose C./B-9091-2013; Glavin, Daniel P/D-6194-2012; Dworkin, Jason P./C-9417-2012</t>
  </si>
  <si>
    <t>Glavin, Daniel P/0000-0001-7779-7765; Dworkin, Jason P./0000-0002-3961-8997; Simkus, Danielle/0000-0002-8272-623X</t>
  </si>
  <si>
    <t>NASA Postdoctoral Research Program fellowship at NASA Goddard Space Flight Center; NASA [80GSFC21M0002]; NASA's Planetary Science Division Internal Scientist Funding Program through the Fundamental Laboratory Research (FLaRe) work package; NASA Astrobiology Institute [13-13NAI7-0032]; Simons Foundation [302497]; NSF</t>
  </si>
  <si>
    <t>NASA Postdoctoral Research Program fellowship at NASA Goddard Space Flight Center; NASA(National Aeronautics &amp; Space Administration (NASA)); NASA's Planetary Science Division Internal Scientist Funding Program through the Fundamental Laboratory Research (FLaRe) work package; NASA Astrobiology Institute; Simons Foundation; NSF(National Science Foundation (NSF))</t>
  </si>
  <si>
    <t>This research was supported in part by a NASA Postdoctoral Research Program fellowship at NASA Goddard Space Flight Center (administered by Universities Space Research Association under contract with NASA) to D.N.S.; by NASA under award number 80GSFC21M0002; by NASA's Planetary Science Division Internal Scientist Funding Program through the Fundamental Laboratory Research (FLaRe) work package to J.E.E.; by the NASA Astrobiology Institute through funding awarded to the Goddard Center for Astrobiology under proposal 13-13NAI7-0032; and by a grant from the Simons Foundation (SCOL award 302497 to J.P.D.).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D.N.S. would like to thank Dr. Kevin Righter for providing helpful information about E chondrite sample collection by the ANSMET team, and Drs. John Weisberg, Joe Boesenberg, Steve Mojzsis, and Jingyi Mah for insightful discussions about E chondrite meteorites and their potential parent body conditions. The authors thank two anonymous reviewers for their careful review and constructive feedback for this manuscript.</t>
  </si>
  <si>
    <t>10.1111/maps.13757</t>
  </si>
  <si>
    <t>WOS:000710629200001</t>
  </si>
  <si>
    <t>Weitzel, T; Silva-de la Fuente, MC; Martínez-Valdebenito, C; Stekolnikov, AA; Pérez, C; Pérez, R; Vial, C; Abarca, K; Acosta-Jamett, G</t>
  </si>
  <si>
    <t>Weitzel, Thomas; Carolina Silva-de la Fuente, Maria; Martinez-Valdebenito, Constanza; Stekolnikov, Alexandr A.; Perez, Caricia; Perez, Ruth; Vial, Cecilia; Abarca, Katia; Acosta-Jamett, Gerardo</t>
  </si>
  <si>
    <t>Novel Vector of Scrub Typhus in Sub-Antarctic Chile: Evidence From Human Exposure</t>
  </si>
  <si>
    <t>CLINICAL INFECTIOUS DISEASES</t>
  </si>
  <si>
    <t>scrub typhus; Orientia species; trombiculid mite; trombiculiasis; Herpetacarus antarctica</t>
  </si>
  <si>
    <t>The exposure of a research team to chigger mites in southern Chile allowed the first identification of a trombiculid species as vector and reservoir of scrub typhus outside the tsutsugamushi triangle, providing unique insights into the ecology and transmission of this recently discovered rickettsial infection in South America.</t>
  </si>
  <si>
    <t>[Weitzel, Thomas] Univ Desarrollo, Clin Alemana Santiago, Fac Med Clin Alemana, Santiago, Chile; [Weitzel, Thomas; Perez, Caricia; Perez, Ruth; Vial, Cecilia] Univ Desarrollo, Inst Ciencias &amp; Innovac Med ICIM, Fac Med Clin Alemana, Santiago, Chile; [Carolina Silva-de la Fuente, Maria; Acosta-Jamett, Gerardo] Univ Austral Chile, Fac Ciencias Vet, Independencia 631, Valdivia, Chile; [Martinez-Valdebenito, Constanza; Abarca, Katia] Pontificia Univ Catolica Chile, Escuela Med, Santiago, Chile; [Stekolnikov, Alexandr A.] Russian Acad Sci, Zool Inst, St Petersburg, Russia</t>
  </si>
  <si>
    <t>Universidad del Desarrollo; Clinica Alemana; Universidad del Desarrollo; Universidad Austral de Chile; Pontificia Universidad Catolica de Chile; Russian Academy of Sciences; Zoological Institute of the Russian Academy of Sciences</t>
  </si>
  <si>
    <t>Acosta-Jamett, G (corresponding author), Univ Austral Chile, Fac Ciencias Vet, Independencia 631, Valdivia, Chile.</t>
  </si>
  <si>
    <t>gerardo.acosta@uach.cl</t>
  </si>
  <si>
    <t>ABARCA, KATIA/HDM-9351-2022; Vial, Maria Cecilia/GVS-4266-2022; Stekolnikov, Alexandr A/G-7966-2011</t>
  </si>
  <si>
    <t>Stekolnikov, Alexandr A/0000-0001-7548-2671; Vial, Cecilia/0000-0002-0399-6144; SILVA DE LA FUENTE, MARIA CAROLINA/0000-0003-0516-5667; Weitzel, Thomas/0000-0002-9804-2123</t>
  </si>
  <si>
    <t>Fondo Nacional de Desarrollo Cientifico y Tecnologico (FONDECYT) [1170810]; FONDECYT Postdoctorado [3200416]; Ministry of Science and Higher Education of the Russian Federation [AAAA-A19-119020790133-6]</t>
  </si>
  <si>
    <t>Fondo Nacional de Desarrollo Cientifico y Tecnologico (FONDECYT)(Comision Nacional de Investigacion Cientifica y Tecnologica (CONICYT)CONICYT FONDECYT); FONDECYT Postdoctorado(Comision Nacional de Investigacion Cientifica y Tecnologica (CONICYT)CONICYT FONDECYT); Ministry of Science and Higher Education of the Russian Federation</t>
  </si>
  <si>
    <t>This work was supported by the Fondo Nacional de Desarrollo Cientifico y Tecnologico (FONDECYT Regular number 1170810 to T. W., C. M.-V., K. A., and G. A.-J.), FONDECYT Postdoctorado number 3200416 to M. C. S.-d.l.F.), and the Ministry of Science and Higher Education of the Russian Federation (AAAA-A19-119020790133-6 to A. A. S.).</t>
  </si>
  <si>
    <t>1058-4838</t>
  </si>
  <si>
    <t>1537-6591</t>
  </si>
  <si>
    <t>CLIN INFECT DIS</t>
  </si>
  <si>
    <t>Clin. Infect. Dis.</t>
  </si>
  <si>
    <t>MAY 30</t>
  </si>
  <si>
    <t>10.1093/cid/ciab748</t>
  </si>
  <si>
    <t>Immunology; Infectious Diseases; Microbiology</t>
  </si>
  <si>
    <t>1T2HX</t>
  </si>
  <si>
    <t>WOS:000756558500001</t>
  </si>
  <si>
    <t>Rozwalak, P; Podkowa, P; Buda, J; Niedzielski, P; Kawecki, S; Ambrosini, R; Azzoni, RS; Baccolo, G; Ceballos, JL; Cook, J; Di Mauro, B; Ficetola, GF; Franzetti, A; Ignatiuk, D; Klimaszyk, P; Lokas, E; Ono, M; Parnikoza, I; Pietryka, M; Pittino, F; Poniecka, E; Porazinska, DL; Richter, D; Schmidt, SK; Sommers, P; Souza-Kasprzyk, J; Stibal, M; Szczucinski, W; Uetake, J; Wejnerowski, L; Yde, JC; Takeuchi, N; Zawierucha, K</t>
  </si>
  <si>
    <t>Rozwalak, Piotr; Podkowa, Pawel; Buda, Jakub; Niedzielski, Przemyslaw; Kawecki, Szymon; Ambrosini, Roberto; Azzoni, Roberto S.; Baccolo, Giovanni; Ceballos, Jorge L.; Cook, Joseph; Di Mauro, Biagio; Ficetola, Gentile Francesco; Franzetti, Andrea; Ignatiuk, Dariusz; Klimaszyk, Piotr; Lokas, Edyta; Ono, Masato; Parnikoza, Ivan; Pietryka, Miroslawa; Pittino, Francesca; Poniecka, Ewa; Porazinska, Dorota L.; Richter, Dorota; Schmidt, Steven K.; Sommers, Pacifica; Souza-Kasprzyk, Juliana; Stibal, Marek; Szczucinski, Witold; Uetake, Jun; Wejnerowski, Lukasz; Yde, Jacob C.; Takeuchi, Nozomu; Zawierucha, Krzysztof</t>
  </si>
  <si>
    <t>Cryoconite - From minerals and organic matter to bioengineered sediments on glacier's surfaces</t>
  </si>
  <si>
    <t>Biogenic aggregates; Biotic consortia; Cryoconite holes; Cyanobacteria; Ecosystem engineers; Supraglacial ecosystems</t>
  </si>
  <si>
    <t>SUPRAGLACIAL DEBRIS; SECRETIONS EPS; TIEN-SHAN; NO. 1; GREENLAND; HOLES; CYANOBACTERIA; ALGAL; DUST; POLYSACCHARIDE</t>
  </si>
  <si>
    <t>Cryoconite is a mixture of mineral and organic material covering glacial ice, playing important roles in biogeochemical cycles and lowering the albedo of a glacier surface. Understanding the differences in structure of cryoconite across the globe can be important in recognizing past and future changes in supraglacial environments and ice-organisms-minerals interactions. Despite the worldwide distribution and over a century of studies, the basic characteristics of cryoconite, including its forms and geochemistry, remain poorly studied. The major purpose of our study is the presentation and description of morphological diversity, chemical and photoautotrophs composition, and organic matter content of cryoconite sampled from 33 polar and mountain glaciers around the globe. Observations revealed that cryoconite is represented by various morphologies including loose and granular forms. Granular cryoconite includes smooth, rounded, or irregularly shaped forms; with some having their surfaces covered by cyanobacteria filaments. The occurrence of granules increased with the organic matter content in cryoconite. Moreover, a major driver of cryoconite colouring was the concentration of organic matter and its interplay with minerals. The structure of cyanobacteria and algae communities in cryoconite differs between glaciers, but representatives of cyanobacteria families Pseudanabaenaceae and Phormidiaceae, and algae families Mesotaeniaceae and Ulotrichaceae were the most common. The most of detected cyanobacterial taxa are known to produce polymeric substances (EPS) that may cement granules. Organic matter content in cryoconite varied between glaciers, ranging from 1% to 38%. The geochemistry of all the investigated samples reflected local sediment sources, except of highly concentrated Pb and Hg in cryoconite collected from European glaciers near industrialized regions, corroborating cryoconite as element-specific collector and potential environmental indicator of anthropogenic activity. Our work supports a notion that cryoconite may be more than just simple sediment and instead exhibits complex structure with relevance for biodiversity and the functioning of glacial ecosystems. (c) 2021 The Authors. Published by Elsevier B.V. This is an open access article under the CC BY-NC-ND license (http://creativecommons.org/licenses/by-nc-nd/4.0/).</t>
  </si>
  <si>
    <t>[Rozwalak, Piotr; Buda, Jakub; Zawierucha, Krzysztof] Adam Mickiewicz Univ, Fac Biol, Dept Anim Taxon &amp; Ecol, Poznan, Poland; [Podkowa, Pawel] Adam Mickiewicz Univ, Fac Biol, Dept Avian Biol &amp; Ecol, Poznan, Poland; [Niedzielski, Przemyslaw; Souza-Kasprzyk, Juliana] Adam Mickiewicz Univ, Fac Chem, Dept Analyt Chem, Poznan, Poland; [Kawecki, Szymon] Private Person, Poznan, Poland; [Ambrosini, Roberto; Ficetola, Gentile Francesco] Univ Milan, Dept Environm Sci &amp; Policy, Milan, Italy; [Azzoni, Roberto S.] Univ Milan, Dept Earth Sci Ardito Desio, Milan, Italy; [Baccolo, Giovanni; Franzetti, Andrea; Pittino, Francesca] Univ Milano Bicocca, Dept Earth &amp; Environm Sci, Milan, Italy; [Ceballos, Jorge L.] IDEAM, Inst Hydrol Meteorol &amp; Environm Studies, Bogota, Colombia; [Cook, Joseph] Aarhus Univ, Dept Environm Sci, Aarhus, Denmark; [Di Mauro, Biagio] CNR, Inst Polar Sci, Venice, Italy; [Ficetola, Gentile Francesco] Univ Grenoble Alpes, Univ Savoie Mt Blanc, Lab Ecol Alpine, CNRS,LECA, Grenoble, France; [Ignatiuk, Dariusz] Univ Silesia Katowice, Inst Earth Sci, Bedzinska 60, PL-41200 Sosnowiec, Poland; [Klimaszyk, Piotr] Adam Mickiewicz Univ, Fac Biol, Dept Water Protect, PL-61614 Poznan, Poland; [Lokas, Edyta] Polish Acad Sci, Inst Nucl Phys, Dept Mass Spectrometry, Krakow, Poland; [Ono, Masato] Chiba Univ, Grad Sch Sci &amp; Engn, Chiba, Japan; [Parnikoza, Ivan] Minist Educ &amp; Sci Ukraine, State Inst Natl Antarctic Ctr, Kiev, Ukraine; [Parnikoza, Ivan] Natl Acad Sci Ukraine, Inst Mol Biol &amp; Genet, Kiev, Ukraine; [Pietryka, Miroslawa; Richter, Dorota] Wroclaw Univ Environm &amp; Life Sci, Dept Bot &amp; Plant Ecol, Pl Grunwaldzki 24a, PL-50363 Wroclaw, Poland; [Poniecka, Ewa] Univ Warsaw, Fac Biol, Dept Environm Microbiol &amp; Biotechnol, Warsaw, Poland; [Porazinska, Dorota L.] Univ Florida, Dept Entomol &amp; Nematol, Gainesville, FL 32611 USA; [Schmidt, Steven K.; Sommers, Pacifica] Univ Colorado, Ecol &amp; Evolutionary Biol Dept, Boulder, CO 80309 USA; [Stibal, Marek] Charles Univ Prague, Fac Sci, Dept Ecol, Prague, Czech Republic; [Rozwalak, Piotr; Szczucinski, Witold] Adam Mickiewicz Univ, Inst Geol, Geohazards Res Unit, Poznan, Poland; [Uetake, Jun] Hokkaido Univ, Field Res Ctr Northern Biosphere, Sapporo, Hokkaido, Japan; [Wejnerowski, Lukasz] Adam Mickiewicz Univ, Fac Biol, Dept Hydrobiol, Poznan, Poland; [Yde, Jacob C.] Western Norway Univ Appl Sci, Dept Environm Sci, Sogndal, Norway; [Takeuchi, Nozomu] Chiba Univ, Grad Sch Sci, Dept Earth Sci, Chiba, Japan</t>
  </si>
  <si>
    <t>Adam Mickiewicz University; Adam Mickiewicz University; Adam Mickiewicz University; University of Milan; University of Milan; University of Milano-Bicocca; Aarhus University; Consiglio Nazionale delle Ricerche (CNR); Istituto di Scienze Polari (ISP-CNR); Universite Savoie Mont Blanc; Communaute Universite Grenoble Alpes; Universite Grenoble Alpes (UGA); Centre National de la Recherche Scientifique (CNRS); University of Silesia in Katowice; Adam Mickiewicz University; Polish Academy of Sciences; Institute of Nuclear Physics - Polish Academy of Sciences; Chiba University; Ministry of Education &amp; Science of Ukraine; State Institution National Antarctic Scientific Center; National Academy of Sciences Ukraine; Institute of Molecular Biology &amp; Genetics of NASU; Wroclaw University of Environmental &amp; Life Sciences; University of Warsaw; State University System of Florida; University of Florida; University of Colorado System; University of Colorado Boulder; Charles University Prague; Adam Mickiewicz University; Hokkaido University; Adam Mickiewicz University; Western Norway University of Applied Sciences; Chiba University</t>
  </si>
  <si>
    <t>Zawierucha, K (corresponding author), Adam Mickiewicz Univ, Fac Biol, Dept Anim Taxon &amp; Ecol, Poznan, Poland.</t>
  </si>
  <si>
    <t>k.p.zawierucha@gmail.com</t>
  </si>
  <si>
    <t>Stibal, Marek/I-3852-2016; Parnikoza, Ivan/I-2398-2016; Szczuciński, Witold/A-3612-2008; Zawierucha, Krzysztof/HTP-6506-2023; Buda, Jakub/ABE-5873-2021; Niedzielski, Przemyslaw/A-6316-2009; Łokas, Edyta/AAM-4119-2021; Azzoni, Roberto Sergio/J-7751-2015; Baccolo, Giovanni/J-9543-2019; Zawierucha, Krzysztof/HDN-5985-2022; Takeuchi, Nozomu/Q-7869-2016; Ambrosini, Roberto/F-3188-2012; Podkowa, Paweł/Y-1121-2018; Richter, Dorota/S-8850-2016; SCHMIDT, STEVEN K/G-2771-2010</t>
  </si>
  <si>
    <t>Szczuciński, Witold/0000-0003-2466-2263; Niedzielski, Przemyslaw/0000-0002-2787-9057; Łokas, Edyta/0000-0001-9996-6523; Azzoni, Roberto Sergio/0000-0002-5931-486X; Baccolo, Giovanni/0000-0002-1246-8968; Zawierucha, Krzysztof/0000-0002-0754-1411; Takeuchi, Nozomu/0000-0002-3267-5534; Ambrosini, Roberto/0000-0002-7148-1468; Podkowa, Paweł/0000-0001-8148-9968; Richter, Dorota/0000-0003-3024-9766; Souza-Kasprzyk, Juliana/0000-0003-2307-8006; Poniecka, Ewa/0000-0002-0772-8630; Ignatiuk, Dariusz/0000-0002-2947-474X; Ono, Masato/0000-0001-6706-2167; SCHMIDT, STEVEN K/0000-0002-9175-2085; Klimaszyk, Piotr/0000-0003-2847-1106; Di Mauro, Biagio/0000-0002-8161-3962</t>
  </si>
  <si>
    <t>JSPS KAKENHI [19H01143, 20K21840]; Arctic Challenge for Sustainability II (ArCS II) [JPMXD1420318865]; OPUS NCN [2018/31/B/NZ8/00198]; Polish Ministry of Science and Higher Education [0005/DIA/2019/48]; National Science Foundation [1443578]; Norwegian Research Council [302458]; European Research Council under the European Community [772284, 2018/31/B/ST10/03057, 03/KNOW2/2014]; Grants-in-Aid for Scientific Research [20K21840] Funding Source: KAKEN</t>
  </si>
  <si>
    <t>JSPS KAKENHI(Ministry of Education, Culture, Sports, Science and Technology, Japan (MEXT)Japan Society for the Promotion of ScienceGrants-in-Aid for Scientific Research (KAKENHI)); Arctic Challenge for Sustainability II (ArCS II); OPUS NCN; Polish Ministry of Science and Higher Education(Ministry of Science and Higher Education, Poland); National Science Foundation(National Science Foundation (NSF)); Norwegian Research Council(Research Council of Norway); European Research Council under the European Community(European Research Council (ERC)); Grants-in-Aid for Scientific Research(Ministry of Education, Culture, Sports, Science and Technology, Japan (MEXT)Japan Society for the Promotion of ScienceGrants-in-Aid for Scientific Research (KAKENHI))</t>
  </si>
  <si>
    <t>Samples from the Blaisen glacier were collected within the Grant [ETANGO] awarded by INTERACT Transnational Access to K.Z. Studies on microbial communities in cryoconite on Central Asian glaciers were supported by the funds from JSPS KAKENHI (19H01143 and 20K21840), and from the Arctic Challenge for Sustainability II (ArCS II), Program Grant Number JPMXD1420318865 for N.T. Analysis of organic matter in cryoconite on Forni Glacier and Longyear Glacier and control of animals over cryoconite have been conducted within grant OPUS NCN 2018/31/B/NZ8/00198 to K.Z. The collection of samples from the Alps was supported by the Polish Ministry of Science and Higher Education as research project under Diamond Grant 0005/DIA/2019/48. Work on glaciers from the McMurdo Dry Valleys of Antarctica was supported by the National Science Foundation Award #1443578. Studies at Austerdalsbreen were supported by the Norwegian Research Council grant no. 302458 to J.C.Y. GFF was funded by the European Research Council under the European Community's Horizon 2020 Programme, Grant Agreement no. 772284 (IceCommunities). E.L. analysed organic matter from central Asian glaciers and Arctic glaciers within 2018/31/B/ST10/03057. The samples from the Ecology Glacier were collected and transported thanks to the logistic support of Henryk Arctowski Polish Antarctic Station. The sampling on Ecology Glacierwas initiated by the seminar, `The role of cryoconite in the functioning of glacial systems' supported by the Centre for Polar Studies, courtesy of Jacek Jania, Mariusz Grabiec and Tomasz Budzik (the Leading National Research Centre in Earth Sciences for 2014-2018 No. 03/KNOW2/2014). K.Z. is grateful to Ela Wiejaczka for her support in gaining permission and access to samples fromAfrica, Ula Fuglewicz and Albert Koscinski for collection of samples from Africa and the Caucasus, Mariusz Wierzgon for collection of samples from Ecology Glacier. E.P. thanks to Alexandre Anesio who kindly provided samples from Storglaciaren. All of the samples were properly collected under the permission of local organizations or governments.</t>
  </si>
  <si>
    <t>FEB 10</t>
  </si>
  <si>
    <t>10.1016/j.scitotenv.2021.150874</t>
  </si>
  <si>
    <t>WM5YV</t>
  </si>
  <si>
    <t>WOS:000711161700012</t>
  </si>
  <si>
    <t>García, R; Hospitaleche, CA; Márquez, G</t>
  </si>
  <si>
    <t>Garcia, Renato; Acosta Hospitaleche, Carolina; Marquez, Gonzalo</t>
  </si>
  <si>
    <t>Biodeterioration of Antarctic fossil penguin bones caused by lichens from the Eocene La Meseta Formation</t>
  </si>
  <si>
    <t>Taphonomy; Weathering; Traces; Fossil penguins; Bones; Endolithic</t>
  </si>
  <si>
    <t>MICROORGANISMS; LIMESTONE; ROCK; ENCRUSTATIONS; BIOEROSION; STONE</t>
  </si>
  <si>
    <t>A large part of the Antarctic surface is covered by lichens since they can withstand extreme environmental conditions. Lichens are primary colonizers and contribute to soil formation by deteriorating rocks through a combination of chemical and physical mechanisms. Therefore, fossil remains found exposed on the surface are usually colonized by epilithic and endolithic lichens. The objective of this work is to determine the biodeterioration generated by lichens on fossil remains and its taphonomic implications. We identified the presence of the euendolithic lichens Lecidea andersonii and Athallia holocarpa growing into fossil penguin bones from Antarctica. The bioerosive damage was evaluated using light and electron microscopic techniques. Pits corresponding to apothecium and sinuous thin fissures remodeled, or in some cases produced, by hyphae were distinguished from the cracks originating from physical weathering. The maximum depth that hyphae extend inside the bone, probably constrained by the light supply, was established to be 2.5 mm. We provided a tool for the reconstruction of the chronology of the taphonomic events, describing the type and magnitude of the damage into the bones.</t>
  </si>
  <si>
    <t>[Garcia, Renato] Univ Nacl Avellaneda, Lab Biodiversidad &amp; Genet Ambiental, CONICET, Mario Bravo 1460, RA-1870 Pineyro, DF, Argentina; [Acosta Hospitaleche, Carolina] Univ Nacl La Plata, CONICET, Fac Ciencias Nat &amp; Museo, Div Paleontol Vertebrados,Museo La Plata, Paseo Bosque S-N,B1900FWA, La Plata, Argentina; [Marquez, Gonzalo] Univ Nacl La Plata, Catedra Palinol, Fac Ciencias Nat &amp; Museo, Paseo Bosque S-N, RA-1900 La Plata, Argentina</t>
  </si>
  <si>
    <t>Consejo Nacional de Investigaciones Cientificas y Tecnicas (CONICET); Consejo Nacional de Investigaciones Cientificas y Tecnicas (CONICET); National University of La Plata; Museo La Plata; National University of La Plata; Museo La Plata</t>
  </si>
  <si>
    <t>García, R (corresponding author), Univ Nacl Avellaneda, Lab Biodiversidad &amp; Genet Ambiental, CONICET, Mario Bravo 1460, RA-1870 Pineyro, DF, Argentina.</t>
  </si>
  <si>
    <t>ragarcia@undav.edu.ar; acostacaro@fcnym.unlp.edu.ar; cosme@fcnym.unlp.edu.ar</t>
  </si>
  <si>
    <t>Acosta Hospitaleche, Carolina/E-5740-2017</t>
  </si>
  <si>
    <t>Acosta Hospitaleche, Carolina/0000-0002-2614-1448; Garcia, Renato/0000-0002-6040-2250; Marquez, Gonzalo/0000-0001-7378-836X</t>
  </si>
  <si>
    <t>ANPCyT [PICT 2017-0043, UNLP N955]</t>
  </si>
  <si>
    <t>ANPCyT(ANPCyT)</t>
  </si>
  <si>
    <t>This work was partially supported by grants from ANPCyT, PICT 2017-0043 (GJM) and UNLP N955 (CAH).</t>
  </si>
  <si>
    <t>10.1007/s00300-021-02957-7</t>
  </si>
  <si>
    <t>WOS:000710332400001</t>
  </si>
  <si>
    <t>Bates, AE; Primack, RB; Biggar, BS; Bird, TJ; Clinton, ME; Command, RJ; Richards, C; Shellard, M; Geraldi, NR; Vergara, V; Acevedo-Charry, O; Colón-Piñeiro, Z; Ocampo, D; Ocampo-Peñuela, N; Sánchez-Clavijo, LM; Adamescu, CM; Cheval, S; Racoviceanu, T; Adams, MD; Kalisa, E; Kuuire, VZ; Aditya, V; Anderwald, P; Wiesmann, S; Wipf, S; Badihi, G; Henderson, MG; Loetscher, H; Baerenfaller, K; Benedetti-Cecchi, L; Bulleri, F; Bertocci, I; Maggi, E; Rindi, L; Ravaglioli, C; Boerder, K; Bonnel, J; Mathias, D; Archambault, P; Chauvaud, L; Braun, CD; Thorrold, SR; Brownscombe, JW; Midwood, JD; Boston, CM; Brooks, JL; Cooke, SJ; China, V; Roll, U; Belmaker, J; Zvuloni, A; Coll, M; Ortega, M; Connors, B; Lacko, L; Jayathilake, DRM; Costello, MJ; Crimmins, TM; Barnett, L; Denny, EG; Gerst, KL; Marsh, RL; Posthumus, EE; Rodriguez, R; Rosemartin, A; Schaffer, SN; Switzer, JR; Wong, K; Cunningham, SJ; Sumasgutner, P; Amar, A; Thomson, RL; Stofberg, M; Hofmeyr, S; Suri, J; Stuart-Smith, RD; Day, PB; Edgar, GJ; Cooper, AT; De Leo, FC; Garner, G; Des Brisay, PG; Schrimpf, MB; Koper, N; Diamond, MS; Dwyer, RG; Baker, CJ; Franklin, CE; Efrat, R; Berger-Tal, O; Hatzofe, O; Eguíluz, VM; Rodríguez, JP; Fernández-Gracia, J; Elustondo, D; Calatayud, V; English, PA; Archer, SK; Dudas, SE; Haggarty, DR; Gallagher, AJ; Shea, BD; Shipley, ON; Gilby, B; Ballantyne, J; Olds, AD; Henderson, CJ; Schlacher, TA; Halliday, WD; Brown, NAW; Woods, MB; Balshine, S; Juanes, F; Rider, MJ; Albano, PS; Hammerschlag, N; Hays, GC; Esteban, N; Pan, YH; He, GJ; Tanaka, T; Hensel, MJS; Orth, RJ; Patrick, CJ; Hentati-Sundberg, J; Olsson, O; Hessing-Lewis, ML; Higgs, ND; Hindell, MA; McMahon, CR; Harcourt, R; Guinet, C; Hirsch, SE; Perrault, JR; Hoover, SR; Reilly, JD; Hobaiter, C; Gruber, T; Huveneers, C; Udyawer, V; Clarke, TM; Kroesen, LP; Hik, DS; Cherry, SG; Belluz, JAD; Jackson, JM; Lai, SJ; Lamb, CT; LeClair, GD; Parmelee, JR; Chatfield, MWH; Frederick, CA; Lee, S; Park, H; Choi, J; LeTourneux, F; Grandmont, T; De Broin, FD; Bêty, J; Gauthier, G; Legagneux, P; Lewis, JS; Haight, J; Liu, Z; Lyon, JP; Hale, R; D'Silva, D; MacGregor-Fors, I; Arbeláez-Cortés, E; Estela, FA; Sánchez-Sarria, CE; García-Arroyo, M; Aguirre-Samboní, GK; Morales, JCF; Malamud, S; Gavriel, T; Buba, Y; Salingré, S; Lazarus, M; Yahel, R; Ben Ari, Y; Miller, E; Sade, R; Lavian, G; Birman, Z; Gury, M; Baz, H; Baskin, I; Penn, A; Dolev, A; Licht, O; Karkom, T; Davidzon, S; Berkovitch, A; Yaakov, O; Manenti, R; Mori, E; Ficetola, GF; Lunghi, E; March, D; Godley, BJ; Martin, C; Mihaly, SF; Barclay, DR; Thomson, DJM; Dewey, R; Bedard, J; Miller, A; Dearden, A; Chapman, J; Dares, L; Borden, L; Gibbs, D; Schultz, J; Sergeenko, N; Francis, F; Weltman, A; Moity, N; Ramírez-González, J; Mucientes, G; Alonso-Fernández, A; Namir, I; Bar-Massada, A; Chen, R; Yedvab, S; Okey, TA; Oppel, S; Arkumarev, V; Bakari, S; Dobrev, V; Saravia-Mullin, V; Bounas, A; Dobrev, D; Kret, E; Mengistu, S; Pourchier, C; Ruffo, A; Tesfaye, M; Wondafrash, M; Nikolov, SC; Palmer, C; Sileci, L; Rex, PT; Lowe, CG; Peters, F; Pine, MK; Radford, CA; Wilson, L; McWhinnie, L; Scuderi, A; Jeffs, AG; Prudic, KL; Larrivée, M; McFarland, KP; Solis, R; Hutchinson, RA; Queiroz, N; Furtado, MA; Sims, DW; Southall, E; Quesada-Rodriguez, CA; Diaz-Orozco, JP; Rodgers, KS; Severino, SJL; Graham, AT; Stefanak, MP; Madin, EMP; Ryan, PG; Maclean, K; Weideman, EA; Kittelberger, KD; Kusak, J; Seminoff, JA; Hanna, ME; Shimada, T; Meekan, MG; Smith, MKS; Mokhatla, MM; Soh, MCK; Pang, RYT; Ng, BXK; Benjamin, PYHL; Loo, AHB; Er, KBH; Souza, GBG; Stallings, CD; Curtis, JS; Faletti, ME; Peake, JA; Schram, MJ; Wall, KR; Terry, C; Rothendler, M; Zipf, L; Ulloa, JS; Hernández-Palma, A; Gómez-Valencia, B; Cruz-Rodríguez, C; Herrera-Varón, Y; Roa, M; Rodríguez-Buriticá, S; Ochoa-Quintero, JM; Vardi, R; Vázquez, V; Requena-Mesa, C; Warrington, MH; Taylor, ME; Woodall, LC; Stefanoudis, PV; Zhang, XL; Yang, Q; Zukerman, Y; Sigal, Z; Ayali, A; Clua, EEG; Carzon, P; Seguine, C; Corradini, A; Pedrotti, L; Foley, CM; Gagnon, CA; Panipakoochoo, E; Milanes, CB; Botero, CM; Velázquez, YR; Milchakova, NA; Morley, SA; Martin, SM; Nanni, V; Otero, T; Wakeling, J; Abarro, S; Piou, C; Sobral, AFL; Soto, EH; Weigel, EG; Bernal-Ibáñez, A; Gestoso, I; Cacabelos, E; Cagnacci, F; Devassy, RP; Loretto, MC; Moraga, P; Rutz, C; Duarte, CM</t>
  </si>
  <si>
    <t>Bates, Amanda E.; Primack, Richard B.; Biggar, Brandy S.; Bird, Tomas J.; Clinton, Mary E.; Command, Rylan J.; Richards, Cerren; Shellard, Marc; Geraldi, Nathan R.; Vergara, Valeria; Acevedo-Charry, Orlando; Colon-Pineiro, Zuania; Ocampo, David; Ocampo-Penuela, Natalia; Sanchez-Clavijo, Lina M.; Adamescu, Cristian M.; Cheval, Sorin; Racoviceanu, Tudor; Adams, Matthew D.; Kalisa, Egide; Kuuire, Vincent Z.; Aditya, Vikram; Anderwald, Pia; Wiesmann, Samuel; Wipf, Sonja; Badihi, Gal; Henderson, Matthew G.; Loetscher, Hanspeter; Baerenfaller, Katja; Benedetti-Cecchi, Lisandro; Bulleri, Fabio; Bertocci, Iacopo; Maggi, Elena; Rindi, Luca; Ravaglioli, Chiara; Boerder, Kristina; Bonnel, Julien; Mathias, Delphine; Archambault, Philippe; Chauvaud, Laurent; Braun, Camrin D.; Thorrold, Simon R.; Brownscombe, Jacob W.; Midwood, Jonathan D.; Boston, Christine M.; Brooks, Jill L.; Cooke, Steven J.; China, Victor; Roll, Uri; Belmaker, Jonathan; Zvuloni, Assaf; Coll, Marta; Ortega, Miquel; Connors, Brendan; Lacko, Lisa; Jayathilake, Dinusha R. M.; Costello, Mark J.; Crimmins, Theresa M.; Barnett, LoriAnne; Denny, Ellen G.; Gerst, Katharine L.; Marsh, R. L.; Posthumus, Erin E.; Rodriguez, Reilly; Rosemartin, Alyssa; Schaffer, Sara N.; Switzer, Jeff R.; Wong, Kevin; Cunningham, Susan J.; Sumasgutner, Petra; Amar, Arjun; Thomson, Robert L.; Stofberg, Miqkayla; Hofmeyr, Sally; Suri, Jessleena; Stuart-Smith, Rick D.; Day, Paul B.; Edgar, Graham J.; Cooper, Antonia T.; De Leo, Fabio Cabrera; Garner, Grant; Des Brisay, Paulson G.; Schrimpf, Michael B.; Koper, Nicola; Diamond, Michael S.; Dwyer, Ross G.; Baker, Cameron J.; Franklin, Craig E.; Efrat, Ron; Berger-Tal, Oded; Hatzofe, Ohad; Eguiluz, Victor M.; Rodriguez, Jorge P.; Fernandez-Gracia, Juan; Elustondo, David; Calatayud, Vicent; English, Philina A.; Archer, Stephanie K.; Dudas, Sarah E.; Haggarty, Dana R.; Gallagher, Austin J.; Shea, Brendan D.; Shipley, Oliver N.; Gilby, Ben L.; Ballantyne, Jasmine; Olds, Andrew D.; Henderson, Christopher J.; Schlacher, Thomas A.; Halliday, William D.; Brown, Nicholas A. W.; Woods, Mackenzie B.; Balshine, Sigal; Juanes, Francis; Rider, Mitchell J.; Albano, Patricia S.; Hammerschlag, Neil; Hays, Graeme C.; Esteban, Nicole; Pan, Yuhang; He, Guojun; Tanaka, Takanao; Hensel, Marc J. S.; Orth, Robert J.; Patrick, Christopher J.; Hentati-Sundberg, Jonas; Olsson, Olof; Hessing-Lewis, Margot L.; Higgs, Nicholas D.; Hindell, Mark A.; McMahon, Clive R.; Harcourt, Rob; Guinet, Christophe; Hirsch, Sarah E.; Perrault, Justin R.; Hoover, Shelby R.; Reilly, Jennifer D.; Hobaiter, Catherine; Gruber, Thibaud; Huveneers, Charlie; Udyawer, Vinay; Clarke, Thomas M.; Kroesen, Laura P.; Hik, David S.; Cherry, Seth G.; Belluz, Justin A. Del Bel; Jackson, Jennifer M.; Lai, Shengjie; Lamb, Clayton T.; LeClair, Gregory D.; Parmelee, Jeffrey R.; Chatfield, Matthew W. H.; Frederick, Cheryl A.; Lee, Sangdon; Park, Hyomin; Choi, Jaein; LeTourneux, Frederic; Grandmont, Thierry; De Broin, Frederic Dulude; Bety, Joel; Gauthier, Gilles; Legagneux, Pierre; Lewis, Jesse S.; Haight, Jeffrey; Liu, Zhu; Lyon, Jarod P.; Hale, Robin; D'Silva, Dallas; MacGregor-Fors, Ian; Arbelaez-Cortes, Enrique; Estela, Felipe A.; Sanchez-Sarria, Camilo E.; Garcia-Arroyo, Michelle; Aguirre-Samboni, Giann K.; Morales, Juan C. Franco; Malamud, Shahar; Gavriel, Tal; Buba, Yehezkel; Salingre, Shira; Lazarus, Mai; Yahel, Ruthy; Ben Ari, Yigael; Miller, Eyal; Sade, Rotem; Lavian, Guy; Birman, Ziv; Gury, Manor; Baz, Harel; Baskin, Ilia; Penn, Alon; Dolev, Amit; Licht, Ogen; Karkom, Tabi; Davidzon, Sharon; Berkovitch, Avi; Yaakov, Ofer; Manenti, Raoul; Mori, Emiliano; Ficetola, Gentile Francesco; Lunghi, Enrico; March, David; Godley, Brendan J.; Martin, Cecilia; Mihaly, Steven F.; Barclay, David R.; Thomson, Dugald J. M.; Dewey, Richard; Bedard, Jeannette; Miller, Aroha; Dearden, Amber; Chapman, Jennifer; Dares, Lauren; Borden, Laura; Gibbs, Donna; Schultz, Jessica; Sergeenko, Nikita; Francis, Fiona; Weltman, Amanda; Moity, Nicolas; Ramirez-Gonzalez, Jorge; Mucientes, Gonzalo; Alonso-Fernandez, Alexandre; Namir, Itai; Bar-Massada, Avi; Chen, Ron; Yedvab, Shmulik; Okey, Thomas A.; Oppel, Steffen; Arkumarev, Volen; Bakari, Samuel; Dobrev, Vladimir; Saravia-Mullin, Victoria; Bounas, Anastasios; Dobrev, Dobromir; Kret, Elzbieta; Mengistu, Solomon; Pourchier, Cloe; Ruffo, Alazar; Tesfaye, Million; Wondafrash, Mengistu; Nikolov, Stoyan C.; Palmer, Charles; Sileci, Lorenzo; Rex, Patrick T.; Lowe, Christopher G.; Peters, Francesc; Pine, Matthew K.; Radford, Craig A.; Wilson, Louise; McWhinnie, Lauren; Scuderi, Alessia; Jeffs, Andrew G.; Prudic, Kathleen L.; Larrivee, Maxim; McFarland, Kent P.; Solis, Rodrigo; Hutchinson, Rebecca A.; Queiroz, Nuno; Furtado, Miguel A.; Sims, David W.; Southall, Emily; Quesada-Rodriguez, Claudio A.; Diaz-Orozco, Jessica P.; Rodgers, Ku'ulei S.; Severino, Sarah J. L.; Graham, Andrew T.; Stefanak, Matthew P.; Madin, Elizabeth M. P.; Ryan, Peter G.; Maclean, Kyle; Weideman, Eleanor A.; Kittelberger, Kyle D.; Kusak, Josip; Seminoff, Jeffrey A.; Hanna, Megan E.; Shimada, Takahiro; Meekan, Mark G.; Smith, Martin K. S.; Mokhatla, Mohlamatsane M.; Soh, Malcolm C. K.; Pang, Roanna Y. T.; Ng, Breyl X. K.; Benjamin, P. Y-H Lee; Loo, Adrian H. B.; Er, Kenneth B. H.; Souza, Gabriel B. G.; Stallings, Christopher D.; Curtis, Joseph S.; Faletti, Meaghan E.; Peake, Jonathan A.; Schram, Michael J.; Wall, Kara R.; Terry, Carina; Rothendler, Matt; Zipf, Lucy; Ulloa, Juan Sebastian; Hernandez-Palma, Angelica; Gomez-Valencia, Bibiana; Cruz-Rodriguez, Cristian; Herrera-Varon, Yenifer; Roa, Margarita; Rodriguez-Buritica, Susana; Ochoa-Quintero, Jose Manuel; Vardi, Reut; Vazquez, Victor; Requena-Mesa, Christian; Warrington, Miyako H.; Taylor, Michelle E.; Woodall, Lucy C.; Stefanoudis, Paris, V; Zhang, Xiangliang; Yang, Qiang; Zukerman, Yuval; Sigal, Zehava; Ayali, Amir; Clua, Eric E. G.; Carzon, Pamela; Seguine, Clementine; Corradini, Andrea; Pedrotti, Luca; Foley, Catherine M.; Gagnon, Catherine Alexandra; Panipakoochoo, Elijah; Milanes, Celene B.; Botero, Camilo M.; Velazquez, Yunior R.; Milchakova, Nataliya A.; Morley, Simon A.; Martin, Stephanie M.; Nanni, Veronica; Otero, Tanya; Wakeling, Julia; Abarro, Sarah; Piou, Cyril; Sobral, Ana F. L.; Soto, Eulogio H.; Weigel, Emily G.; Bernal-Ibanez, Alejandro; Gestoso, Ignacio; Cacabelos, Eva; Cagnacci, Francesca; Devassy, Reny P.; Loretto, Matthias-Claudio; Moraga, Paula; Rutz, Christian; Duarte, Carlos M.</t>
  </si>
  <si>
    <t>Global COVID-19 lockdown highlights humans as both threats and custodians of the environment</t>
  </si>
  <si>
    <t>BIOLOGICAL CONSERVATION</t>
  </si>
  <si>
    <t>Pandemic; Biodiversity; Restoration; Global monitoring</t>
  </si>
  <si>
    <t>IMPACT</t>
  </si>
  <si>
    <t>The global lockdown to mitigate COVID-19 pandemic health risks has altered human interactions with nature. Here, we report immediate impacts of changes in human activities on wildlife and environmental threats during the early lockdown months of 2020, based on 877 qualitative reports and 332 quantitative assessments from 89 different studies. Hundreds of reports of unusual species observations from around the world suggest that animals quickly responded to the reductions in human presence. However, negative effects of lockdown on conservation also emerged, as confinement resulted in some park officials being unable to perform conservation, restoration and enforcement tasks, resulting in local increases in illegal activities such as hunting. Overall, there is a complex mixture of positive and negative effects of the pandemic lockdown on nature, all of which have the potential to lead to cascading responses which in turn impact wildlife and nature conservation. While the net effect of the lockdown will need to be assessed over years as data becomes available and persistent effects emerge, immediate responses were detected across the world. Thus, initial qualitative and quantitative data arising from this serendipitous global quasi-experimental perturbation highlights the dual role that humans play in threatening and protecting species and ecosystems. Pathways to favorably tilt this delicate balance include reducing impacts and increasing conservation effectiveness.</t>
  </si>
  <si>
    <t>[Bates, Amanda E.; Biggar, Brandy S.; Clinton, Mary E.; Richards, Cerren] Mem Univ Newfoundland, Dept Ocean Sci, 0 Marine Lab Rd, St John, NF A1K 3E6, Canada; [Primack, Richard B.; Terry, Carina; Rothendler, Matt; Zipf, Lucy] Boston Univ, Biol Dept, 881 Commonwealth Ave, Boston, MA 02215 USA; [Bird, Tomas J.] Northwest Atlantic Fisheries Ctr, 80 E White Hills Rd, St John, NF A1A 5J7, Canada; [Command, Rylan J.] Mem Univ Newfoundland, Sch Ocean Technol, Fisheries &amp; Marine Inst, 155 Ridge Rd, St John, NF A1C 5R3, Canada; [Shellard, Marc; Geraldi, Nathan R.; Martin, Cecilia; Devassy, Reny P.; Duarte, Carlos M.] King Abdullah Univ Sci &amp; Technol, Red Sea Res Ctr, Thuwal 23955, Saudi Arabia; [Shellard, Marc; Geraldi, Nathan R.; Martin, Cecilia; Duarte, Carlos M.] King Abdullah Univ Sci &amp; Technol, Computat Biosci Res Ctr, Thuwal 23955, Saudi Arabia; [Vergara, Valeria; Miller, Aroha; Dearden, Amber; Chapman, Jennifer; Dares, Lauren; Borden, Laura; Gibbs, Donna; Schultz, Jessica; Sergeenko, Nikita; Francis, Fiona; Weltman, Amanda; Wakeling, Julia] Ocean Wise Conservat Assoc, 845 Avison Way, Vancouver, BC V6B 3X8, Canada; [Acevedo-Charry, Orlando; Ocampo, David] Inst Invest Recursos Biol Alexander von Humboldt, Villa De Leyva, Boyaca, Colombia; [Colon-Pineiro, Zuania] Univ Florida, Dept Biol, Gainesville, FL 32611 USA; [Ocampo-Penuela, Natalia; Sanchez-Clavijo, Lina M.; Ulloa, Juan Sebastian; Hernandez-Palma, Angelica; Gomez-Valencia, Bibiana; Cruz-Rodriguez, Cristian; Herrera-Varon, Yenifer; Roa, Margarita; Rodriguez-Buritica, Susana; Ochoa-Quintero, Jose Manuel] Inst Invest Recursos Biol Alexander von Humboldt, Ave Paseo Bolivar 16-20, Bogota, DC, Colombia; [Adamescu, Cristian M.; Racoviceanu, Tudor] Univ Bucharest, Res Ctr Syst Ecol &amp; Sustainabil, Bucharest 050095, Romania; [Cheval, Sorin] Natl Meteorol Adm, Bucharest 013686, Romania; [Adams, Matthew D.; Kalisa, Egide; Kuuire, Vincent Z.] Univ Toronto, Dept Geog Geomat &amp; Environm, 3359 Mississauga Rd, Mississauga, ON L5L 1C6, Canada; [Aditya, Vikram] Ashoka Trust Res Ecol &amp; Environm, Bengaluru 560064, Karnataka, India; [Anderwald, Pia; Wiesmann, Samuel; Wipf, Sonja] Swiss Natl Pk, Runatsch 12, CH-7530 Zernez, Switzerland; [Badihi, Gal; Henderson, Matthew G.; Hobaiter, Catherine] Univ St Andrews, Sch Psychol, Origins Mind, St Andrews KY16 9JP, KY, Scotland; [Loetscher, Hanspeter] Off Nat &amp; Environm Grisons, Ringstr 10, CH-7001 Chur, Switzerland; [Baerenfaller, Katja] Univ Zurich, Swiss Inst Allergy &amp; Asthma Res SIAF, CH-7265 Davos, Switzerland; [Baerenfaller, Katja] Swiss Inst Bioinformat SIB, CH-7265 Davos, Switzerland; [Benedetti-Cecchi, Lisandro; Bulleri, Fabio; Bertocci, Iacopo; Maggi, Elena; Rindi, Luca; Ravaglioli, Chiara] Univ Pisa, Dept Biol, Via Derna 1, I-56126 Pisa, Italy; [Boerder, Kristina] Dalhousie Univ, Biol Dept, 1355 Oxford St, Halifax, NS B3H 4J1, Canada; [Bonnel, Julien] Woods Hole Oceanog Inst, Appl Ocean Phys &amp; Engn Dept, Woods Hole, MA 02543 USA; [Mathias, Delphine] Soc Observat Multimodale Environm, 115 Rue Claude Chappe, F-29280 Plouzan, France; [Archambault, Philippe] Univ Laval, Quebec Ocean, Dept Biol, ArcticNet, 2325 Rue Univ, Quebec City, PQ G1V 0A6, Canada; [Chauvaud, Laurent] UBO, Lab Sci Environm Marin LEMAR, UMR 6539 CNRS, IRD,Ifremer,Inst Univ Europeen Mer IUEM,LIA BeBES, Rue Dumt DUrville, F-29280 Plouzane, France; [Braun, Camrin D.; Thorrold, Simon R.] Woods Hole Oceanog Inst, Biol Dept, Woods Hole, MA 02543 USA; [Brownscombe, Jacob W.; Midwood, Jonathan D.; Boston, Christine M.] Fisheries &amp; Oceans Canada, Great Lakes Lab Fisheries &amp; Aquat Sci, 867 Lakeshore Rd, Burlington, ON L7S 1A1, Canada; [Brooks, Jill L.; Cooke, Steven J.] Carleton Univ, Dept Biol, Fish Ecol &amp; Conservat Physiol Lab, 1125 Colonel By Dr, Ottawa, ON K1S 5B6, Canada; [China, Victor; Roll, Uri; Efrat, Ron; Berger-Tal, Oded; Zukerman, Yuval] Ben Gurion Univ Negev, Jacob Blaustein Inst Desert Res, Mitrani Dept Desert Ecol, Midreshet Ben Gurion, Israel; [Belmaker, Jonathan; Malamud, Shahar; Gavriel, Tal; Buba, Yehezkel; Salingre, Shira; Lazarus, Mai; Namir, Itai] Tel Aviv Univ, Fac Life Sci, Sch Zool, POB 39040, IL-6997801 Tel Aviv, Israel; [Zvuloni, Assaf; Yahel, Ruthy; Ben Ari, Yigael; Miller, Eyal; Sade, Rotem; Lavian, Guy; Birman, Ziv; Gury, Manor; Baz, Harel; Baskin, Ilia; Penn, Alon; Dolev, Amit; Licht, Ogen; Karkom, Tabi; Davidzon, Sharon; Berkovitch, Avi; Yaakov, Ofer] Israel Nat &amp; Pk Author, VOlamo 3, IL-95463 Jerusalem, Israel; [Coll, Marta] Inst Marine Sci CSIC, Passeig Maritim Barceloneta 37-49, Barcelona 08003, Spain; [Coll, Marta] Ecopath Int Initiat EII, Barcelona 08003, Spain; [Ortega, Miquel] Fundacio ENT, Carrer Josep Llanza 1-7,2-3 Vilanova &amp; Geltru, Barcelona 08800, Spain; [Ortega, Miquel] Univ Autonoma Barcelona, Inst Ciencia &amp; Tecnol Ambiental, Bellaterra 08193, Cerdanyola Del, Spain; [Connors, Brendan; Lacko, Lisa] Fisheries &amp; Oceans Canada, Quantitat Assessment Methods Sect, Stock Assessment &amp; Res Div, 401 Burrard St,Suite 200, Vancouver, BC V6C 3L6, Canada; [Jayathilake, Dinusha R. M.] Univ Auckland, Sch Environm, Auckland 1142, New Zealand; [Costello, Mark J.] Nord Univ, Fac Biosci &amp; Aquaculture, N-1049 Bodo, Norway; [Crimmins, Theresa M.; Barnett, LoriAnne; Denny, Ellen G.; Gerst, Katharine L.; Marsh, R. L.; Posthumus, Erin E.; Rodriguez, Reilly; Rosemartin, Alyssa; Schaffer, Sara N.; Switzer, Jeff R.; Wong, Kevin] Univ Arizona, Sch Nat Resources &amp; Environm, USA Natl Phenol Network, 1200 E Univ Blvd, Tucson, AZ 85721 USA; [Cunningham, Susan J.; Amar, Arjun; Thomson, Robert L.; Stofberg, Miqkayla; Hofmeyr, Sally; Suri, Jessleena; Ryan, Peter G.; Maclean, Kyle; Weideman, Eleanor A.] Univ Cape Town, FitzPatrick Inst African Ornithol, ZA-7701 Rondebosch, South Africa; [Sumasgutner, Petra] Univ Vienna, Core Facil Konrad Lorenz Res Ctr Behav &amp; Cognit, Fischerau 11, A-4645 Grunau Im Almtal, Austria; [Stuart-Smith, Rick D.; Edgar, Graham J.; Cooper, Antonia T.] Univ Tasmania, Inst Marine &amp; Antarctic Studies, Hobart, Tas 7001, Australia; [Day, Paul B.] Carijoa Marine Environm Consulting, 29 Sydenham St, Perth, WA 6103, Australia; [De Leo, Fabio Cabrera; Mihaly, Steven F.; Dewey, Richard; Bedard, Jeannette] Univ Victoria, Ocean Networks Canada, Queenswood Campus,2474 Arbutus Rd, Victoria, BC V8N 1V8, Canada; [De Leo, Fabio Cabrera; Garner, Grant; Brown, Nicholas A. W.; Woods, Mackenzie B.; Juanes, Francis; Pine, Matthew K.] Univ Victoria, Dept Biol, 3800 Finnerty Rd, Victoria, BC V8P 5C2, Canada; [Des Brisay, Paulson G.] Environm &amp; Climate Change Canada, 150-123 Main St, Winnipeg, MB R3C 4W2, Canada; [Schrimpf, Michael B.; Koper, Nicola] Univ Manitoba, Nat Resources Inst, 66 Chancellors Cir, Winnipeg, MB R3T 2N2, Canada; [Diamond, Michael S.] Univ Washington, Dept Atmospher Sci, Seattle, WA 98195 USA; [Dwyer, Ross G.; Gilby, Ben L.; Ballantyne, Jasmine; Olds, Andrew D.; Henderson, Christopher J.; Schlacher, Thomas A.] Univ Sunshine Coast, Sch Sci &amp; Engn, Maroochydore, Qld 4558, Australia; [Baker, Cameron J.; Franklin, Craig E.] Univ Queensland, Sch Biol Sci, Brisbane, Qld 4072, Australia; [Hatzofe, Ohad; Sigal, Zehava] Israel Nat &amp; Pk Author, Sci Div, VOlamo 3, IL-95463 Jerusalem, Israel; [Eguiluz, Victor M.; Fernandez-Gracia, Juan] Inst Fis Interdisciplinar &amp; Sistemas Complejos IF, E-07122 Palma De Mallorca, Spain; [Rodriguez, Jorge P.] Inst Mediterraneo Estudios Avanzados IMEDEA CSIC, Esporles 07190, Spain; [Elustondo, David] Univ Navarra, Inst Biodiversidad &amp; Medioambiente BIOMA, Pamplona 31080, Spain; [Calatayud, Vicent] Fdn CEAM, C Charles R Darwin 14,Parque Tecnol, Valencia 46980, Spain; [English, Philina A.; Dudas, Sarah E.; Haggarty, Dana R.] Fisheries &amp; Oceans Canada, Pacific Biol Stn, 3190 Hammond Bay Rd, Nanaimo, BC V9T 6N7, Canada; [Archer, Stephanie K.] Louisiana Univ Marine Consortium, 8124 LA-56, Chauvin, LA 70344 USA; [Gallagher, Austin J.; Shea, Brendan D.; Shipley, Oliver N.] Beneath Waves, POB 126, Herndon, VA 20172 USA; [Halliday, William D.] Wildlife Conservat Soc Canada, POB 606,202 B Ave, Kaslo, BC V0G 1M0, Canada; [Balshine, Sigal] McMaster Univ, Dept Psychol Neurosci &amp; Behav, 1280 Main St W, Hamilton, ON L8S 4L8, Canada; [Rider, Mitchell J.; Albano, Patricia S.; Hammerschlag, Neil] Univ Miami, Rosenstiel Sch Marine &amp; Atmospher Sci, 1320 S Dixie Hwy, Coral Gables, FL 33146 USA; [Hays, Graeme C.] Deakin Univ, 75 Pigdons Rd, Geelong, Vic, Australia; [Esteban, Nicole] Swansea Univ, Dept Biosci, Swansea SA2 8PP, W Glam, Wales; [Pan, Yuhang; Tanaka, Takanao] Hong Kong Univ Sci &amp; Technol, Div Social Sci, Clear Water Bay, Hong Kong, Peoples R China; [He, Guojun] Hong Kong Univ Sci &amp; Technol, Div Environm &amp; Sustainabil, Clear Water Bay, Hong Kong, Peoples R China; [Hensel, Marc J. S.; Orth, Robert J.; Patrick, Christopher J.] Coll William &amp; Mary, Sadler Ctr, Virginia Inst Marine Sci, 200 Stadium Dr, Williamsburg, VA 23185 USA; [Hentati-Sundberg, Jonas] Swedish Univ Agr Sci, Dept Aquat Resources, Turistgatan 5, S-45330 Lysekil, Sweden; [Olsson, Olof] Stockholm Univ, Stockholm Resilience Ctr, SE-10691 Stockholm, Sweden; [Hessing-Lewis, Margot L.] Hakai Inst, Calvert Isl, BC V0P 1H0, Canada; [Higgs, Nicholas D.] Cape Eleuthera Isl Sch, Cape Eleuthera Inst, POB EL-26029, Rock Sound, Eleuthera, Bahamas; [Hindell, Mark A.] Univ Tasmania, Inst Marine &amp; Antarctic Studies, Hobart, Tas 7005, Australia; [McMahon, Clive R.] Sydney Inst Marine Sci, 19 Chowder Bay Rd, Mosman, NSW 2088, Australia; [Harcourt, Rob] Macquarie Univ, Dept Biol Sci, Balaclava Rd, Macquarie Pk, NSW 2109, Australia; [Guinet, Christophe; Legagneux, Pierre] La Rochelle Univ, Stn Ecol Chize, CNRS UMR7372, Ctr Etud Biol Chize, Villiers En Bois, France; [Hirsch, Sarah E.; Perrault, Justin R.; Hoover, Shelby R.; Reilly, Jennifer D.] Loggerhead Marinelife Ctr, 14200 US-1, Juno Beach, FL 33408 USA; [Gruber, Thibaud] Swiss Ctr Affect Sci, Fac Psychol &amp; Educ Sci, Chemin Mines 9, CH-1202 Geneva, Switzerland; [Huveneers, Charlie; Clarke, Thomas M.] Flinders Univ S Australia, Coll Sci &amp; Engn, Adelaide, SA 5042, Australia; [Udyawer, Vinay] Australian Inst Marine Sci, Arafura Timor Res Facil, Darwin, NT 0810, Australia; [Kroesen, Laura P.; Hik, David S.] Simon Fraser Univ, Dept Biol Sci, 8888 Univ Dr, Burnaby, BC V5A 1S6, Canada; [Cherry, Seth G.] Pk Canada Agcy, 5420 Highway 93, Radium Hot Springs, BC V0A 1M0, Canada; [Belluz, Justin A. Del Bel; Jackson, Jennifer M.] Hakai Inst, Victoria, BC V8W 1V8, Canada; [Lai, Shengjie] Univ Southampton, Sch Geog &amp; Environm Sci, WorldPop, Hartley Lib B12,Univ Rd, Southampton SO17 1BJ, Hants, England; [Lamb, Clayton T.] Univ British Columbia, Dept Biol, 3333 Univ Way, Kelowna, BC V1V 1V7, Canada; [LeClair, Gregory D.] Univ Maine, 168 Coll Ave, Orono, ME 04469 USA; [Parmelee, Jeffrey R.] Univ New England, Dept Biol, Biddeford, ME 04005 USA; [Chatfield, Matthew W. H.; Frederick, Cheryl A.] Ctr Wildlife Studies, North Yarmouth, ME 04097 USA; [Lee, Sangdon; Park, Hyomin; Choi, Jaein] Ewha Womans Univ, 52 Ewhayeodae Gil, Seoul, South Korea; [LeTourneux, Frederic; Grandmont, Thierry; De Broin, Frederic Dulude; Gauthier, Gilles; Legagneux, Pierre; Gagnon, Catherine Alexandra] Univ Laval, Dept Biol, Ctr Etud Nordiques, 2325 Rue Univ, Quebec City, PQ G1V 0A6, Canada; [Bety, Joel] Univ Quebec Rimouski, Ctr Etud Nordiques, Dept Biol, 300 Allee Ursulines, Rimouski, PQ G5L 3A1, Canada; [Lewis, Jesse S.] Arizona State Univ, Coll Integrat Sci &amp; Arts, Mesa, AZ 85212 USA; [Haight, Jeffrey] Arizona State Univ, Sch Life Sci, 1151 S Forest Ave, Tempe, AZ 85281 USA; [Liu, Zhu] Tsinghua Univ, Dept Earth Syst Sci, Beijing 100084, Peoples R China; [Lyon, Jarod P.; Hale, Robin] Arthur Rylah Inst Environm Res, Dept Environm Land Water &amp; Planning, Heidelberg, Vic, Australia; [D'Silva, Dallas] Victorian Fisheries Author, Heidelberg, Vic, Australia; [MacGregor-Fors, Ian; Garcia-Arroyo, Michelle] Univ Helsinki, Fac Biol &amp; Environm Sci, Ecosyst &amp; Environm Res Programme, Niemenkatu 73, FI-15140 Lahti, Finland; [Arbelaez-Cortes, Enrique] Univ Ind Santander, Escuela Biol, Grp Estudios Biodiversidad, Ciudad Univ Carrera 27 Calle 9, Santander, Colombia; [Estela, Felipe A.; Sanchez-Sarria, Camilo E.; Aguirre-Samboni, Giann K.] Pontificia Univ Javeriana Cali, Dept Ciencias Nat &amp; Matemat, Cl 18 118-250, Cali, Valle Del Cauca, Colombia; [Morales, Juan C. Franco] Univ Autanoma Occidente, Fac Ciencias Basicas, Calle 25,Via Cali Puerto Tejada 115-85 Km 2, Cali, Valle Del Cauca, Colombia; [Manenti, Raoul; Ficetola, Gentile Francesco] Univ Milan, Dipartimento Sci &amp; Polit Ambientali, Via Celoria 26, I-20133 Milan, Italy; [Mori, Emiliano] CNR, Ist Ric Ecosistemi Terr, Via Madonna del Piano 10, I-50019 Sesto Fiorentino, Italy; [Lunghi, Enrico] Chinese Acad Sci, Inst Zool, Key Lab Zool Systemat &amp; Evolut, Beichen West Rd 1, Beijing 100101, Peoples R China; [March, David; Godley, Brendan J.] Univ Exeter, Ctr Ecol &amp; Conservat, Penryn Campus, Penryn TR10 9FE, England; [Barclay, David R.; Thomson, Dugald J. M.] Dalhousie Univ, Dept Oceanog, 1355 Oxford St, Halifax, NS B4H 4R2, Canada; [Moity, Nicolas; Ramirez-Gonzalez, Jorge] Charles Darwin Fdn, Charles Darwin Res Stn, Av Charles Darwin, Santa Cruz, Galapagos, Ecuador; [Mucientes, Gonzalo; Alonso-Fernandez, Alexandre] Inst Invest Marinas IIM CSIC, Eduardo Cabello 6, Vigo 36208, Spain; [Bar-Massada, Avi] Univ Haifa, Dept Biol &amp; Environm, IL-36006 Tivon, Israel; [Chen, Ron] Tel Aviv Univ, Steinhardt Museum Nat Hist, Hamaarag, POB 39040, IL-6139001 Tel Aviv, Israel; [Yedvab, Shmulik] Soc Protect Nat Israel, Mammal Ctr, Tel Aviv, Israel; [Okey, Thomas A.] Univ Victoria, Sch Environm Studies, POB 1700 STN CSC, Victoria, BC V8W 2Y2, Canada; [Oppel, Steffen] Royal Soc Protect Birds, RSPB Ctr Conservat Sci, Cambridge, England; [Arkumarev, Volen; Dobrev, Vladimir; Dobrev, Dobromir; Nikolov, Stoyan C.] Bulgarian Soc Protect Birds, Sofia, Bulgaria; [Bakari, Samuel] Africa Partnership Secretariat, BirdLife Int, Nairobi, Kenya; [Saravia-Mullin, Victoria; Bounas, Anastasios] Hellen Ornithol Soc, Athens, Greece; [Kret, Elzbieta] WWF Greece, Athens, Greece; [Mengistu, Solomon; Wondafrash, Mengistu] Ethiopia Wildlife &amp; Nat Hist Soc, Addis Ababa, Ethiopia; [Mengistu, Solomon; Wondafrash, Mengistu] Dilla Univ, Nat &amp; Computat Sci, Dept Biol, POB 419, Dilla, Ethiopia; [Pourchier, Cloe] Sahara Conservat Fund, Niamey, Niger; [Ruffo, Alazar] Addis Ababa Univ, Fac Nat Sci, Dept Zool Sci, Addis Ababa, Ethiopia; [Tesfaye, Million] Hawassa Univ, Shashemene, Ethiopia; [Palmer, Charles; Sileci, Lorenzo] London Sch Econ &amp; Polit Sci, Dept Geog &amp; Environm, London, England; [Rex, Patrick T.; Lowe, Christopher G.] Calif State Univ Long Beach, Dept Biol Sci, Long Beach, CA 90840 USA; [Peters, Francesc] Inst Marine Sci CSIC, Pg Maritim Barceloneta 37-49, Barcelona 08003, Catalunya, Spain; [Radford, Craig A.; Wilson, Louise; Jeffs, Andrew G.] Univ Auckland, Inst Marine Sci, Auckland, New Zealand; [McWhinnie, Lauren] Heriot Watt Univ, Sch Energy Geosci Infrastruct &amp; Soc, Edinburgh, Midlothian, Scotland; [Scuderi, Alessia] Univ Cadiz, Marine &amp; Environm Sci Fac, Cadiz, Spain; [Prudic, Kathleen L.] Univ Arizona, Sch Nat Resources &amp; Environm, Tucson, AZ USA; [Larrivee, Maxim] Insectarium, Montreal Space Life, Montreal, PQ, Canada; [McFarland, Kent P.] Vermont Ctr Ecostudies, Norwich, VT USA; [Solis, Rodrigo] Simon Fraser Univ, Resource &amp; Environm Management, Burnaby, BC, Canada; [Hutchinson, Rebecca A.] Oregon State Univ, Sch Elect Engn &amp; Comp Sci, Corvallis, OR 97331 USA; [Queiroz, Nuno; Furtado, Miguel A.] Univ Porto, Ctr Invest Biodiversidade &amp; Recursos Genet, Res Network Biodivers &amp; Evolutionary Biol, Campus Agr Vairao, P-4485668 Vairao, Portugal; [Sims, David W.; Southall, Emily] Marine Biol Assoc UK, The Laboratory, Citadel Hill, Plymouth PL1 2PB, Devon, England; [Quesada-Rodriguez, Claudio A.; Diaz-Orozco, Jessica P.] Ecol Project Int, Pacuare Reserve, Limon, Costa Rica; [Rodgers, Ku'ulei S.; Severino, Sarah J. L.; Graham, Andrew T.; Stefanak, Matthew P.; Madin, Elizabeth M. P.; Foley, Catherine M.] Univ Hawaii Manoa, Hawaii Inst Marine Biol, Kaneohe, HI 96744 USA; [Kittelberger, Kyle D.] Univ Utah, Sch Biol Sci, 257 S 1400 E, Salt Lake City, UT 84112 USA; [Kusak, Josip] Univ Zagreb, Vet Fac, Dept Vet Biol, Zagreb, Croatia; [Seminoff, Jeffrey A.] NOAA, Natl Marine Fisheries Serv, 8901 La Jolla Shores Dr, La Jolla, CA 92037 USA; [Hanna, Megan E.] Scripps Inst Oceanog, 8622 Kennel Way, La Jolla, CA 92037 USA; [Shimada, Takahiro] King Abdullah Univ Sci &amp; Technol, Red Sea Res Ctr RSRC, Thuwal 239556900, Saudi Arabia; [Meekan, Mark G.] Univ Western Australia, Indian Ocean Marine Res Ctr M096, Australian Inst Marine Sci, 35 Stirling Highway, Crawley, WA 6009, Australia; [Smith, Martin K. S.; Mokhatla, Mohlamatsane M.] South African Natl Pk, Rondevlei Sci Serv, ZA-6570 Garden Route, South Africa; [Soh, Malcolm C. K.; Pang, Roanna Y. T.; Ng, Breyl X. K.; Benjamin, P. Y-H Lee; Loo, Adrian H. B.; Er, Kenneth B. H.] Natl Pk Board, Singapore Bot Gardens, 1 Cluny Rd, Singapore 259569, Singapore; [Souza, Gabriel B. G.] Univ Fed Rio de Janeiro, Postgrad Program Ecol, Av Pedro Calmon 550,Cidade Univ, BR-21941901 Rio De Janeiro, RJ, Brazil; [Stallings, Christopher D.; Curtis, Joseph S.; Faletti, Meaghan E.; Peake, Jonathan A.; Schram, Michael J.; Wall, Kara R.] Univ S Florida, Coll Marine Sci, St Petersburg, FL 33701 USA; [Vardi, Reut] Ben Gurion Univ Negev, Albert Katz Int Sch Desert Studies, Jacob Blaustein Inst Desert Res, Midreshet Ben Gurion, Israel; [Vazquez, Victor] Coccosphere Environm Anal, Dept Res &amp; Dev, C Cruz 39, Malaga 29120, Spain; [Requena-Mesa, Christian] Max Planck Inst Biogeochem, Dept Biogeochem Integrat, Hans Knoll Str 10, D-07745 Jena, Germany; [Warrington, Miyako H.] Univ Manitoba, Nat Resources Inst, 317 Sinnott Bldg,70 Dysart Rd, Winnipeg, MB R3T 2M6, Canada; [Taylor, Michelle E.] Bangor Univ, Sch Ocean Sci, Menai Bridge LL59 5AB, Anglesey, Wales; [Woodall, Lucy C.; Stefanoudis, Paris, V] Univ Oxford, Dept Zool, Zool Res &amp; Adm Bldg,11a Mansfield Rd, Oxford OX1 3SZ, England; [Zhang, Xiangliang; Yang, Qiang] King Abdullah Univ Sci &amp; Technol, Computat Biosci Res Ctr CBRC, Elect &amp; Math Sci &amp; Engn CEMSE Div, Thuwal 23955, Saudi Arabia; [Ayali, Amir] Tel Aviv Univ, Sch Zool, IL-6997802 Tel Aviv, Israel; [Clua, Eric E. G.; Carzon, Pamela; Seguine, Clementine] PSL Res Univ CRIOBE USR3278 EPHE CNRS UPVD, BP1013, F-98729 Papetoai, French Polynesi, France; [Corradini, Andrea] Univ Trento, Dept Civil Environm &amp; Mech Engn, Via Calepina 14, I-38122 Trento, Italy; [Pedrotti, Luca] Stelvio Natl Pk, I-23032 Bormio, SO, Italy; [Panipakoochoo, Elijah] Inuit Elder Community Mittimatalik, Iqaluit, NU, Canada; [Milanes, Celene B.] Univ Costa, Civil &amp; Environm Dept, Cl 58 55-66, Barranquilla, Atlantico, Colombia; [Botero, Camilo M.] Univ Sergio Arboleda, Sch Law, Santa Marta, Colombia; [Velazquez, Yunior R.] Univ Oriente, Multidisciplinary Studies Ctr Coastal Zone, Ave Patricio Lumumba S-N, Santiago De Cuba 90500, Cuba; [Milchakova, Nataliya A.] Russian Academian Sci, Inst Biol Southern Seas, Sevastopol 299011, Russia; [Morley, Simon A.] British Antarctic Survey, Madingley Rd, Cambridge CB3 0ET, Cambs, England; [Martin, Stephanie M.] Govt Tristan da Cunha, Jamestown STHL 1ZZ, St Helena; [Nanni, Veronica] Univ Genoa, Dipartimento Sci Terra Ambiente &amp; Vita, Corso Europa 26, I-16132 Genoa, Italy; [Otero, Tanya; Abarro, Sarah] WWF Canada, 60 St Jacques St, Montreal, PQ H2Y 1L5, Canada; [Piou, Cyril] Univ Montpellier, Montpellier SupAgro, CIRAD, UMR CBGP,INRAE,IRD, F-34398 Montpellier, France; [Sobral, Ana F. L.] Univ Azores, Okeanos Res Ctr, Rua Prof Dr Frederico Machado, P-9901862 Horta, Azores, Portugal; [Soto, Eulogio H.] Univ Valparaiso, Fac Ciencias Mar &amp; Recursos Nat, Ctr Observat Marino Estudios Riesgos Ambiente Cos, Valparaiso, Vina Del Mar, Chile; [Weigel, Emily G.] Georgia Inst Technol, Sch Biol Sci, Atlanta, GA 30332 USA; [Bernal-Ibanez, Alejandro; Gestoso, Ignacio; Cacabelos, Eva] Agencia Reg Desenvolvimento Invest Tecnol &amp; Inova, MARE Marine &amp; Environm Sci Ctr, Funchal, Portugal; [Cagnacci, Francesca] Fdn Edmund Mach, Res &amp; Innovat Ctr, Dept Biodivers &amp; Mol Ecol, Via Mach 1, I-38010 San Michele All Adige, Italy; [Loretto, Matthias-Claudio] Max Planck Inst Anim Behav, Dept Migrat, Obstberg 1, D-78315 Radolfzell am Bodensee, Germany; [Moraga, Paula] King Abdullah Univ Sci &amp; Technol, Comp Elect &amp; Math Sci &amp; Engn Div, Thuwal 23955, Saudi Arabia; [Rutz, Christian] Univ St Andrews, Sch Biol, Ctr Biol Divers, Sir Harold Mitchell Bldg, St Andrews KY16 9TH, Fife, Scotland; [Belmaker, Jonathan] Tel Aviv Univ, Steinhardt Museum Nat Hist, POB 39040, IL-6139001 Tel Aviv, Israel</t>
  </si>
  <si>
    <t>Memorial University Newfoundland; Boston University; Fisheries &amp; Oceans Canada; Memorial University Newfoundland; King Abdullah University of Science &amp; Technology; King Abdullah University of Science &amp; Technology; Alliance; International Center for Tropical Agriculture - CIAT; State University System of Florida; University of Florida; Alliance; International Center for Tropical Agriculture - CIAT; University of Bucharest; University of Toronto; University of St Andrews; University of Zurich; Swiss Institute of Allergy &amp; Asthma Research; Swiss Institute of Bioinformatics; University of Pisa; Dalhousie University; Woods Hole Oceanographic Institution; Laval University; Centre National de la Recherche Scientifique (CNRS); Ifremer; Institut de Recherche pour le Developpement (IRD); CNRS - Institute of Ecology &amp; Environment (INEE); Universite de Bretagne Occidentale; Institut Universitaire Europeen de la Mer (IUEM); Woods Hole Oceanographic Institution; Fisheries &amp; Oceans Canada; Carleton University; Ben Gurion University; Tel Aviv University; Consejo Superior de Investigaciones Cientificas (CSIC); CSIC - Centro Mediterraneo de Investigaciones Marinas y Ambientales (CMIMA); CSIC - Instituto de Ciencias del Mar (ICM); Autonomous University of Barcelona; Fisheries &amp; Oceans Canada; University of Auckland; Nord University; University of Arizona; University of Cape Town; University of Vienna; University of Tasmania; University of Victoria; University of Victoria; Environment &amp; Climate Change Canada; University of Manitoba; University of Washington; University of Washington Seattle; University of the Sunshine Coast; University of Queensland; Consejo Superior de Investigaciones Cientificas (CSIC); Universitat de les Illes Balears; CSIC-UIB - Instituto de Fisica Interdisciplinar y Sistemas Complejos (IFISC); Consejo Superior de Investigaciones Cientificas (CSIC); University of Navarra; Fisheries &amp; Oceans Canada; McMaster University; University of Miami; Deakin University; Swansea University; Hong Kong University of Science &amp; Technology; Hong Kong University of Science &amp; Technology; William &amp; Mary; Virginia Institute of Marine Science; Swedish University of Agricultural Sciences; Stockholm University; Hakai Institute; University of Tasmania; Sydney Institute of Marine Science; Macquarie University; Centre National de la Recherche Scientifique (CNRS); CNRS - Institute of Ecology &amp; Environment (INEE); Flinders University South Australia; Australian Institute of Marine Science; Simon Fraser University; Hakai Institute; University of Southampton; University of British Columbia; University of Maine System; University of Maine Orono; University of New England - Maine; Ewha Womans University; Laval University; Laval University; University of Quebec; Universite du Quebec a Rimouski; Arizona State University; Arizona State University; Arizona State University-Tempe; Tsinghua University; Arthur Rylah Institute for Environmental Research (ARI); University of Helsinki; Universidad Industrial de Santander; Pontificia Universidad Javeriana; University of Milan; Consiglio Nazionale delle Ricerche (CNR); Chinese Academy of Sciences; University of Exeter; Dalhousie University; Consejo Superior de Investigaciones Cientificas (CSIC); CSIC - Instituto de Investigaciones Marinas (IIM); University of Haifa; Tel Aviv University; University of Victoria; Royal Society for Protection of Birds; BirdLife International; Dilla University; Addis Ababa University; Hawassa University; University of London; London School Economics &amp; Political Science; California State University System; California State University Long Beach; Consejo Superior de Investigaciones Cientificas (CSIC); CSIC - Centro Mediterraneo de Investigaciones Marinas y Ambientales (CMIMA); CSIC - Instituto de Ciencias del Mar (ICM); University of Auckland; Heriot Watt University; Universidad de Cadiz; University of Arizona; Simon Fraser University; Oregon State University; Universidade do Porto; Marine Biological Association United Kingdom; University of Hawaii System; University of Hawaii Manoa; Utah System of Higher Education; University of Utah; University of Zagreb; National Oceanic Atmospheric Admin (NOAA) - USA; University of California System; University of California San Diego; Scripps Institution of Oceanography; King Abdullah University of Science &amp; Technology; University of Western Australia; Australian Institute of Marine Science; Universidade Federal do Rio de Janeiro; State University System of Florida; University of South Florida; Ben Gurion University; Max Planck Society; University of Manitoba; Bangor University; University of Oxford; King Abdullah University of Science &amp; Technology; Tel Aviv University; University of Trento; Universidad de la Costa; University Sergio Arboleda; Universidad de Oriente Santiago de Cuba; Russian Academy of Sciences; AO Kovalevsky Institute of Biology of the Southern Seas of RAS (IBSS); UK Research &amp; Innovation (UKRI); Natural Environment Research Council (NERC); NERC British Antarctic Survey; University of Genoa; World Wildlife Fund; CIRAD; Universite de Montpellier; Institut Agro; Montpellier SupAgro; Institut de Recherche pour le Developpement (IRD); INRAE; Universidade dos Acores; Universidad de Valparaiso; University System of Georgia; Georgia Institute of Technology; Fondazione Edmund Mach; Max Planck Society; King Abdullah University of Science &amp; Technology; University of St Andrews; Tel Aviv University</t>
  </si>
  <si>
    <t>Bates, AE (corresponding author), Mem Univ Newfoundland, Dept Ocean Sci, 0 Marine Lab Rd, St John, NF A1K 3E6, Canada.</t>
  </si>
  <si>
    <t>bates.amanda@gmail.com; primack@bu.edu; bsbiggar@mun.ca; tomasbird@gmail.com; meclinton@mun.ca; rjcommand@mun.ca; cerrenrichards@gmail.com; marc.shellard@gmail.com; nathan.geraldi@kaust.edu.sa; Valeria.Vergara@ocean.org; oaacevedoc@unal.edu.co; zcolonp@gmail.com; algorab2@gmail.com; ocamponata@gmail.com; sanchezc.linam@gmail.com; mihaicristian.adamescu@g.unibuc.ro; sorin.cheval@meteoromania.ro; tudor.racoviceanu@unibuc.ro; md.adams@utoronto.ca; egide.kalisa@utoronto.ca; vincent.kuuire@utoronto.ca; vikram.aditya@atree.org; pia.anderwald@nationalpark.ch; samuel.wiesmann@nationalpark.ch; sonja.wipf@nationalpark.ch; gb64@st-andrews.ac.uk; mh295@st-andrews.ac.uk; Hanspeter.Loetscher@anu.gr.ch; katja.baerenfaller@siaf.uzh.ch; lbenedetti@biologia.unipi.it; fabio.bulleri@unipi.it; iacopo.bertocci@unipi.it; emaggi@biologia.unipi.it; luca.rindi@biologia.unipi.it; chiara.ravaglioli@biologia.unipi.it; kristina.boerder@dal.ca; jbonnel@whoi.edu; mathias.somme@orange.fr; philippe.archambault@bio.ulaval.ca; laurent.chauvaud@univ-brest.fr; cbraun@whoi.edu; sthorrold@whoi.edu; Jacob.Brownscombe@dfo-mpo.gc.ca; Jon.Midwood@dfo-mpo.gc.ca; Christine.Boston@dfo-mpo.gc.ca; jillbrooks85@gmail.com; StevenCooke@cunet.carleton.ca; victor.china@gmail.com; uri.roll@gmail.com; jbelmaker@tauex.tau.ac.il; zvuloni@npa.org.il; marta.coll.work@gmail.com; mortega@ent.cat; Brendan.connors@dfo-mpo.gc.ca; lisa.lacko@dfo-mpo.gc.ca; djay782@aucklanduni.ac.nz; mark.j.costello@nord.no; theresa@usanpn.org; lorianne.barnett@gmail.com; ellen@usanpn.org; katgerst@email.arizona.edu; rlmarsh85@gmail.com; erin@usanpn.org; reilly@usanpn.org; alyssa@usanpn.org; sara.n.schaffer@gmail.com; jeff@usanpn.org; gnublet@gmail.com; susan.cunningham@uct.ac.za; petra.sumasgutner@univie.ac.at; arjun.amar@uct.ac.za; robert.thomson@uct.ac.za; stfmiq001@myuct.ac.za; sally.hofmeyr@gmail.com; jessleena.suri@gmail.com; rstuarts@utas.edu.au; paul@carijoa.com; G.Edgar@utas.edu.au; antonia.cooper@utas.edu.au; fdeleo@uvic.ca; garnergrant75@gmail.com; paulson.desbrisay@canada.ca; michael.schrimpf@umanitoba.ca; nicola.koper@umanitoba.ca; diamond2@uw.edu; rdwyer2@usc.edu.au; cameron.baker@uqconnect.edu.au; c.franklin@uq.edu.au; ronef@post.bgu.ac.il; bergerod@bgu.ac.il; ohad@npa.org.il; victor@ifisc.uib-csic.es; jorgeprodriguezg@gmail.com; juanf@ifisc.uib-csic.es; delusto@unav.es; vicentcalatayud65@gmail.com; Philina.English@dfo-mpo.gc.ca; sarcher@lumcon.edu; Sarah.Dudas@dfo-mpo.gc.ca; Dana.Haggarty@dfo-mpo.gc.ca; austin@beneaththewaves.org; Brendan@beneaththewaves.org; ollieshipley7@gmail.com; bgilby@usc.edu.au; jab086@student.usc.edu.au; aolds@usc.edu.au; chender1@usc.edu.au; tschlach@usc.edu.au; whalliday@wcs.org; nickawbrown@gmail.com; kenziee.woods@gmail.com; sigal@mcmaster.ca; juanes@uvic.ca; mitchell.rider@rsmas.miami.edu; p.albano@rsmas.miami.edu; nhammerschlag@rsmas.miami.edu; g.hays@deakin.edu.au; n.esteban@swansea.ac.uk; yhyhpan@gmail.com; gjhe@ust.hk; takanao_tanaka@hotmail.co.jp; bgilby@usc.edu.au; bgilby@usc.edu.au; cpatrick@vims.edu; jonas.sundberg@slu.se; Olof.olsson@su.se; margot@hakai.org; nickhiggs@ceibahamas.org; mark.hindell@utas.edu.au; clive.mcmahon@utas.edu.au; robert.harcourt@mq.edu.au; christophe.guinet@cebc.cnrs.fr; SHirsch@marinelife.org; JPerrault@marinelife.org; shoover@marinelife.org; jreilly@marinelife.org; clh42@st-andrews.ac.uk; thibaud.gruber@gmail.com; charlie.huveneers@flinders.edu.au; v.udyawer@aims.gov.au; tom.clarke@flinders.edu.au; laura.kroesen@gmail.com; david_hik@sfu.ca; seth.cherry@canada.ca; justin.belluz@hakai.org; jennifer.jackson@hakai.org; Shengjie.Lai@soton.ac.uk; ctlamb@ualberta.ca; gregory.leclair@maine.edu; jparmelee@une.edu; mchatfield@centerforwildlifestudies.org; cfrederick@centerforwildlifestudies.org; lsd@ewha.ac.kr; jolie731@naver.com; janechoi2633@gmail.com; frederic.letourneux@gmail.com; thierrygrandmont19@hotmail.com; frederic.ddb@gmail.com; joel_bety@uqar.ca; gilles.gauthier@bio.ulaval.ca; pierre.legagneux@bio.ulaval.ca; jslewi10@asu.edu; jdhaight@asu.edu; zhuliu@tsinghua.edu.cn; Jarod.lyon@delwp.vic.gov.au; rob.hale@delwp.vic.gov.au; dallas.dsilva@vfa.vic.gov.au; ian.macgregor@helsinki.fi; enriquearbelaez@gmail.com; felipe.estela@javerianacali.edu.co; csanchezsarria23@gmail.com; michelle.garciaarroyo@helsinki.fi; giannkas1@gmail.com; ibanf17@gmail.com; shahar.malamud@gmail.com; talgav@gmail.com; hezibuba@mail.tau.ac.il; shira.salin@gmail.com; mai.lazarus@gmail.com; ruthy@npa.org.il; yigael.ba@npa.org.il; eyalm@npa.org.il; rotems@npa.org.il; guyl@npa.org.il; zivbirman@npa.org.il; manorg@npa.org.il; harelb@npa.org.il; iliab@npa.org.il; alonp@npa.org.il; amitd@npa.org.il; ogenli@npa.org.il; tabi_k@npa.org.il; davidson1969@gmail.com; edom2222@gmail.com; ofery@npa.org.il; raoulmanenti@gmail.com; emilianomori85@gmail.com; francesco.ficetola@unimi.it; enrico.arti@gmail.com; D.March@exeter.ac.uk; b.j.godley@exeter.ac.uk; cecilia.martin@kaust.edu.sa; smihaly@uvic.ca; DBarclay@dal.ca; Dugald@dal.ca; rdewey@uvic.ca; jbedard@uvic.ca; aroha.miller@ocean.org; Amber.Dearden@ocean.org; chapmanjen@outlook.com; Lauren.dares@ocean.org; laura.kroesen@gmail.com; Donna.Gibbs@ocean.org; Schultz.jessica.a@gmail.com; sergeenk@ualberta.ca; Fiona.Francis@dfo-mpo.gc.ca; Amanda.Weltman@ocean.org; nicolas.moity@fcdarwin.org.ec; jorge.ramirez@fcdarwin.org.ec; gmucientes@iim.csic.es; alex@iim.csic.es; itai.namir@gmail.com; avi-b@sci.haifa.ac.il; ron.chen@hamaarag.org.il; yedvab@gmail.com; Thomas.Okey@gmail.com; steffen.oppel@gmail.com; volen.arkumarev@bspb.org; Samuel.Bakari@birdlife.org; vladimir.dobrev@bspb.org; vsaravia@ornithologiki.gr; tasosbounas@gmail.com; dobromir.dobrev@bspb.org; e.kret@wwf.gr; solmersi@gmail.com; cloep@saharaconservation.org; alazar.ruffo@gmail.com; milliontesfaye510@gmail.com; wondafrash.mj61@gmail.com; stoyan.nikolov@bspb.org; c.palmer1@lse.ac.uk; l.sileci@lse.ac.uk; patrickthomasrex@gmail.com; chris.lowe@csulb.edu; cesc@icm.csic.es; mattpine@uvic.ca; c.radford@auckland.ac.nz; lwil634@aucklanduni.ac.nz; l.mcwhinnie@hw.ac.uk; alessia.scuderi1@gmail.com; a.jeffs@auckland.ac.nz; klprudic@arizona.edu; maxim.larrivee@montreal.ca; kmcfarland@vtecostudies.org; rsolis@sfu.ca; rah@oregonstate.edu; nuno.queiroz@gmail.com; mafurtado2006@hotmail.com; dws@mba.ac.uk; ejsouthall@yahoo.co.uk; claudio.quesada@gmail.com; jessidorozco@gmail.com; kuuleir@hawaii.edu; sarahjls@hawaii.edu; agraham8@hawaii.edu; mstefana@hawaii.edu; emadin@hawaii.edu; pryan31@gmail.com; macleankyle1@gmail.com; el.weideman@gmail.com; kyle.kittelberger@utah.edu; kusak@vef.hr; Jeffrey.seminoff@noaa.gov; meh078@ucsd.edu; taka.shimada@des.qld.gov.au; M.Meekan@aims.gov.au; kyle.smith@sanparks.org; m.mokhatla@mail.com; Malcolm_SOH@nparks.gov.sg; e0727538@u.nus.edu; Breyl_NG@nparks.gov.sg; Benjamin_LEE@nparks.gov.sg; Adrian_LOO@nparks.gov.sg; KENNETH_ER@nparks.gov.sg; gabrielbbarros@gmail.com; stallings@usf.edu; joseph_curtis@ucsb.edu; meaghanfaletti@aol.com; jpeake1@usf.edu; mschram@usf.edu; Kara.Wall@MyFWC.com; cterry@bu.edu; mrothendler@gmail.com; lz106@wellesley.edu; julloa@humboldt.org.co; anhernandez@humboldt.org.co; bgomezv@humboldt.org.co; ccruz@humboldt.org.co; yherrera@humboldt.org.co; Margaritamroa@humboldt.org.co; Susanadrodriguez@humboldt.org.co; jochoa@humboldt.org.co; reutvardi@gmail.com; victor.vazquez@coccosphere.es; crequ@bgc-jena.mpg.de; miyako.warrington@umanitoba.ca; michelletaylor90@gmail.com; lucy.woodall@zoo.ox.ac.uk; paris@nektonmission.org; xiangliang.zhang@kaust.edu.sa; Qiang.Yang@kaust.edu.sa; Yuval.zuk15@gmail.com; zehavas@npa.org.il; Amirayali@tauex.tau.ac.il; Eric.clua@univ-perp.fr; Pamelacarzonpamela@gmail.com; clementine.seguigne@gmail.com; andrea.corradini-2@unitn.it; luca.pedrotti@stelviopark.it; M.foleyc@hawaii.edu; catherinealexandra.gagnon@erebia.ca; cmilanes1@cuc.edu.co; camilo.botero@usa.edu.co; yunior.velazquez@uo.edu.cu; milchakova@gmail.com; smor@bas.ac.uk; environment.policy@tdc.uk.com; veronicananni7@gmail.com; tanya.otero@ocean.org; julia.wakeling@ocean.org; Sarahsabarro@WWFCanada.org; cyril.piou@cirad.fr; aflsobral@gmail.com; eulogio.soto@uv.cl; emily.weigel@biosci.gatech.edu; alejandro.bernal@mare-centre.pt; igestoso@mare-centre.pt; ecacabelos@mare-centre.pt; francesca.cagnacci@fmach.it; reny.devassy@kaust.edu.sa; matthias.loretto@gmail.com; paumose@gmail.com; christian.rutz@st-andrews.ac.uk; duarteqcarlosm@gmail.com</t>
  </si>
  <si>
    <t>Peake, Jonathan/IWU-9158-2023; Schultz, Jessica Anne/AAV-6899-2021; Tesfaye, Milion/HMP-6191-2023; Scuderi, Alessia/P-3247-2019; Efrat, Ron/R-4881-2019; Esteban, Nicole/F-1615-2018; Stefanoudis, Paris V./T-7317-2019; Duarte, Carlos M/A-7670-2013; Nanni, Veronica/AAK-1194-2021; McMahon, Clive R/D-5713-2013; Crimmins, Theresa M./H-3575-2019; Ortega, Miquel/IWD-7426-2023; Lunghi, Enrico/AAL-3391-2020; Gilles Gauthier, Gilles/AEK-9959-2022; Hirsch, Sarah/V-8057-2019; Peters, Francesc/A-6364-2009; Rodriguez, Jorge P./O-8873-2014; Queiroz, Nuno/G-3850-2010; Rodriguez-Buritica, Susana/JDD-2153-2023; Nikolov, Stoyan C/F-5548-2011; Scuderi, Alessia/JXW-6413-2024; Wipf, Sonja/A-5075-2010; Botero, Camilo/ABC-5309-2021; Franklin, Craig/ABF-5030-2020; Roll, Uri/GLN-7974-2022; Braun, Camrin D/G-8718-2012; Coll, Marta/A-9488-2012; March, David/G-6489-2014; Amar, Arjun/F-3815-2011; Ocampo, David/KAZ-9654-2024; Godley, Brendan J/A-6139-2009; Adamescu, Cristian Mihai/AFX-5768-2022; Diamond, Michael/GXG-7308-2022; Schrimpf, Michael/JJC-8063-2023; Hernandez-Palma, Angelica/AGH-4112-2022; Gruber, Thibaud/D-1628-2014; Berger-Tal, Oded/P-1670-2019; Pan, Yuhang/HNS-3425-2023; Edgar, Graham/AAY-3797-2020; Hindell, Mark A/K-1131-2013; Lee, Benjamin/IYT-2976-2023; SOUTHALL, EMILY J/AGP-5395-2022; LIU, zhu/IYS-9390-2023; Belmaker, Jonathan/I-1004-2019; Milanés Batista, Celene/B-8690-2019; Kusak, Josip/AFU-1680-2022; Cunningham, Susan/AAR-3915-2020; Weltman, Amanda/AAD-3135-2020; Stuart-Smith, Rick/I-5214-2019; Stofberg, Miqkayla/JXY-7914-2024; yang, qiang/GYJ-0971-2022; Berger-Tal, Oded/P-9189-2014; Dwyer, Ross/IQR-5509-2023; Adams, Matthew D./A-6756-2013; Moity, Nicolas/F-5312-2017; Kusak, Josip/T-8344-2019; Ayali, Amir/B-1050-2008; Oppel, Steffen/H-2771-2019; LeTourneux, Frédéric/HCH-7838-2022; Warrington, Miya/AFR-8822-2022; Sandoval, Gonzalo Mucientes/A-1057-2009; Liu, Zhu/A-4634-2013; Mori, Emiliano/AAA-8803-2022; Elustondo, David/A-3347-2014; Milchakova, Nataliya/I-1280-2016; Gestoso, Ignacio/E-8742-2015; Thorrold, Simon R/B-7565-2012; Aditya, Vikram/HSB-3625-2023; Cheval, Sorin/B-4506-2011; Eguíluz, Víctor M./B-9655-2008; Clua, Eric EG/D-7820-2013; Cooke, Steven J/F-4193-2010; Hik, David S/B-3462-2009; Alonso-Fernández, Alexandre/C-9916-2012; Higgs, Nicholas D/GYU-4071-2022; Cagnacci, Francesca/L-7377-2013; Bertocci, Iacopo/I-5121-2013; Thomson, Robert L./B-9637-2012; Souza, Gabriel/S-7953-2017; Manenti, Raoul/D-4419-2013; Schlacher, Thomas/J-4614-2016; MacGregor-Fors, Ian/P-1455-2014; Hentati-Sundberg, Jonas/N-6535-2017</t>
  </si>
  <si>
    <t>Schultz, Jessica Anne/0000-0002-0771-2823; Tesfaye, Milion/0000-0002-2523-1791; Scuderi, Alessia/0000-0001-6915-7813; Efrat, Ron/0000-0002-6129-0596; Stefanoudis, Paris V./0000-0002-4040-8364; Duarte, Carlos M/0000-0002-1213-1361; Nanni, Veronica/0000-0001-6379-7764; McMahon, Clive R/0000-0001-5241-8917; Crimmins, Theresa M./0000-0001-9592-625X; Lunghi, Enrico/0000-0002-4228-2750; Gilles Gauthier, Gilles/0000-0002-2624-3508; Peters, Francesc/0000-0001-9405-4306; Rodriguez, Jorge P./0000-0001-6593-5032; Rodriguez-Buritica, Susana/0000-0001-8175-1057; Scuderi, Alessia/0000-0001-6915-7813; Wipf, Sonja/0000-0002-3492-1399; Botero, Camilo/0000-0001-6886-8920; Franklin, Craig/0000-0003-1315-3797; March, David/0000-0002-6118-761X; Amar, Arjun/0000-0002-7405-1180; Ocampo, David/0000-0003-1597-4038; Godley, Brendan J/0000-0003-3845-0034; Adamescu, Cristian Mihai/0000-0002-3056-8444; Schrimpf, Michael/0000-0001-7001-1440; Berger-Tal, Oded/0000-0002-7396-456X; Edgar, Graham/0000-0003-0833-9001; Lee, Benjamin/0000-0002-9952-1011; SOUTHALL, EMILY J/0000-0001-7246-278X; Belmaker, Jonathan/0000-0002-5618-7359; Milanés Batista, Celene/0000-0003-2560-8859; Kusak, Josip/0000-0002-5544-6486; Cunningham, Susan/0000-0001-9934-2585; Weltman, Amanda/0000-0002-5974-4114; Stuart-Smith, Rick/0000-0002-8874-0083; Berger-Tal, Oded/0000-0002-7396-456X; Moity, Nicolas/0000-0002-4021-9782; Ayali, Amir/0000-0001-6152-2927; Oppel, Steffen/0000-0002-8220-3789; Warrington, Miya/0000-0003-2699-1167; Sandoval, Gonzalo Mucientes/0000-0001-6650-3020; Liu, Zhu/0000-0002-8968-7050; Mori, Emiliano/0000-0001-8108-7950; Elustondo, David/0000-0002-0552-0852; Gestoso, Ignacio/0000-0001-5521-3255; Aditya, Vikram/0000-0003-3888-4369; Cheval, Sorin/0000-0001-6412-1918; Eguíluz, Víctor M./0000-0003-1133-1289; Clua, Eric EG/0000-0001-7629-2685; Cooke, Steven J/0000-0002-5407-0659; Alonso-Fernández, Alexandre/0000-0002-0793-2738; Higgs, Nicholas D/0000-0001-8029-1001; Cagnacci, Francesca/0000-0002-4954-9980; , Dobromir/0000-0002-7523-4640; Dwyer, Ross/0000-0003-1136-5489; Bertocci, Iacopo/0000-0002-1519-1677; Thomson, Robert L./0000-0002-6958-1259; Ocampo-Penuela, Natalia/0000-0002-5120-7226; Clinton, Mary/0000-0002-7079-2248; Kalisa, Egide/0000-0001-9906-583X; Balshine, Sigal/0000-0003-3671-0517; Rider, Mitchell/0000-0003-4469-0456; Ravaglioli, Chiara/0000-0003-1076-7654; Rindi, Luca/0000-0002-2279-4214; Biggar, Brandy/0000-0001-8010-8449; Yang, Qiang/0000-0002-3211-5369; Rosemartin, Alyssa/0000-0002-8934-6539; Salingre, Shira/0000-0002-4667-9982; Herrera Varon, Yenifer/0000-0002-5361-6445; Schram, Michael/0000-0003-0674-2112; MAGGI, Elena/0000-0001-6934-9380; Huveneers, Charlie/0000-0001-8937-1358; Baker, Cameron/0000-0001-6664-9177; Udyawer, Vinay/0000-0001-5812-0740; Archer, Stephanie/0000-0002-1476-607X; RAMIREZ-GONZALEZ, JORGE/0000-0002-9271-6043; Mokhatla, Mohlamatsane/0000-0001-8090-4592; Woods, Mackenzie/0000-0002-1110-7714; tanaka, takanao/0000-0002-8013-6535; Sanchez Sarria, Camilo Enrique/0000-0001-7990-7366; Braun, Camrin/0000-0002-9317-9489; Weideman, Eleanor/0000-0001-5084-0532; Bernal-Ibanez, Alejandro/0000-0001-9221-3983; Bulleri, Fabio/0000-0002-7335-6791; Patrick, Christopher/0000-0002-9581-8168; Benedetti-Cecchi, Lisandro/0000-0001-5244-5202; Meekan, Mark/0000-0002-3067-9427; He, Guojun/0000-0003-2391-9493; Souza, Gabriel/0000-0002-1770-8924; Denny, Ellen/0000-0003-2528-6394; Harcourt, Robert/0000-0003-4666-2934; Zhang, Xiangliang/0000-0002-3574-5665; Command, Rylan/0000-0001-9574-7024; /0000-0001-5266-0201; Ryan, Peter/0000-0002-3356-2056; Bounas, Anastasios/0000-0002-6724-0151; Manenti, Raoul/0000-0001-6071-8194; Shea, Brendan/0000-0001-7771-0586; Racoviceanu, Tudor/0000-0003-1560-1696; Rutz, Christian/0000-0001-5187-7417; Schlacher, Thomas/0000-0003-2184-9217; Velazquez Labrada, Yunior Ramon/0000-0002-8088-6686; LeTourneux, Frederic/0000-0003-4048-2828; Gerst, Katharine/0000-0002-6154-906X; McWhinnie, Lauren/0000-0002-0761-2275; Vardi, Reut/0000-0002-2846-649X; MacGregor-Fors, Ian/0000-0003-3198-7322; Archambault, Philippe/0000-0001-5986-6149; Lai, Shengjie/0000-0001-9781-8148; Bar-Massada, Avi/0000-0002-8331-0391; Gruber, Thibaud/0000-0002-6766-3947; Manzanares-Vazquez, Victor/0000-0002-0695-4150; Thomson, Dugald/0000-0003-0786-5157; Cruz Rodriguez, Cristian/0000-0002-8319-4706; Del Bel Belluz, Justin/0000-0002-3536-9508; Prudic, Kathleen/0000-0001-8242-7769; Sekercioglu, Cagan H./0000-0003-3193-0377; Hernandez-Palma, Angelica/0000-0003-1274-8924; Albano, Patricia/0000-0002-2257-5441; Colon-Pineiro, Zuania/0000-0003-0508-2538; Garcia-Arroyo, Michelle/0000-0002-9167-4777; Roll, Uri/0000-0002-5418-1164; Weigel, Emily/0000-0001-5570-4142; Olsson, Olof/0000-0002-9479-7609; Sumasgutner, Petra/0000-0001-7042-3461; Palmer, Charles/0000-0002-1252-179X; Calatayud, Vicent/0000-0002-2792-0988; Ortega Cerda, Miquel/0000-0002-2746-3641; lyon, jarod/0000-0002-8762-4128; Grandmont, Thierry/0000-0003-0557-8197; Des Brisay, Paulson/0000-0003-2684-292X; Hentati-Sundberg, Jonas/0000-0002-3201-9262; Taylor, Michelle/0000-0003-3717-7654</t>
  </si>
  <si>
    <t>A.G. Leventis Foundation; Agence Nationale de la Recherche [ANR-18CE32-0010-01]; Agencia Estatal de Investigacion; Agencia Regional para o Desenvolvimento da Investigacao Tecnologia e Inovacao (ARDITI) [M1420-09-5369-FSE-000002]; Alan Peterson; Arkadaslar; U.S. Army Corp of Engineers Northwestern Division; Artificial Reef Program; Australia's Integrated Marine Observing System (IMOS), National Collaborative; Research Infrastructure Strategy (NCRIS), University of Tasmania; Australian Institute of Marine Science; Australian Research Council [LP140100222]; Bai Xian Asia Institute; Batubay Ozkan; BC Hydro Fish and Wildlife Compensation Program; Ben-Gurion University of the Negev; Bertarelli Foundation; Bertarelli Programme in Marine Science; Bilge Bahar; Bill and Melinda Gates Foundation; Biology Society of South Australia; Boston University; Burak Over; California State Assembly member Patrick O'Donnell; California State University Council on Ocean Affairs, Science Technology; California State University Long Beach; Canada Foundation for Innovation (Major Science Initiative Fund) [MSI 30199]; Cape Eleuthera Foundation; Centre National d'Etudes Spatiales; Centre National de la Recherche Scientifique; Charles Darwin Foundation [2398]; Colombian Institute for the Development of Science and Technology (COLCIENCIAS) [8112018]; Colombian Ministry of Environment and Sustainable Development [0041 -2020]; Columbia Basin Trust; Cornell Lab of Ornithology; Cultural Practices and Environmental Certification of Beaches, Universidad de la Costa, Colombia [INV.1106-01-002-15, 2020-21]; Department of Conservation New Zealand; Direction de l'Environnement de Polynesie Francaise; Disney Conservation Fund; DSI-NRF Centre of Excellence at the FitzPatrick Institute of African Ornithology; Ecology Project International; Emin Ozgur; Environment and Climate Change Canada; European Community; RTD programme -Species Support to Policies; European Commission Seventh Framework Programme; European Union; European Union's H2020 Marie Sklodowska-Curie Actions [798091, 794938]; Faruk Eczacibasi; Faruk Yalcin Zoo; King Abdullah University of Science and Technology; Fish and Wildlife Compensation Program; Fisheries and Oceans Canada; Florida Fish and Wildlife Conservation Commission [FWC-12164, FWC-14026, FWC19050]; Fondo Europeo de Desarrollo Regional; Fonds Quebecois de la Recherche Nature et Technologies; Fundacao para a Ciencia e a Tecnologia (FCT Portugal); Galapagos National Park Directorate Research [PC-41-20]; Gordon and Betty Moore Foundation [GBMF9881, GBMF 8072]; Government of Tristan da Cunha; Habitat; Conservation Trust Foundation; Holsworth Wildlife Research Endowment; Institute of Biology of the Southern Seas, Sevastopol, Russia; Instituto de Investigacion de Recursos Biologicos Alexander von Humboldt; Instituto Nacional de Pesquisas Espaciais (INPE), Brazil; Israeli Academy of Science's Adams Fellowship; King Family Trust; Labex, CORAIL, France; Liber Ero Fellowship; LIFE (European Union) [LIFE16 NAT/BG/000874]; Mar'a de Maeztu Program for Units of Excellence in RD; Ministry of Science and Innovation, FEDER, SPASIMM; Spain [FIS2016-80067-P]; MOE-Korea [2020002990006]; Mohamed bin Zayed Species Conservation Fund; Montreal Space for Life; National Aeronautics and Space Administration (NASA) Earth and Space Science Fellowship Program; National Geographic Society [NGS-82515R-20]; National Natural Science Foundation of China; National Oceanic and Atmospheric Administration; National Parks Board -Singapore; National Science and Technology Specific Project of China; National Science Foundation [DEB-1832016]; Natural Environment Research Council (NERC); Korea Research Foundation [KRF-2021R1A2C1011213]; Korea Ministry of Environment [2020002990006, MOE-2021003360002]; Natural Sciences and Engineering Research Council of Canada (NSERC), Alliance COVID-19 grant program [ALLRP 550721 -20, RGPIN-2014-06229, RGPIN-2016-05772]; Neiser Foundation; Nekton Foundation; Network of Centre of Excellence of Canada; ArcticNet; North Family Foundation; Ocean Tracking Network; Omer Kulahcio.glu; Oregon State University; Parks Canada Agency (Lake Louise, Yoho, and Kootenay Field Unit); Pew Charitable Trusts; Porsim Kanaf partnership; President's International Fellowship Initiative for postdoctoral researchers Chinese Academy of Sciences [2019PB0143]; Red Sea Research Center; Regional Government of the Azores [M3.1a/F/025/2015]; Regione Toscana; Rotary Club of Rhinebeck; Save our Seas Foundation; Science &amp; Technology (CSU COAST); Science City Davos, Naturforschende Gesellschaft Davos; Seha.Ismen; Sentinelle Nord program from the Canada First Research Excellence Fund; Servizio Foreste e Fauna (Provincia Autonoma di Trento); Sigrid Rausing Trust; Simon Fraser University; Sitka Foundation; Sivil Toplum Gelis tirme Merkezi Derne.gi; South African National Parks (SANParks); South Australian Department for Environment and Water; Southern California Tuna Club (SCTC); Spanish Ministry for the Ecological Transition and the Demographic Challenge; Spanish Ministry of Economy and Competitiveness; Spanish Ministry of Science and Innovation; State of California; Sternlicht Family Foundation; Suna Reyent; Sunshine Coast Regional Council; Tarea Vida; CEMZOC; Universidad de Oriente; Cuba [10523, 2020]; Teck Coal; Hamilton Waterfront Trust; Ian Potter Foundation; Coastwest; Western Australian State NRM; Red Sea Development Company; Wanderlust Fund; Whitley Fund; Trans-Anatolian Natural Gas Pipeline; Tula Foundation (Hakai Institute); University of Arizona; University of Pisa; US Fish and Wildlife Service; US Geological Survey South Central Climate Science Center; Valencian Regional Government; Vermont Center for Ecostudies; Victorian Fisheries Authority; VMRC Fishing License Fund; Wildlife Warriors Worldwide; Commission for Environmental Cooperation; Foundation Segre; Australian Research Council [LP140100222] Funding Source: Australian Research Council; Marie Curie Actions (MSCA) [794938, 798091] Funding Source: Marie Curie Actions (MSCA); NERC [bas0100036] Funding Source: UKRI</t>
  </si>
  <si>
    <t>A.G. Leventis Foundation; Agence Nationale de la Recherche(Agence Nationale de la Recherche (ANR)); Agencia Estatal de Investigacion; Agencia Regional para o Desenvolvimento da Investigacao Tecnologia e Inovacao (ARDITI); Alan Peterson; Arkadaslar; U.S. Army Corp of Engineers Northwestern Division; Artificial Reef Program; Australia's Integrated Marine Observing System (IMOS), National Collaborative; Research Infrastructure Strategy (NCRIS), University of Tasmania; Australian Institute of Marine Science; Australian Research Council(Australian Research Council); Bai Xian Asia Institute; Batubay Ozkan; BC Hydro Fish and Wildlife Compensation Program; Ben-Gurion University of the Negev; Bertarelli Foundation; Bertarelli Programme in Marine Science; Bilge Bahar; Bill and Melinda Gates Foundation(Bill &amp; Melinda Gates Foundation); Biology Society of South Australia; Boston University; Burak Over; California State Assembly member Patrick O'Donnell; California State University Council on Ocean Affairs, Science Technology; California State University Long Beach; Canada Foundation for Innovation (Major Science Initiative Fund)(Canada Foundation for Innovation); Cape Eleuthera Foundation; Centre National d'Etudes Spatiales(Centre National D'etudes Spatiales); Centre National de la Recherche Scientifique(Centre National de la Recherche Scientifique (CNRS)); Charles Darwin Foundation; Colombian Institute for the Development of Science and Technology (COLCIENCIAS)(Departamento Administrativo de Ciencia, Tecnologia e Innovacion Colciencias); Colombian Ministry of Environment and Sustainable Development(Ministry of Environment (ME), Republic of Korea); Columbia Basin Trust; Cornell Lab of Ornithology; Cultural Practices and Environmental Certification of Beaches, Universidad de la Costa, Colombia; Department of Conservation New Zealand; Direction de l'Environnement de Polynesie Francaise; Disney Conservation Fund; DSI-NRF Centre of Excellence at the FitzPatrick Institute of African Ornithology; Ecology Project International; Emin Ozgur; Environment and Climate Change Canada; European Community; RTD programme -Species Support to Policies; European Commission Seventh Framework Programme(European Union (EU)European Commission Joint Research Centre); European Union(European Union (EU)); European Union's H2020 Marie Sklodowska-Curie Actions; Faruk Eczacibasi; Faruk Yalcin Zoo; King Abdullah University of Science and Technology(King Abdullah University of Science &amp; Technology); Fish and Wildlife Compensation Program; Fisheries and Oceans Canada; Florida Fish and Wildlife Conservation Commission; Fondo Europeo de Desarrollo Regional(European Union (EU)); Fonds Quebecois de la Recherche Nature et Technologies; Fundacao para a Ciencia e a Tecnologia (FCT Portugal)(Fundacao para a Ciencia e a Tecnologia (FCT)); Galapagos National Park Directorate Research; Gordon and Betty Moore Foundation(Gordon and Betty Moore Foundation); Government of Tristan da Cunha; Habitat; Conservation Trust Foundation; Holsworth Wildlife Research Endowment; Institute of Biology of the Southern Seas, Sevastopol, Russia; Instituto de Investigacion de Recursos Biologicos Alexander von Humboldt; Instituto Nacional de Pesquisas Espaciais (INPE), Brazil; Israeli Academy of Science's Adams Fellowship; King Family Trust; Labex, CORAIL, France; Liber Ero Fellowship; LIFE (European Union); Mar'a de Maeztu Program for Units of Excellence in RD; Ministry of Science and Innovation, FEDER, SPASIMM; Spain; MOE-Korea; Mohamed bin Zayed Species Conservation Fund; Montreal Space for Life; National Aeronautics and Space Administration (NASA) Earth and Space Science Fellowship Program; National Geographic Society(National Geographic Society); National Natural Science Foundation of China(National Natural Science Foundation of China (NSFC)); National Oceanic and Atmospheric Administration(National Oceanic Atmospheric Admin (NOAA) - USA); National Parks Board -Singapore; National Science and Technology Specific Project of China; National Science Foundation(National Science Foundation (NSF)); Natural Environment Research Council (NERC)(UK Research &amp; Innovation (UKRI)Natural Environment Research Council (NERC)); Korea Research Foundation(National Research Foundation of Korea); Korea Ministry of Environment(Ministry of Environment (ME), Republic of Korea); Natural Sciences and Engineering Research Council of Canada (NSERC), Alliance COVID-19 grant program(Natural Sciences and Engineering Research Council of Canada (NSERC)); Neiser Foundation; Nekton Foundation; Network of Centre of Excellence of Canada; ArcticNet; North Family Foundation; Ocean Tracking Network; Omer Kulahcio.glu; Oregon State University; Parks Canada Agency (Lake Louise, Yoho, and Kootenay Field Unit); Pew Charitable Trusts; Porsim Kanaf partnership; President's International Fellowship Initiative for postdoctoral researchers Chinese Academy of Sciences; Red Sea Research Center; Regional Government of the Azores; Regione Toscana(Regione Toscana); Rotary Club of Rhinebeck; Save our Seas Foundation; Science &amp; Technology (CSU COAST); Science City Davos, Naturforschende Gesellschaft Davos; Seha.Ismen; Sentinelle Nord program from the Canada First Research Excellence Fund; Servizio Foreste e Fauna (Provincia Autonoma di Trento); Sigrid Rausing Trust; Simon Fraser University; Sitka Foundation; Sivil Toplum Gelis tirme Merkezi Derne.gi; South African National Parks (SANParks); South Australian Department for Environment and Water; Southern California Tuna Club (SCTC); Spanish Ministry for the Ecological Transition and the Demographic Challenge; Spanish Ministry of Economy and Competitiveness(Spanish Government); Spanish Ministry of Science and Innovation(Spanish Government); State of California; Sternlicht Family Foundation; Suna Reyent; Sunshine Coast Regional Council; Tarea Vida; CEMZOC; Universidad de Oriente; Cuba; Teck Coal; Hamilton Waterfront Trust; Ian Potter Foundation; Coastwest; Western Australian State NRM; Red Sea Development Company; Wanderlust Fund; Whitley Fund; Trans-Anatolian Natural Gas Pipeline; Tula Foundation (Hakai Institute); University of Arizona; University of Pisa; US Fish and Wildlife Service(US Fish &amp; Wildlife Service); US Geological Survey South Central Climate Science Center; Valencian Regional Government; Vermont Center for Ecostudies; Victorian Fisheries Authority; VMRC Fishing License Fund; Wildlife Warriors Worldwide; Commission for Environmental Cooperation; Foundation Segre; Australian Research Council(Australian Research Council); Marie Curie Actions (MSCA)(Marie Curie Actions); NERC(UK Research &amp; Innovation (UKRI)Natural Environment Research Council (NERC))</t>
  </si>
  <si>
    <t>The Canada Research Chairs program provided funding for the core writing team. Field research funding was provided by A.G. Leventis Foundation; Agence Nationale de la Recherche, [grant number ANR-18CE32-0010-01 (JCJC PEPPER)]; Agencia Estatal de Investigacion; Agencia Regional para o Desenvolvimento da Investigacao Tecnologia e Inovacao (ARDITI), [grant number M1420-09-5369-FSE-000002]; Alan Peterson; ArcticNet; Arkadaslar; U.S. Army Corp of Engineers Northwestern Division; Artificial Reef Program; Australia's Integrated Marine Observing System (IMOS), National Collaborative; Research Infrastructure Strategy (NCRIS), University of Tasmania; Australian Institute of Marine Science; Australian Research Council, [grant number LP140100222]; Bai Xian Asia Institute; BatubayOzkan; BC Hydro Fish and Wildlife Compensation Program; Ben-Gurion University of the Negev; Bertarelli Foundation; Bertarelli Programme in Marine Science; Bilge Bahar; Bill and Melinda Gates Foundation; Biology Society of South Australia; Boston University; Burak Over; California State Assembly member Patrick O'Donnell; California State University Council on Ocean Affairs, Science &amp; Technology; California State University Long Beach; Canada Foundation for Innovation (Major Science Initiative Fund and funding to Oceans Network Canada), [grant number MSI 30199 for ONC]; Cape Eleuthera Foundation; Centre National d'Etudes Spatiales; Centre National de la Recherche Scientifique; Charles Darwin Foundation, [grant number 2398]; Colombian Institute for the Development of Science and Technology (COLCIENCIAS), [grant number 8112018]; Colombian Ministry of Environment and Sustainable Development, [grant number 0041 -2020]; Columbia Basin Trust; Commission for Environmental Cooperation; Cornell Lab of Ornithology; Cultural Practices and Environmental Certification of Beaches, Universidad de la Costa, Colombia, [grant number INV.; 1106-01-002-15, 2020-21]; Department of Conservation New Zealand; Direction de l'Environnement de Polynesie Francaise; Disney Conservation Fund; DSI-NRF Centre of; Excellence at the FitzPatrick Institute of African Ornithology; Ecology Project International; Emin Ozgur; Environment and Climate Change Canada; European Community: RTD programme -Species Support to Policies; European Commission Seventh Framework Programme; European Union; European Union's H2020 Marie Sklodowska-Curie Actions, [grant number 798091, 794938]; Faruk Eczacibasi; Faruk Yalcin Zoo; Field research funding was provided by King Abdullah University of Science and Technology; Fish and Wildlife Compensation Program; Fisheries and Oceans Canada; Florida Fish and Wildlife Conservation Commission, [grant numbers FWC-12164, FWC-14026, FWC19050]; Fondo Europeo de Desarrollo Regional; Fonds Quebecois de la Recherche Nature et Technologies; Foundation Segre; Fundacao para a Ciencia e a Tecnologia (FCT Portugal); Galapagos National Park Directorate Research, [grant number PC-41-20]; Gordon and Betty Moore Foundation, [grant number GBMF9881 and GBMF 8072]; Government of Tristan da Cunha; Habitat; Conservation Trust Foundation; Holsworth Wildlife Research Endowment; Institute of Biology of the Southern Seas, Sevastopol, Russia; Instituto de Investigacion de Recursos Biologicos Alexander von Humboldt; Instituto Nacional de Pesquisas Espaciais (INPE), Brazil; Israeli Academy of Science's Adams Fellowship; King Family Trust; Labex, CORAIL, France; Liber Ero Fellowship; LIFE (European Union), [grant number LIFE16 NAT/BG/000874]; Mar'a de Maeztu Program for Units of Excellence in R &amp; D; Ministry of Science and Innovation, FEDER, SPASIMM; Spain, [grant number FIS2016-80067-P (AEI/FEDER, UE)]; MOE-Korea, [grant number 2020002990006]; Mohamed bin Zayed Species Conservation Fund; Montreal Space for Life; National Aeronautics and Space Administration (NASA) Earth and Space Science Fellowship Program; National Geographic Society, [grant number NGS-82515R-20]; National Natural Science Foundation of China; National Oceanic and Atmospheric Administration; National Parks Board -Singapore; National Science and Technology Specific Project of China; National Science Foundation, [grant number DEB1832016]; Natural Environment Research Council (NERC); Korea Research Foundation (KRF-2021R1A2C1011213), Korea Ministry of Environment (MOE-2021003360002, 2020002990006), Natural Sciences and Engineering Research Council of Canada (NSERC), Alliance COVID-19 grant program, [grant numbers ALLRP 550721 -20, RGPIN-2014-06229 (year: 2014), RGPIN-2016-05772 (year: 2016)]; Neiser Foundation; Nekton Foundation; Network of Centre of Excellence of Canada: ArcticNet; North Family Foundation; Ocean Tracking Network; Omer Kulahcio.glu; Oregon State University; Parks Canada Agency (Lake Louise, Yoho, and Kootenay Field Unit); Pew Charitable Trusts; Porsim Kanaf partnership; President's International Fellowship Initiative for postdoctoral researchers Chinese Academy of Sciences, [grant number 2019PB0143]; Red Sea Research Center; Regional Government of the Azores, [grant number M3.1a/F/025/2015]; Regione Toscana; Rotary Club of Rhinebeck; Save our Seas Foundation; Science &amp; Technology (CSU COAST); Science City Davos, Naturforschende Gesellschaft Davos; Seha.Ismen; Sentinelle Nord program from the Canada First Research Excellence Fund; Servizio Foreste e Fauna (Provincia Autonoma di Trento); Sigrid Rausing Trust; Simon Fraser University; Sitka Foundation; Sivil Toplum Gelis tirme Merkezi Derne.; gi; South African National Parks (SANParks); South Australian Department for Environment and Water; Southern California Tuna Club (SCTC); Spanish Ministry for the Ecological Transition and the Demographic Challenge; Spanish Ministry of Economy and Competitiveness; Spanish Ministry of Science and Innovation; State of California; Sternlicht Family Foundation; Suna Reyent; Sunshine Coast Regional Council; Tarea Vida, CEMZOC, Universidad de Oriente, Cuba, [grant number 10523, 2020]; Teck Coal; The Hamilton Waterfront Trust; The Ian Potter Foundation, Coastwest, Western Australian State NRM; The Red Sea Development Company; The Wanderlust Fund; The Whitley Fund; Trans-Anatolian Natural Gas Pipeline; Tula Foundation (Hakai Institute); University of Arizona; University of Pisa; US Fish and Wildlife Service; US Geological Survey South Central Climate Science Center; Valencian Regional Government; Vermont Center for Ecostudies; Victorian Fisheries Authority; VMRC Fishing License Fund; and Wildlife Warriors Worldwide.</t>
  </si>
  <si>
    <t>0006-3207</t>
  </si>
  <si>
    <t>1873-2917</t>
  </si>
  <si>
    <t>BIOL CONSERV</t>
  </si>
  <si>
    <t>Biol. Conserv.</t>
  </si>
  <si>
    <t>10.1016/j.biocon.2021.109175</t>
  </si>
  <si>
    <t>WY6JR</t>
  </si>
  <si>
    <t>Green Published, hybrid, Green Accepted, Green Submitted</t>
  </si>
  <si>
    <t>WOS:000719385700005</t>
  </si>
  <si>
    <t>Rees, MJ; Knott, NA; Davis, TR; Davis, AR; Gudge, S; Neilson, JM; Fetterplace, LC; Jordan, A</t>
  </si>
  <si>
    <t>Rees, M. J.; Knott, N. A.; Davis, T. R.; Davis, A. R.; Gudge, S.; Neilson, J. M.; Fetterplace, L. C.; Jordan, A.</t>
  </si>
  <si>
    <t>Temporal stability in a protected and isolated fish community within marine parks surrounding Lord Howe Island</t>
  </si>
  <si>
    <t>REGIONAL STUDIES IN MARINE SCIENCE</t>
  </si>
  <si>
    <t>Endemism; Marine protected areas; Marine reserve; Partially protected area; World Heritage area; Human impacts</t>
  </si>
  <si>
    <t>NEW-SOUTH-WALES; SERRANID EPINEPHELUS-DAEMELII; SHARK DEPREDATION; REEF FISHES; RESERVES; VIDEO; CONSERVATION; ASSEMBLAGES; AUSTRALIA; CORAL</t>
  </si>
  <si>
    <t>Remote oceanic islands often display high levels of biodiversity and endemism, making them important locations for marine parks aimed at conserving biodiversity. To determine whether marine parks are reaching conservation objectives requires consistent assessments of their effectiveness through time. Lord Howe Island and Balls Pyramid are World Heritage listed remote oceanic islands in the Tasman Sea that support a diverse assemblage of fishes including many endemic and protected species. To conserve the region's unique marine biodiversity, state and Commonwealth marine parks including no-take zones and partially protected zones open to line fishing were established. After approximately 5, 9 and 13 years of protection of shelf habitat we tested for changes in the marine park's fish assemblage across management zones through time using baited remote underwater video systems (BRUVs). We detected no difference in total fish abundance, diversity, or assemblage composition between management zone types. The relative abundance of targeted carangids, yellowtail kingfish and silver trevally were 2 and 1.6 times greater in no-take zones than partially protected zones respectively, however, the substantial variation in their abundances among locations and sites meant that these differences were not statistically significant. No clear difference in the relative abundance of endemic, near-endemic and protected species were observed between management zone types. Generally, the abundance and diversity of fishes varied most among locations, sites and sampling years. The overall lack of difference in the fish assemblage between management zone types and its stability through time suggests current anthropogenic threats are relatively minor, and the marine park's condition is reasonably healthy. Future surveys of the marine park's fish assemblage will be valuable to test for body-size differences between zone types and to monitor trends in condition, particularly in response to possible changes in the number, frequency and intensity of anthropogenic threats. (C) 2021 The Author(s). Published by Elsevier B.V.</t>
  </si>
  <si>
    <t>[Rees, M. J.; Knott, N. A.] NSW Dept Primary Ind, Fisheries Res, Huskisson, NSW 2540, Australia; [Rees, M. J.; Davis, A. R.] Univ Wollongong, Ctr Sustainable Ecosyst Solut, Sch Biol Sci, Wollongong, NSW 2522, Australia; [Davis, T. R.; Gudge, S.; Neilson, J. M.; Jordan, A.] Port Stephens Fisheries Inst, NSW Dept Primary Ind, Locked Bag 1, Nelson Bay, NSW 2315, Australia; [Fetterplace, L. C.] Swedish Univ Agr Sci, Inst Coastal Res, Dept Aquat Resources, Uppsala, Sweden; [Jordan, A.] Univ Tasmania, Inst Marine &amp; Antarctic Studies, Hobart, Tas 7001, Australia</t>
  </si>
  <si>
    <t>NSW Department of Primary Industries; University of Wollongong; NSW Department of Primary Industries; Swedish University of Agricultural Sciences; University of Tasmania</t>
  </si>
  <si>
    <t>Fetterplace, LC (corresponding author), Swedish Univ Agr Sci, Inst Coastal Res, Dept Aquat Resources, Uppsala, Sweden.</t>
  </si>
  <si>
    <t>lachlan.fetterplace@slu.se</t>
  </si>
  <si>
    <t>Rees, Matthew John/I-9177-2012; Su, Frank/HPC-7323-2023; Knott, Nathan/AAA-8888-2019; Fetterplace, Lachlan/F-3654-2016; Davis, Thomas/T-5803-2017</t>
  </si>
  <si>
    <t>Rees, Matthew John/0000-0002-2472-6215; Knott, Nathan/0000-0002-7873-0412; Fetterplace, Lachlan/0000-0002-5325-1108; Davis, Andrew/0000-0002-8146-7424; Gudge, Sallyann/0000-0001-5218-4735; Davis, Thomas/0000-0003-0199-2024</t>
  </si>
  <si>
    <t>Parks Australia</t>
  </si>
  <si>
    <t>We thank Ian Kerr, Ian Osterloh, Jimmy Maher, Steve Lindfield, Emma Henry, Caitlin Woods, David Short and Tim Henry for assistance in the field; Rudi Kuiter, Graham Edgar, Rick Stuart-Smith and Andrew Green for their help with species identification of fishes; Jim Seager (SeaGIS) for support with cameras and software, and Hamish Malcolm, Justin Gilligan, Emily Harris and Caitlin Woods for reviewing a draft of the manuscript. We thank the two anonymous reviewers for reviewing the manuscript and Parks Australia for providing funds that contributed to some of the fish surveys.</t>
  </si>
  <si>
    <t>2352-4855</t>
  </si>
  <si>
    <t>REG STUD MAR SCI</t>
  </si>
  <si>
    <t>Reg. Stud. Mar. Sci.</t>
  </si>
  <si>
    <t>10.1016/j.rsma.2021.102038</t>
  </si>
  <si>
    <t>Ecology; Marine &amp; Freshwater Biology</t>
  </si>
  <si>
    <t>WS1TS</t>
  </si>
  <si>
    <t>WOS:000714972600019</t>
  </si>
  <si>
    <t>Yang, P; He, CQ; Qin, YW; Wang, WQ; Mai, KS; Qin, QB; Wei, ZH; Song, F</t>
  </si>
  <si>
    <t>Yang, Peng; He, Chaoqun; Qin, Yawen; Wang, Wenqiang; Mai, Kangsen; Qin, Qinbo; Wei, Zehong; Song, Fei</t>
  </si>
  <si>
    <t>Evaluation of composite mixture of protein sources in replacing fishmeal for Pacific white shrimp (Litopenaeus vannamei): Based on the changing pattern of growth performance, nutrient metabolism and health status</t>
  </si>
  <si>
    <t>AQUACULTURE REPORTS</t>
  </si>
  <si>
    <t>Fishmeal replacement; Growth performance; Nutrient metabolism; Health status; Pacific white shrimp (Litopenaeus vannamei)</t>
  </si>
  <si>
    <t>AMINO-ACID-CONCENTRATIONS; TOR SIGNALING PATHWAY; PARTIAL REPLACEMENT; SOYBEAN-MEAL; GENE-EXPRESSION; DIETARY-PROTEIN; COTTONSEED MEAL; IMMUNE-RESPONSE; PRACTICAL DIETS; JUVENILE</t>
  </si>
  <si>
    <t>An 8 weeks feeding trial was designed to evaluate the alternative efficiency of composite mixture of protein sources in replacing fishmeal (FM) for Pacific white shrimp (Litopenaeus vannamei) with the initial weigh of 2.55 +/- 0.002 g. Four isonitrogenous (44.0%) and isolipidic (6.7%) diets were formulated using different protein sources. Diet-1 (Control diet): used FM as the main protein sources; Diet-2: 50% FM was replaced by poultry byproduct meal(PBM) and antarctic krill meal (AKM) (1:1); Diet-3: FM was totally substituted by PBM, AKM and corn gluten meal (CGM) (1:1:1); Diet-4, 100% FM was substituted by CGM, cottonseed meal and rice protein concentrate meal (1:1:1). Results showed that no statistical differences for growth performance were detected after shrimp fed with Diet-2 and Diet-3 compared with the shrimp fed with control diet. However, Diet-4 markedly decreased the growth performance, feed utilization and body composition. Moreover, compared with control diet, Diet-2 and Diet-3 also had no effect on modifying the concentration of total free essential amino acid (EAA), whereas Diet-4 significantly reduced the concentration of EAA in muscle. Further explored the underlying mechanism, present study shown that Diet-2 did not alter the activation of target of rapamycin (TOR) signaling and the gene expression profile of glucolipid metabolism and immune response. Compared with control diet, Diet-3 caused partial variation of the activity of TOR signaling, nutrient metabolism and immune response. However, whole plant proteins replacement diet (Diet-4) significant decreased the growth performance and damaged the health status through inhibiting TOR signaling and further depressing the nutrient turnover and immune response. According, present study demonstrated that composite mixture of PBM and AKM (1:1) might be an effective substitution to replace FM. Meanwhile, composite mixture of PBM, AKM and CGM (1:1:1) is an excellent alternative diet to totally replaced FM in shrimp feeds.</t>
  </si>
  <si>
    <t>[Yang, Peng; He, Chaoqun; Qin, Yawen; Wang, Wenqiang; Mai, Kangsen; Song, Fei] South China Normal Univ, Coll Life Sci,Guangdong Prov Key Lab Hlth &amp; Safe, Inst Modern Aquaculture Sci &amp; Engn IMASE, Guangzhou Key Lab Subtrop Biodivers &amp; Biomonitori, Guangzhou 510631, Peoples R China; [Song, Fei] Southern Marine Sci &amp; Engn Guangdong Lab, Zhuhai 519000, Peoples R China; [Qin, Qinbo; Wei, Zehong] Hunan Normal Univ, Coll Life Sci, State Key Lab Dev Biol Freshwater Fish, Changsha 410081, Peoples R China</t>
  </si>
  <si>
    <t>South China Normal University; Southern Marine Science &amp; Engineering Guangdong Laboratory; Hunan Normal University</t>
  </si>
  <si>
    <t>Song, F (corresponding author), South China Normal Univ, Coll Life Sci,Guangdong Prov Key Lab Hlth &amp; Safe, Inst Modern Aquaculture Sci &amp; Engn IMASE, Guangzhou Key Lab Subtrop Biodivers &amp; Biomonitori, Guangzhou 510631, Peoples R China.</t>
  </si>
  <si>
    <t>songfei@m.scnu.edu.cn</t>
  </si>
  <si>
    <t>Zhuo, Xianglong/HNO-9030-2023</t>
  </si>
  <si>
    <t>Foundation and Applied Basic Research Fund Project of Guangdong Province, China [2019A1515110606]; Innovation Group Project of Southern Marine Science and Engineering Guangdong Laboratory (Zhuhai), China; State Key Laboratory of Developmental Biology of Freshwater Fish and Research, China [2021KF007]; Development Fund for Young Teachers of South China Normal University, China [19KJ03]</t>
  </si>
  <si>
    <t>Foundation and Applied Basic Research Fund Project of Guangdong Province, China; Innovation Group Project of Southern Marine Science and Engineering Guangdong Laboratory (Zhuhai), China; State Key Laboratory of Developmental Biology of Freshwater Fish and Research, China; Development Fund for Young Teachers of South China Normal University, China</t>
  </si>
  <si>
    <t>This work was supported by the Foundation and Applied Basic Research Fund Project of Guangdong Province (2019A1515110606) , China, Innovation Group Project of Southern Marine Science and Engi-neering Guangdong Laboratory (Zhuhai) , China, State Key Laboratory of Developmental Biology of Freshwater Fish and Research (2021KF007) , China and Development Fund for Young Teachers of South China Normal University (19KJ03) , China.</t>
  </si>
  <si>
    <t>2352-5134</t>
  </si>
  <si>
    <t>AQUACULT REP</t>
  </si>
  <si>
    <t>Aquacult. Rep.</t>
  </si>
  <si>
    <t>10.1016/j.aqrep.2021.100914</t>
  </si>
  <si>
    <t>WN9NV</t>
  </si>
  <si>
    <t>WOS:000712092900006</t>
  </si>
  <si>
    <t>Alp, B</t>
  </si>
  <si>
    <t>Alp, Bill</t>
  </si>
  <si>
    <t>Dogs of the British Antarctic Expedition 1910-13 (vol 55, pg 476, 2019)</t>
  </si>
  <si>
    <t>epearce@cambridge.org</t>
  </si>
  <si>
    <t>OCT 22</t>
  </si>
  <si>
    <t>e41</t>
  </si>
  <si>
    <t>10.1017/S0032247421000644</t>
  </si>
  <si>
    <t>XB3YQ</t>
  </si>
  <si>
    <t>WOS:000721268100001</t>
  </si>
  <si>
    <t>Zhu, Z; Liu, JP; Song, MR; Wang, SY; Hu, YY</t>
  </si>
  <si>
    <t>Zhu, Zhu; Liu, Jiping; Song, Mirong; Wang, Shaoyin; Hu, Yongyun</t>
  </si>
  <si>
    <t>Impacts of Antarctic Sea Ice, AMV and IPO on Extratropical Southern Hemisphere Climate: A Modeling Study</t>
  </si>
  <si>
    <t>extratropical Southern hemisphere; Antarctic sea ice; AMV; IPO; community atmosphere model</t>
  </si>
  <si>
    <t>LOW-FREQUENCY VARIABILITY; ATMOSPHERIC RESPONSE; SURFACE TEMPERATURE; PLANETARY-WAVES; NORTH PACIFIC; ANNULAR MODE; OCEAN; OSCILLATION; CIRCULATION; TRENDS</t>
  </si>
  <si>
    <t>Some studies have discussed potential influences of Antarctic sea ice anomalies, Atlantic Multi-decadal Variability (AMV), and Interdecadal Pacific Oscillation (IPO) on the Southern Hemisphere (SH) climate, individually. However, it is not clear how different combinations of them influence the extratropical SH climate. Here we select three different combinations of strong anomalies in Antarctic sea ice (SI), AMV and/or IPO identified from observations, and investigate their influence on the winter extratropical SH climate using the Community Atmosphere Model. The model results show that atmospheric responses vary with different combinations. When both SI and AMV are in strong positive polarity (SI + AMV), the polar jet shifts equatorward while the subtropical jet shifts poleward, the amplitude of zonal wave number 1 is reduced in high-latitudes with minimal changes in wave number 2, and a north-south circulation dipole occurs in both the Atlantic and Pacific. Different from SI + AMV, when SI is in strong positive polarity and IPO is in strong negative polarity (SI-IPO), the reduction of wave number 1 is dramatically increased, accompanied by remarkably increased wave number 2. The north-south circulation dipole only occurs in the Pacific and is confined to the central and eastern Pacific, whereas the Atlantic is dominated by anomalously anticyclonic circulation. Together, SI + AMV-IPO leads to the largest reduction of wave number 1 in high-latitudes and subtropics, the strongest north-south circulation dipole in the Pacific as well as the Amundsen Sea Low. As a result, the three combinations produce different patterns of surface temperature and precipitation anomalies over Antarctica, Australia and South America.</t>
  </si>
  <si>
    <t>[Zhu, Zhu; Song, Mirong] Chinese Acad Sci, Inst Atmospher Phys, State Key Lab Numer Modeling Atmospher Sci &amp; Geop, Beijing, Peoples R China; [Zhu, Zhu] Univ Chinese Acad Sci, Beijing, Peoples R China; [Liu, Jiping] SUNY Albany, Dept Atmospher &amp; Environm Sci, Albany, NY 12222 USA; [Song, Mirong; Wang, Shaoyin] Southern Marine Sci &amp; Engn Guangdong Lab Zhuhai, Zhuhai, Peoples R China; [Hu, Yongyun] Sun Yat Sen Univ, Sch Geospatial Engn &amp; Sci, Zhuhai, Peoples R China; Peking Univ, Sch Phys, Dept Atmospher &amp; Ocean Sci, Beijing, Peoples R China</t>
  </si>
  <si>
    <t>Chinese Academy of Sciences; Institute of Atmospheric Physics, CAS; Chinese Academy of Sciences; University of Chinese Academy of Sciences, CAS; State University of New York (SUNY) System; State University of New York (SUNY) Albany; Southern Marine Science &amp; Engineering Guangdong Laboratory; Southern Marine Science &amp; Engineering Guangdong Laboratory (Zhuhai); Sun Yat Sen University; Peking University</t>
  </si>
  <si>
    <t>Liu, JP (corresponding author), SUNY Albany, Dept Atmospher &amp; Environm Sci, Albany, NY 12222 USA.</t>
  </si>
  <si>
    <t>jliu26@albany.edu</t>
  </si>
  <si>
    <t>Hu, Yongyun/B-6786-2016</t>
  </si>
  <si>
    <t>Hu, Yongyun/0000-0002-4003-4630</t>
  </si>
  <si>
    <t>yy</t>
  </si>
  <si>
    <t>Funding This research is supported by the National Key R&amp;D Program of China (2018YFA0605901) and the National Natural Science Foundation of China (41830536 and 41941009).</t>
  </si>
  <si>
    <t>10.3389/feart.2021.757475</t>
  </si>
  <si>
    <t>WU3UV</t>
  </si>
  <si>
    <t>WOS:000716474500001</t>
  </si>
  <si>
    <t>Dey, SP; Vichi, M; Fearon, G; Seyboth, E; Findlay, KP; Meynecke, JO; de Bie, J; Lee, SB; Samanta, S; Barraqueta, JLM; Roychoudhury, AN; Mackey, B</t>
  </si>
  <si>
    <t>Dey, Subhra Prakash; Vichi, Marcello; Fearon, Giles; Seyboth, Elisa; Findlay, Ken P.; Meynecke, Jan-Olaf; de Bie, Jasper; Lee, Serena Blyth; Samanta, Saumik; Barraqueta, Jan-Lukas Menzel; Roychoudhury, Alakendra N.; Mackey, Brendan</t>
  </si>
  <si>
    <t>Oceanographic anomalies coinciding with humpback whale super-group occurrences in the Southern Benguela</t>
  </si>
  <si>
    <t>CLIMATE-CHANGE; MEGAPTERA-NOVAEANGLIAE; UPWELLING SYSTEM; WEST-COAST; BIOLOGICAL PRODUCTION; SEASONALITY; MOVEMENTS; ABUNDANCE; AGULHAS; TRENDS</t>
  </si>
  <si>
    <t>Seasonal feeding behaviour of humpback whales (Megaptera novaeangliae) has been observed in the coastal waters of the Southern Benguela where the species has been observed forming super-groups during the austral spring in recent years since 2011. Super-groups are unprecedented densely-packed aggregations of between 20 and 200 individuals in low-latitude waters and their occurrences indicate possible changes in feeding behaviour of the species. We accessed published data on super-groups occurrence in the study area in 2011, 2014 and 2015, and investigated oceanographic drivers that support prey availability in this region. We found that enhanced primary production is a necessary but not sufficient condition for super-groups to occur. Positive chlorophyll anomalies occurring one month prior to the super-group occurrences were identified, but only a concurrent significantly reduced water volume export from the region throughout October were conducive to the aggregations in the specific years. Hydrodynamic model results attributed the anomalous decreased volume export to the strength and orientation of the Goodhope Jet and associated eddy activity. The combination of random enhanced primary production typical of the region and emerging anomalous conditions of reduced water export in October since 2011 resulted in favourable food availability leading to the unique humpback whale aggregations. The novelty of this grouping behaviour is indicative of the lack of such oceanographic conditions in the past. Given the recency of the events, it is difficult to attribute this reduction in ocean transport to climatic regime shifts, and the origin should be likely investigated in the distant water mass interaction with the greater Agulhas system rather than in local intensifications of the upwelling conditions. A positive trend in the humpback whale population abundance points to the need to monitor the exposure of the species to the changing climate conditions.</t>
  </si>
  <si>
    <t>[Dey, Subhra Prakash; Vichi, Marcello; Fearon, Giles] Univ Cape Town, Dept Oceanog, ZA-7701 Rondebosch, South Africa; [Dey, Subhra Prakash; Vichi, Marcello; Fearon, Giles] Univ Cape Town, Marine &amp; Antarctic Res Ctr Innovat &amp; Sustainabil, ZA-7701 Rondebosch, South Africa; [Seyboth, Elisa; Findlay, Ken P.] Cape Peninsula Univ Technol, Fac Appl Sci, Ctr Sustainable Oceans, Cape Town, South Africa; [Meynecke, Jan-Olaf; de Bie, Jasper; Lee, Serena Blyth; Mackey, Brendan] Griffith Univ, Griffith Climate Change Response Program, Southport, Qld, Australia; [Meynecke, Jan-Olaf; de Bie, Jasper; Lee, Serena Blyth] Griffith Univ, Coastal &amp; Marine Res Ctr, Southport, Qld, Australia; [Samanta, Saumik; Barraqueta, Jan-Lukas Menzel; Roychoudhury, Alakendra N.] Stellenbosch Univ, Earth Sci, Cape Town, South Africa</t>
  </si>
  <si>
    <t>University of Cape Town; University of Cape Town; Cape Peninsula University of Technology; Griffith University; Griffith University - Gold Coast Campus; Griffith University; Griffith University - Gold Coast Campus; Stellenbosch University</t>
  </si>
  <si>
    <t>Dey, SP; Vichi, M (corresponding author), Univ Cape Town, Dept Oceanog, ZA-7701 Rondebosch, South Africa.;Dey, SP; Vichi, M (corresponding author), Univ Cape Town, Marine &amp; Antarctic Res Ctr Innovat &amp; Sustainabil, ZA-7701 Rondebosch, South Africa.</t>
  </si>
  <si>
    <t>subhra.dey@uct.ac.za; marcello.vichi@uct.ac.za</t>
  </si>
  <si>
    <t>Samanta, Saumik/GYQ-8988-2022; Vichi, Marcello/GLR-9823-2022; Findlay, Ken/A-5766-2019</t>
  </si>
  <si>
    <t>Vichi, Marcello/0000-0002-0686-9634; Mackey, Brendan/0000-0003-1996-4064; Findlay, Ken/0000-0001-7154-8805; de Bie, Jasper/0000-0002-8371-4089; SAMANTA, SAUMIK/0000-0002-6901-0747</t>
  </si>
  <si>
    <t>project entitled Humpback whales in a changing climate as part of the Whales &amp; Climate Research Program</t>
  </si>
  <si>
    <t>This study is funded by a private charitable trust through the project entitled Humpback whales in a changing climate as part of the Whales &amp; Climate Research Program. The ICTS High-Performance Computing team: hpc.uct.ac.za at the University of Cape Town is acknowledged for providing computational facilities. The authors are thankful to the Climate Systems Analysis Group (CSAG), University of Cape Town for providing their highresolution WRF output and the South African Navy Hydrographic Office (SANHO) for the provision of bathymetry data. The authors acknowledge the Department of Forestry, Fisheries and Environment (DFFE), South Africa for providing the cruise data from the St Helena Bay Monitoring Line through the Marine Information Management System. The authors also acknowledge MATLAB team (https://matlab.mathworks.com/) as all the pre- and post-processing of CROCO input and output, and observational data analyses were performed using MATLAB 2020b software. All the figures were also generated using MATLAB 2020b. The authors wish to thank two anonymous reviewers who made constructive comments that improved the first version of the manuscript.</t>
  </si>
  <si>
    <t>10.1038/s41598-021-00253-2</t>
  </si>
  <si>
    <t>WL1SE</t>
  </si>
  <si>
    <t>WOS:000710192900074</t>
  </si>
  <si>
    <t>Voosen, P</t>
  </si>
  <si>
    <t>Voosen, Paul</t>
  </si>
  <si>
    <t>Hunt begins for ancient Antarctic ice Six teams plan to drill cores that could shed light on warm climates 1.5 million years ago</t>
  </si>
  <si>
    <t>WL2OU</t>
  </si>
  <si>
    <t>WOS:000710251800017</t>
  </si>
  <si>
    <t>Wilka, C; Solomon, S; Kinnison, D; Tarasick, D</t>
  </si>
  <si>
    <t>Wilka, Catherine; Solomon, Susan; Kinnison, Doug; Tarasick, David</t>
  </si>
  <si>
    <t>An Arctic ozone hole in 2020 if not for the Montreal Protocol</t>
  </si>
  <si>
    <t>DEPLETION; SIMULATION; EMISSIONS; RECOVERY; LAYER</t>
  </si>
  <si>
    <t>Without the Montreal Protocol, the already extreme Arctic ozone losses in the boreal spring of 2020 would be expected to have produced an Antarctic-like ozone hole, based upon simulations performed using the specified dynamics version of the Whole Atmosphere Community Climate Model (SD-WACCM) and using an alternate emission scenario of 3.5% growth in ozone-depleting substances from 1985 onwards. In particular, we find that the area of total ozone below 220DU (Dobson units), a standard metric of Antarctic ozone hole size, would have covered about 20 million km(2). Record observed local lows of 0.1 ppmv (parts per million by volume) at some altitudes in the lower stratosphere seen by ozonesondes in March 2020 would have reached 0.01, again similar to the Antarctic. Spring ozone depletion would have begun earlier and lasted longer without the Montreal Protocol, and by 2020, the year-round ozone depletion would have begun to dramatically diverge from the observed case. This extreme year also provides an opportunity to test parameterizations of polar stratospheric cloud impacts on denitrification and, thereby, to improve stratospheric models of both the real world and alternate scenarios. In particular, we find that decreasing the parameterized nitric acid trihydrate number density in SD-WACCM, which subsequently increases denitrification, improves the agreement with observations for both nitric acid and ozone. This study reinforces that the historically extreme 2020 Arctic ozone depletion is not cause for concern over the Montreal Protocol's effectiveness but rather demonstrates that the Montreal Protocol indeed merits celebration for avoiding an Arctic ozone hole.</t>
  </si>
  <si>
    <t>[Wilka, Catherine; Solomon, Susan] MIT, Dept Earth Atmospher &amp; Planetary Sci, 77 Massachusetts Ave, Cambridge, MA 02139 USA; [Kinnison, Doug] Natl Ctr Atmospher Res, Atmospher Chem Div, POB 3000, Boulder, CO 80307 USA; [Tarasick, David] Environm &amp; Climate Change Canada, Toronto, ON, Canada</t>
  </si>
  <si>
    <t>Massachusetts Institute of Technology (MIT); National Center Atmospheric Research (NCAR) - USA; Environment &amp; Climate Change Canada</t>
  </si>
  <si>
    <t>Wilka, C (corresponding author), MIT, Dept Earth Atmospher &amp; Planetary Sci, 77 Massachusetts Ave, Cambridge, MA 02139 USA.</t>
  </si>
  <si>
    <t>cwilka@mit.edu</t>
  </si>
  <si>
    <t>Tarasick, David Walter/IYS-7006-2023</t>
  </si>
  <si>
    <t>Tarasick, David Walter/0000-0001-9869-0692</t>
  </si>
  <si>
    <t>NASA [80NSSC19K0952]</t>
  </si>
  <si>
    <t>NASA(National Aeronautics &amp; Space Administration (NASA))</t>
  </si>
  <si>
    <t>Catherine Wilka and Susan Solomon were partly supported by a gift from an anonymous donor to MIT. Doug Kinnison was funded in part by NASA (grant no. 80NSSC19K0952).</t>
  </si>
  <si>
    <t>10.5194/acp-21-15771-2021</t>
  </si>
  <si>
    <t>WM0SR</t>
  </si>
  <si>
    <t>WOS:000710805500001</t>
  </si>
  <si>
    <t>Fonseca, BM; Camara, PEAS; Ogaki, MB; Pinto, OHB; Lirio, JM; Coria, SH; Vieira, R; Carvalho-Silva, M; Amorim, ET; Convey, P; Rosa, LH</t>
  </si>
  <si>
    <t>Fonseca, Barbara Medeiros; Aguiar Saraiva Camara, Paulo Eduardo; Ogaki, Mayara Baptistucci; Bezerra Pinto, Otavio Henrique; Lirio, Juan Manuel; Coria, Silvia H.; Vieira, Rosemary; Carvalho-Silva, Micheline; Amorim, Eduardo Toledo; Convey, Peter; Rosa, Luiz Henrique</t>
  </si>
  <si>
    <t>Green algae (Viridiplantae) in sediments from three lakes on Vega Island, Antarctica, assessed using DNA metabarcoding</t>
  </si>
  <si>
    <t>MOLECULAR BIOLOGY REPORTS</t>
  </si>
  <si>
    <t>Chlorophyta; Diversity; James Ross archipelago; High throughput sequencing; Polar biology</t>
  </si>
  <si>
    <t>KING-GEORGE ISLAND; POTTER PENINSULA; MICROBIAL MATS; SNOW ALGA; HOPE BAY; PHYLOGENY; ECOLOGY; CHLAMYDOMONADALES; SITES</t>
  </si>
  <si>
    <t>Background Vega Island is located off the eastern tip of the Antarctic Peninsula (Maritime Antarctica), in the Weddell Sea. In this study, we used metabarcoding to investigate green algal DNA sequence diversity present in sediments from three lakes on Vega Island (Esmeralda, Copepodo, and Pan Negro Lakes). Methods and results Total DNA was extracted and the internal transcribed spacer 2 region of the nuclear ribosomal DNA was used as a DNA barcode for molecular identification. Green algae were represented by sequences representing 78 taxa belonging to Phylum Chlorophyta, of which 32% have not previously been recorded from Antarctica. Sediment from Pan Negro Lake generated the highest number of DNA reads (11,205), followed by Esmeralda (9085) and Copepodo (1595) Lakes. Esmeralda Lake was the richest in terms of number of taxa (59), with Copepodo and Pan Negro Lakes having 30 taxa each. Bray-Curtis dissimilarity among lakes was high (similar to 0.80). The Order Chlamydomonadales (Chlorophyceae) gave the highest contribution in terms of numbers of taxa and DNA reads in all lakes. The most abundant taxon was Chlorococcum microstigmatum. Conclusions The study confirms the utility of DNA metabarcoding in assessing potential green algal diversity in Antarctic lakes, generating new Antarctic records.</t>
  </si>
  <si>
    <t>[Aguiar Saraiva Camara, Paulo Eduardo; Carvalho-Silva, Micheline] Univ Brasilia, Dept Bot, Brasilia, DF, Brazil; [Ogaki, Mayara Baptistucci; Rosa, Luiz Henrique] Univ Fed Minas Gerais, Dept Microbiol, Belo Horizonte, MG, Brazil; [Bezerra Pinto, Otavio Henrique] Univ Brasilia, Dept Biol Celular, Brasilia, DF, Brazil; [Lirio, Juan Manuel; Coria, Silvia H.] Inst Antartico Argentino, Buenos Aires, DF, Argentina; [Vieira, Rosemary] Univ Fed Fluminense, Inst Geociencias, Niteroi, RJ, Brazil; [Amorim, Eduardo Toledo] CNCFLORA, Jardim Bot Rio de Janeiro, Rio De Janeiro, RJ, Brazil; [Convey, Peter] British Antarctic Survey, Cambridge, England; [Convey, Peter] Univ Johannesburg, Dept Zool, Auckland Pk, South Africa</t>
  </si>
  <si>
    <t>Universidade de Brasilia; Universidade Federal de Minas Gerais; Universidade de Brasilia; Instituto Antartico Argentino; Universidade Federal Fluminense; UK Research &amp; Innovation (UKRI); Natural Environment Research Council (NERC); NERC British Antarctic Survey; University of Johannesburg</t>
  </si>
  <si>
    <t>barbara.fonseca0603@gmail.com</t>
  </si>
  <si>
    <t>Convey, Peter/AAV-5728-2020; Camara, Paulo/GPP-2054-2022</t>
  </si>
  <si>
    <t>Convey, Peter/0000-0001-8497-9903; Camara, Paulo/0000-0002-3944-996X; Amorim, Eduardo/0000-0003-4253-1339; Pinto, Otavio/0000-0002-8382-2987; Vieira, Rosemary/0000-0003-0312-2890; Silva, Micheline/0000-0002-2389-3804; Lirio, Juan Manuel/0000-0002-1019-8407; Ogaki, Mayara/0000-0002-3810-1048</t>
  </si>
  <si>
    <t>Conselho Nacional de Desenvolvimento Cientifico e Tecnologico (CNPq); Programa Antartico Brasileiro (PROANTAR); Fundacao de Amparo a Pesquisa do Estado de Minas Gerais (FAPEMIG); Coordenacao de Aperfeicoamento de Pessoal de Nivel Superior (CAPES); Institutos Nacionais de Ciencia e Tecnologia (INCT) Criosfera 2; Natural Environment Research Council (NERC); Instituto Antartico Argentino; NERC [bas0100036] Funding Source: UKRI</t>
  </si>
  <si>
    <t>Conselho Nacional de Desenvolvimento Cientifico e Tecnologico (CNPq)(Conselho Nacional de Desenvolvimento Cientifico e Tecnologico (CNPQ)); Programa Antartico Brasileiro (PROANTAR); Fundacao de Amparo a Pesquisa do Estado de Minas Gerais (FAPEMIG)(Fundacao de Amparo a Pesquisa do Estado de Minas Gerais (FAPEMIG)Fundacao de Amparo a Pesquisa e Inovacao do Estado de Santa Catarina (FAPESC)); Coordenacao de Aperfeicoamento de Pessoal de Nivel Superior (CAPES)(Coordenacao de Aperfeicoamento de Pessoal de Nivel Superior (CAPES)); Institutos Nacionais de Ciencia e Tecnologia (INCT) Criosfera 2; Natural Environment Research Council (NERC)(UK Research &amp; Innovation (UKRI)Natural Environment Research Council (NERC)); Instituto Antartico Argentino; NERC(UK Research &amp; Innovation (UKRI)Natural Environment Research Council (NERC))</t>
  </si>
  <si>
    <t>This study received financial support from Conselho Nacional de Desenvolvimento Cientifico e Tecnologico (CNPq), Programa Antartico Brasileiro (PROANTAR), FundacAo de Amparo a Pesquisa do Estado de Minas Gerais (FAPEMIG), CoordenacAo de Aperfeicoamento de Pessoal de Nivel Superior (CAPES), Institutos Nacionais de Ciencia e Tecnologia (INCT) Criosfera 2. P. Convey is supported by Natural Environment Research Council (NERC) core funding to the British Antarctic Survey (BAS) 'Biodiversity, Evolution and Adaptation' Team. Thanks also to congresswoman Jo Moraes, to Instituto de Ciencias Biologicas da Universidade de Brasilia and to the Brazilian Navy and Air Force. We thank the Instituto Antartico Argentino for the logistical and financial support of the Antarctic campaign to Vega Island and to the Lagos Field Group.</t>
  </si>
  <si>
    <t>0301-4851</t>
  </si>
  <si>
    <t>1573-4978</t>
  </si>
  <si>
    <t>MOL BIOL REP</t>
  </si>
  <si>
    <t>Mol. Biol. Rep.</t>
  </si>
  <si>
    <t>10.1007/s11033-021-06857-1</t>
  </si>
  <si>
    <t>YE3VB</t>
  </si>
  <si>
    <t>WOS:000710077300008</t>
  </si>
  <si>
    <t>Wang, YY; Ma, LB; He, J; Liu, ZX; Weng, SP; Wang, LM; He, JG; Guo, CJ</t>
  </si>
  <si>
    <t>Wang, Yuanyuan; Ma, Lingbo; He, Jian; Liu, Zixuan; Weng, Shaoping; Wang, Lumin; He, Jianguo; Guo, Changjun</t>
  </si>
  <si>
    <t>Whole genome sequencing and comparative genomic analyses of Planococcus alpniumensis MSAK28401T, a new species isolated from Antarctic krill</t>
  </si>
  <si>
    <t>BMC MICROBIOLOGY</t>
  </si>
  <si>
    <t>Planococcus; Antarctic krill; Genomic analysis; Extremophiles</t>
  </si>
  <si>
    <t>SP-NOV.; GENUS; ALKANOCLASTICUS; PSYCHROPHILUS; SEDIMENT; DESERT; SERVER; SOIL</t>
  </si>
  <si>
    <t>Background Extremophiles have attracted much attention in the last few decades, as they possess different properties by producing certain useful metabolites. However, the secondary metabolism of the extremophiles of Antarctic krill has received little attention. Results In this study, a new bacterial strain MSAK28401(T) from Antarctic krill was isolated and identified. The results of analysis on phenotypic, chemotaxonomic, and genomic characteristics showed that the strain MSAK28401(T) belongs to the genus Planococcus. Cells of this strain were coccoid (0.89-1.05 mu m) and aerobic. The majority of the fatty acid content was C-15:0 anteiso (37.67 +/- 0.90%) followed by C-16:1 omega 7c alcohol (10.37 +/- 1.22%) and C-16:0 iso (9.36 +/- 0.71%). The calculated average nucleotide identity and DNA-DNA hybridization values between the strain MSAK28401(T) and type strains P. citreus DSM 20549(T) and P. rifietoensis M8(T) were lower than 91 and 70%, respectively. The strain MSAK28401(T) (=KCTC 43283(T) and MCCC 1k05448(T)) represented a new member of the genus Planococcus and was named P. alpniumensis sp. nov. Moreover, genes involved in the degradation of aromatic compounds (e.g., salicylate, gentisate, and quinate) were found in the genome, implying that strain MSAK28401(T) has an aromatic compound as its potential metabolite. This work will help us understand the genomic characteristics and potential metabolic pathway of Planococcus from Antarctic krill. Conclusions This study reported the genomic information and phenotypic characteristics of the new strain P. alpniumensis MSAK28401(T) isolated from Antarctic krill, and provided the genome information of Planococcus strains for further studying the function roles in aromatic compound metabolism.</t>
  </si>
  <si>
    <t>[Wang, Yuanyuan; He, Jian; Liu, Zixuan; He, Jianguo; Guo, Changjun] Sun Yat Sen Univ, Sch Marine Sci, State Key Lab Biocontrol, 135 Xingang Rd West, Guangzhou 510275, Peoples R China; [Wang, Yuanyuan; He, Jian; Liu, Zixuan; He, Jianguo; Guo, Changjun] Sun Yat Sen Univ, Sch Marine Sci, Southern Lab Ocean Sci &amp; Engn Guangdong Zhuhai, 135 Xingang Rd West, Guangzhou 510275, Peoples R China; [Weng, Shaoping; He, Jianguo; Guo, Changjun] Sun Yat Sen Univ, Guangdong Prov Key Lab Aquat Econ Anim, 135 Xingang Rd West, Guangzhou 510275, Peoples R China; [Weng, Shaoping; He, Jianguo; Guo, Changjun] Sun Yat Sen Univ, Guangdong Prov Key Lab Marine Resources &amp; Coastal, 135 Xingang Rd West, Guangzhou 510275, Peoples R China; [Ma, Lingbo; Wang, Lumin] Minist Agr, Key Lab East China Sea &amp; Ocean Fishery Resources, East China Sea Fisheries Res Inst, Shanghai 116023, Peoples R China</t>
  </si>
  <si>
    <t>Sun Yat Sen University; Sun Yat Sen University; Sun Yat Sen University; Sun Yat Sen University; Chinese Academy of Fishery Sciences; East China Sea Fisheries Research Institute, CAFS; Ministry of Agriculture &amp; Rural Affairs</t>
  </si>
  <si>
    <t>Guo, CJ (corresponding author), Sun Yat Sen Univ, Sch Marine Sci, State Key Lab Biocontrol, 135 Xingang Rd West, Guangzhou 510275, Peoples R China.;Guo, CJ (corresponding author), Sun Yat Sen Univ, Sch Marine Sci, Southern Lab Ocean Sci &amp; Engn Guangdong Zhuhai, 135 Xingang Rd West, Guangzhou 510275, Peoples R China.;Guo, CJ (corresponding author), Sun Yat Sen Univ, Guangdong Prov Key Lab Aquat Econ Anim, 135 Xingang Rd West, Guangzhou 510275, Peoples R China.;Guo, CJ (corresponding author), Sun Yat Sen Univ, Guangdong Prov Key Lab Marine Resources &amp; Coastal, 135 Xingang Rd West, Guangzhou 510275, Peoples R China.</t>
  </si>
  <si>
    <t>gchangj@mail.sysu.edu.cn</t>
  </si>
  <si>
    <t>Wang, Yu/GZL-9655-2022; WANG, YUANYUAN/IQR-4295-2023; wangwangwang, yuanyaunyuan/HHN-6432-2022; Lv, Yuanjie/AER-0767-2022; Wang, Yuan/GRF-3621-2022; Wang, Yuan/HHC-1520-2022</t>
  </si>
  <si>
    <t>National Key Research and Development Program of China [2018YFD0900504, 2018YFD0900501]; Science and Technology Planning Project of Guangzhou [201904020043]; China Agriculture Research System [CARS-46]; Guangdong Key Research and Development Program [2019B020217001]; Guangdong Provincial Special Fund for Modern Agriculture Industry Technology Innovation Teams; Innovation Group Project of Southern Marine Science and Engineering Guangdong Laboratory (Zhuhai) [311021006]</t>
  </si>
  <si>
    <t>National Key Research and Development Program of China; Science and Technology Planning Project of Guangzhou; China Agriculture Research System; Guangdong Key Research and Development Program; Guangdong Provincial Special Fund for Modern Agriculture Industry Technology Innovation Teams; Innovation Group Project of Southern Marine Science and Engineering Guangdong Laboratory (Zhuhai)</t>
  </si>
  <si>
    <t>This work was supported by the National Key Research and Development Program of China (Nos. 2018YFD0900504 and 2018YFD0900501), the Science and Technology Planning Project of Guangzhou (No. 201904020043), the China Agriculture Research System (No. CARS-46), the Guangdong Key Research and Development Program (No. 2019B020217001), Guangdong Provincial Special Fund for Modern Agriculture Industry Technology Innovation Teams, and the Innovation Group Project of Southern Marine Science and Engineering Guangdong Laboratory (Zhuhai) (No. 311021006). This work is not supported by a funder.</t>
  </si>
  <si>
    <t>1471-2180</t>
  </si>
  <si>
    <t>BMC MICROBIOL</t>
  </si>
  <si>
    <t>BMC Microbiol.</t>
  </si>
  <si>
    <t>10.1186/s12866-021-02347-3</t>
  </si>
  <si>
    <t>WL0VT</t>
  </si>
  <si>
    <t>WOS:000710134600003</t>
  </si>
  <si>
    <t>Bridges, AEH; Barnes, DKA; Bell, JB; Ross, RE; Howell, KL</t>
  </si>
  <si>
    <t>Bridges, Amelia E. H.; Barnes, David K. A.; Bell, James B.; Ross, Rebecca E.; Howell, Kerry L.</t>
  </si>
  <si>
    <t>Benthic Assemblage Composition of South Atlantic Seamounts</t>
  </si>
  <si>
    <t>deep sea; benthic ecology; assemblage composition; oceanic island; vulnerable marine ecosystem (VME)</t>
  </si>
  <si>
    <t>PORCUPINE ABYSSAL-PLAIN; PROTECTED AREA NETWORKS; DEEP-SEA; COMMUNITY STRUCTURE; ECOLOGICAL COHERENCE; CLASSIFICATION; DIVERSITY; PATTERNS; DEPTH; BIODIVERSITY</t>
  </si>
  <si>
    <t>Seamounts and oceanic islands rise from the seafloor and provide suitable habitat for a diverse range of biological assemblages including Vulnerable Marine Ecosystems (VMEs). Whilst they have been the focus of some work globally, there has been little description of the biological and physical environments of seamounts in the South Atlantic Ocean. In this study, we characterized benthic assemblage composition from 13 seamounts and oceanic islands spanning 8-40 degrees S within the exclusive economic zones (EEZs) of Ascension Island, Saint Helena and Tristan da Cunha. Drop camera imagery was collected between 170 and 1000 m. All fauna present in images were identified and quantified, and multivariate statistics were used to describe biological assemblages and identify their environmental drivers. Benthic communities of temperate regions (Tristan da Cunha archipelago) were shown to be distinct from those found in the tropics, with latitude and depth identified as key environmental drivers of assemblage composition. Our results are consistent with the current understanding of the biogeography of the South Atlantic, both in terms of the distinction between tropical and temperate regions, and the influence of depth and water mass structure on assemblage distribution. Faunal assemblages are similar to those observed in the North Atlantic in terms of functional groups. VMEs are present within the EEZs of all three territories and are potentially protected from some threats by large marine protected areas (MPAs). Our imagery, data and analyses provide a baseline for south Atlantic seamounts so that future monitoring can establish whether existing protected status is sufficient to conserve both unique biodiversity and considerable potential for vital ecosystem services.</t>
  </si>
  <si>
    <t>[Bridges, Amelia E. H.; Howell, Kerry L.] Univ Plymouth, Sch Biol &amp; Marine Sci, Plymouth, Devon, England; [Bridges, Amelia E. H.; Barnes, David K. A.] NERC, British Antarctic Survey, Cambridge, England; [Bridges, Amelia E. H.; Bell, James B.] Ctr Environm Fisheries &amp; Aquaculture Sci, Lowestoft, Suffolk, England; [Ross, Rebecca E.] Inst Marine Res IMR, Benth Communities &amp; Coastal Interact Res Grp, Bergen, Norway</t>
  </si>
  <si>
    <t>University of Plymouth; UK Research &amp; Innovation (UKRI); Natural Environment Research Council (NERC); NERC British Antarctic Survey; Centre for Environment Fisheries &amp; Aquaculture Science; Institute of Marine Research - Norway</t>
  </si>
  <si>
    <t>Bridges, AEH (corresponding author), Univ Plymouth, Sch Biol &amp; Marine Sci, Plymouth, Devon, England.;Bridges, AEH (corresponding author), NERC, British Antarctic Survey, Cambridge, England.;Bridges, AEH (corresponding author), Ctr Environm Fisheries &amp; Aquaculture Sci, Lowestoft, Suffolk, England.</t>
  </si>
  <si>
    <t>amelia.bridges@plymouth.ac.uk</t>
  </si>
  <si>
    <t>Howell, Kerry L/H-5044-2013; Su, Frank/HPC-7323-2023</t>
  </si>
  <si>
    <t>Bridges, Amelia/0000-0002-1422-9637</t>
  </si>
  <si>
    <t>University of Plymouth</t>
  </si>
  <si>
    <t>Funding This work was funded by the UK Foreign and Commonwealth Development Office Blue Belt program, the British Antarctic Survey National Capability Program, under the UKs Official Development Assistance provisions (NERC grant NE/R000107/1), the Cefas Seedcorn Program [SCN775], and the University of Plymouth, United Kingdom.</t>
  </si>
  <si>
    <t>10.3389/fmars.2021.660648</t>
  </si>
  <si>
    <t>WU3TR</t>
  </si>
  <si>
    <t>WOS:000716471500001</t>
  </si>
  <si>
    <t>Králová, S; Busse, HJ; Bezdicek, M; Sandoval-Powers, M; Nykrynová, M; Stanková, E; Krsek, D; Sedlácek, I</t>
  </si>
  <si>
    <t>Kralova, Stanislava; Busse, Hans-Juergen; Bezdicek, Matej; Sandoval-Powers, Megan; Nykrynova, Marketa; Stankova, Eva; Krsek, Daniel; Sedlacek, Ivo</t>
  </si>
  <si>
    <t>Flavobacterium flabelliforme sp. nov. and Flavobacterium geliluteum sp. nov., Two Multidrug-Resistant Psychrotrophic Species Isolated From Antarctica</t>
  </si>
  <si>
    <t>Antarctica; psychrotrophic bacteria; cold-adaptation; phylogenomics; systematics; Flavobacterium flabelliforme sp; nov; Flavobacterium geliluteum sp</t>
  </si>
  <si>
    <t>EMENDED DESCRIPTIONS; GENUS FLAVOBACTERIUM; SEQUENCE-ANALYSIS; LIPID-COMPOSITION; BETA-LACTAMASE; BACTERIA; SEA; IDENTIFICATION; SOIL; PROTEORHODOPSIN</t>
  </si>
  <si>
    <t>Despite unfavorable Antarctic conditions, such as cold temperatures, freeze-thaw cycles, high ultraviolet radiation, dryness and lack of nutrients, microorganisms were able to adapt and surprisingly thrive in this environment. In this study, eight cold-adapted Flavobacterium strains isolated from a remote Antarctic island, James Ross Island, were studied using a polyphasic taxonomic approach to determine their taxonomic position. Phylogenetic analyses based on the 16S rRNA gene and 92 core genes clearly showed that these strains formed two distinct phylogenetic clusters comprising three and five strains, with average nucleotide identities significantly below 90% between both proposed species as well as between their closest phylogenetic relatives. Phenotyping revealed a unique pattern of biochemical and physiological characteristics enabling differentiation from the closest phylogenetically related Flavobacterium spp. Chemotaxonomic analyses showed that type strains P4023(T) and P7388(T) were characterized by the major polyamine sym-homospermidine and a quinone system containing predominantly menaquinone MK-6. In the polar lipid profile phosphatidylethanolamine, an ornithine lipid and two unidentified lipids lacking a functional group were detected as major lipids. These characteristics along with fatty acid profiles confirmed that these species belong to the genus Flavobacterium. Thorough genomic analysis revealed the presence of numerous cold-inducible or cold-adaptation associated genes, such as cold-shock proteins, proteorhodopsin, carotenoid biosynthetic genes or oxidative-stress response genes. Genomes of type strains surprisingly harbored multiple prophages, with many of them predicted to be active. Genome-mining identified biosynthetic gene clusters in type strain genomes with a majority not matching any known clusters which supports further exploratory research possibilities involving these psychrotrophic bacteria. Antibiotic susceptibility testing revealed a pattern of multidrug-resistant phenotypes that were correlated with in silico antibiotic resistance prediction. Interestingly, while typical resistance finder tools failed to detect genes responsible for antibiotic resistance, genomic prediction confirmed a multidrug-resistant profile and suggested even broader resistance than tested. Results of this study confirmed and thoroughly characterized two novel psychrotrophic Flavobacterium species, for which the names Flavobacterium flabelliforme sp. nov. and Flavobacterium geliluteum sp. nov. are proposed.</t>
  </si>
  <si>
    <t>[Kralova, Stanislava; Stankova, Eva; Sedlacek, Ivo] Masaryk Univ, Dept Expt Biol, Czech Collect Microorganisms, Fac Sci, Brno, Czech Republic; [Busse, Hans-Juergen] Vet Med Univ Wien, Inst Mikrobiol, Vienna, Austria; [Bezdicek, Matej] Univ Hosp Brno, Dept Internal Med Hematol &amp; Oncol, Brno, Czech Republic; [Bezdicek, Matej] Masaryk Univ, Dept Internal Med Hematol &amp; Oncol, Brno, Czech Republic; [Sandoval-Powers, Megan] Auburn Univ, Dept Biol Sci, Auburn, AL 36849 USA; [Nykrynova, Marketa] Brno Univ Technol, Fac Elect Engn &amp; Commun, Dept Biomed Engn, Brno, Czech Republic; [Krsek, Daniel] Natl Inst Publ Hlth, NRL Diagnost Electron Microscopy Infect Agents, Prague, Czech Republic</t>
  </si>
  <si>
    <t>Masaryk University Brno; University of Veterinary Medicine Vienna; University Hospital Brno; Masaryk University Brno; Auburn University System; Auburn University; Brno University of Technology; National Institute of Public Health (SZU) - Czech Republic</t>
  </si>
  <si>
    <t>Králová, S (corresponding author), Masaryk Univ, Dept Expt Biol, Czech Collect Microorganisms, Fac Sci, Brno, Czech Republic.</t>
  </si>
  <si>
    <t>kralova.s@sci.muni.cz</t>
  </si>
  <si>
    <t>Kralova, Stanislava/AAW-4815-2021; Sedlacek, Ivo/IWU-8828-2023; Bezdicek, Matej/AEP-0793-2022; Nykrynova, Marketa/R-3181-2018</t>
  </si>
  <si>
    <t>Kralova, Stanislava/0000-0003-3384-5328; Bezdicek, Matej/0000-0002-5833-8325; Nykrynova, Marketa/0000-0002-0205-6935; Sandoval-Powers, Megan/0000-0003-4191-4493</t>
  </si>
  <si>
    <t>Ministry of Education, Youth and Sports of the Czechia [LM2015078]</t>
  </si>
  <si>
    <t>Ministry of Education, Youth and Sports of the Czechia</t>
  </si>
  <si>
    <t>This work was supported by the Ministry of Education, Youth and Sports of the Czechia (LM2015078) Czech-Polar 2 Czech Polar Research Infrastructure.</t>
  </si>
  <si>
    <t>10.3389/fmicb.2021.729977</t>
  </si>
  <si>
    <t>WU5GE</t>
  </si>
  <si>
    <t>WOS:000716572400001</t>
  </si>
  <si>
    <t>Parkinson, CL; DiGirolamo, NE</t>
  </si>
  <si>
    <t>Parkinson, Claire L.; DiGirolamo, Nicolo E.</t>
  </si>
  <si>
    <t>Sea ice extents continue to set new records: Arctic, Antarctic, and global results</t>
  </si>
  <si>
    <t>Sea ice; Arctic sea ice; Antarctic sea ice; Global sea ice; Sea ice record highs and lows; Satellite remote sensing; Climate change</t>
  </si>
  <si>
    <t>ALGORITHMS; WINTERS; DRIVEN; TRENDS</t>
  </si>
  <si>
    <t>The multi-channel satellite passive-microwave record of Earth's sea ice coverage, extending back to the late 1970s, has long revealed declining sea ice coverage in the Arctic but through 2015 revealed an overall increase rather than decrease in Antarctic sea ice coverage. Following major decreases in Antarctic sea ice since 2015, the 42-year 1979-2020 satellite dataset now shows recent losses in sea ice coverage in both hemispheres, and this is convincingly demonstrated by the enumeration of monthly and yearly record high and record low sea ice extents experienced over the course of the 42 years. In fact, one of the most convincing statistics on the declining Arctic sea ice cover is the fact that since 1986 the Arctic has not experienced a single monthly record high sea ice extent in any month but has experienced 93 monthly record lows. In contrast, all 12 calendar months have their 42-year Antarctic monthly record high sea ice extents in the period 2007-2015, while 8 of the 12 calendar months have had Antarctic record lows since 2015. Globally, every calendar month has registered a new monthly record low within the past 5 years. These results are complemented (and somewhat tempered) by quantification of the range of monthly and yearly sea ice extent values over the 42 years. For instance, although the Arctic's lowest September monthly average sea ice extent (in 2012) is 53% lower than its highest September monthly average sea ice extent (in 1980), the other months have far smaller percent differences between their lowest and highest Arctic values. For yearly average sea ice extents, the Arctic's lowest value (in 2020) is 18% lower than its highest value (in 1982), the Antarctic's lowest value (in 2017) is 16% lower than its highest value (in 2014), and the global lowest value (in 2019) is only 12% lower than its highest value (in 1982).</t>
  </si>
  <si>
    <t>[Parkinson, Claire L.; DiGirolamo, Nicolo E.] NASA, Cryospher Sci Lab, Goddard Space Flight Ctr, Code 615,8800 Greenbelt Rd, Greenbelt, MD 20771 USA; [DiGirolamo, Nicolo E.] Sci Syst &amp; Applicat Inc SSAI, 10210 Greenbelt Rd,Suite 600, Lanham, MD 20706 USA</t>
  </si>
  <si>
    <t>National Aeronautics &amp; Space Administration (NASA); NASA Goddard Space Flight Center; Science Systems and Applications Inc</t>
  </si>
  <si>
    <t>Parkinson, CL (corresponding author), NASA, Cryospher Sci Lab, Goddard Space Flight Ctr, Code 615,8800 Greenbelt Rd, Greenbelt, MD 20771 USA.</t>
  </si>
  <si>
    <t>Claire.L.Parkinson@nasa.gov; Nicolo.E.DiGirolamo@nasa.gov</t>
  </si>
  <si>
    <t>Parkinson, Claire/JAC-7676-2023</t>
  </si>
  <si>
    <t>Parkinson, Claire/0000-0001-6730-4197</t>
  </si>
  <si>
    <t>10.1016/j.rse.2021.112753</t>
  </si>
  <si>
    <t>WR4HM</t>
  </si>
  <si>
    <t>WOS:000714462800001</t>
  </si>
  <si>
    <t>Volonterio, O; De Leon, RP</t>
  </si>
  <si>
    <t>Volonterio, Odile; De Leon, Rodrigo Ponce</t>
  </si>
  <si>
    <t>First discovery - and a new species - of Coelogynopora (Platyhelminthes, Proseriata) in the Southern Hemisphere</t>
  </si>
  <si>
    <t>EUROPEAN JOURNAL OF TAXONOMY</t>
  </si>
  <si>
    <t>Biogeography; Magellan Strait; new species; Subantarctic; turbellarians</t>
  </si>
  <si>
    <t>FAMILY; ULTRASTRUCTURE; RHABDITOPHORA; PROPOSAL</t>
  </si>
  <si>
    <t>Coelogynoporidae (Platyhelminthes) includes comparatively large and slender Proseriata, usually occurring in shallow benthic environments. Coelogynopora Steinbock, 1924 is the most frequently reported genus and the one with the highest species diversity. Notwithstanding that, the genus has never been reported from the Southern Hemisphere. A recent analysis of sediment from the Magellan Strait shores (Chile) resulted in the discovery of a new species of Coelogynopora, the first representative of the genus to be found in austral waters. The new species is defined by the following combination of characters: sclerotised copulatory system consisting of a slender, ventrally curved stylet with a broad base and three pairs of symmetrically arranged spines, the proximal ends of which are fused laterally to the base of the stylet; distal ends of the three pairs of spines hooked, with apophyses at progressively longer distances from the tip; accessory spines and solar organ absent. Based on the morphological characters, the new species appears to be more related to species from the Pacific Ocean than to those from the Atlantic Ocean. The present work suggests a vast biogeographic disjunction in the genus Coelogynopora, which may be described as a bipolar or amphitropical pattern of distribution.</t>
  </si>
  <si>
    <t>[Volonterio, Odile; De Leon, Rodrigo Ponce] Univ Republica, Fac Ciencias, Secc Zool Invertebrados, Montevideo, Uruguay</t>
  </si>
  <si>
    <t>Universidad de la Republica, Uruguay</t>
  </si>
  <si>
    <t>Volonterio, O (corresponding author), Univ Republica, Fac Ciencias, Secc Zool Invertebrados, Montevideo, Uruguay.</t>
  </si>
  <si>
    <t>o.volonterio@outlook.com; eumeswil@yandex.com</t>
  </si>
  <si>
    <t>Volonterio, Odile/GOK-2869-2022</t>
  </si>
  <si>
    <t>Scientific Committee on Antarctic Research (SCAR)</t>
  </si>
  <si>
    <t>We thank the editor, Martin Vinther SOrensen, and two anonymous reviewers for their valuable comments, which substantially improved the quality of the manuscript. We would also like to express our deepest gratitude to the Authorities of the Uruguayan Antarctic Institute for their support to the present work. We gratefully thank Werner Armonies, Carolina Norena Janssen, Ken-Ichi Tajika and Sven Bostrom, for providing us with much of the turbellarian bibliography, and Ronald Sluys, for his help with the deposit of the type specimens. This work is part of the first author's Doctoral Thesis in Biology and was supported by the Scientific Committee on Antarctic Research (SCAR) under a SCAR Fellowship 2009-2010, of which this is the fourth contribution. The paper also contributes to the SCAR-Biology Programme State of the Antarctic Ecosystem (AntEco) , designed to focus on past and present patterns of biodiversity across all environments within the Antarctic, sub-Antarctic and Southern Ocean regions (quote from State of the Antarctic Ecosystem (AntEco) . https://scar.org/science/anteco/home/)</t>
  </si>
  <si>
    <t>MUSEUM NATL HISTOIRE NATURELLE</t>
  </si>
  <si>
    <t>SERVICE PUBLICATIONS SCIENTIFIQUES, 57 RUE CUVIER, 75005 PARIS, FRANCE</t>
  </si>
  <si>
    <t>2118-9773</t>
  </si>
  <si>
    <t>EUR J TAXON</t>
  </si>
  <si>
    <t>Eur. J. Taxon.</t>
  </si>
  <si>
    <t>OCT 21</t>
  </si>
  <si>
    <t>10.5852/ejt.2021.775.1557</t>
  </si>
  <si>
    <t>Plant Sciences; Entomology; Zoology</t>
  </si>
  <si>
    <t>WO2PQ</t>
  </si>
  <si>
    <t>WOS:000712302100004</t>
  </si>
  <si>
    <t>Sridhar, S; Bryson, JFJ; King, AJ; Harrison, RJ</t>
  </si>
  <si>
    <t>Sridhar, Sanjana; Bryson, James F. J.; King, Ashley J.; Harrison, Richard J.</t>
  </si>
  <si>
    <t>Constraints on the ice composition of carbonaceous chondrites from their magnetic mineralogy</t>
  </si>
  <si>
    <t>EARTH AND PLANETARY SCIENCE LETTERS</t>
  </si>
  <si>
    <t>carbonaceous chondrites; aqueous alteration; magnetite framboids; fluid composition; ammoniated ice; first order reversal curve diagrams</t>
  </si>
  <si>
    <t>PROGRESSIVE AQUEOUS ALTERATION; TAGISH LAKE; PARENT BODY; ORGANIC-MATTER; THERMAL METAMORPHISM; MODAL MINERALOGY; CM; CR; ORIGIN; WATER</t>
  </si>
  <si>
    <t>Carbonaceous chondrites experienced varying degrees of aqueous alteration on their parent asteroids, which influenced their mineralogies, textures, and bulk chemical and isotopic compositions. Although this alteration was a crucial event in the history of these meteorites, their various alteration pathways are not well understood. One phase that formed during this alteration was magnetite, and its morphology and abundance vary between and within chondrite groups, providing a means of investigating chondrite aqueous alteration. We measured bulk magnetic properties and first-order reversal curve (FORC) diagrams of CM, CI, CO, and ungrouped C2 chondrites to identify the morphology and size range of magnetite present in these meteorites. We identify two predominant pathways of aqueous alteration among these meteorites that can be distinguished by the resultant morphology of magnetite. In WIS 91600, Tagish Lake, and CI chondrites, magnetite forms predominantly from Fe-sulfides as framboids and stacked plaquettes. In CM and CO chondrites, &lt;0.1 mu m single-domain (SD) magnetite and 0.1-5 mu m vortex (V) state magnetite formed predominantly via the direct replacement of metal and Fe-sulfides. After ruling out differences in temperature, water:rock ratios, terrestrial weathering effects, and starting mineralogy, we hypothesise that the primary factor controlling the pathway of aqueous alteration was the composition of the ice accreted into each chondrite group's parent body. Nebula condensation sequences predict that the most feasible method of appreciably evolving ice concentrations was the condensation of ammonia, which will have formed a more alkaline hydrous fluid upon melting, leading to fundamentally different conditions that may have caused the formation of different magnetite morphologies. As such, we suggest that WIS 91600, Tagish Lake, and the CI chondrites accreted past the ammonia ice line, supporting a more distal or younger accretion of their parent asteroids. (C) 2021 Elsevier B.V. All rights reserved.</t>
  </si>
  <si>
    <t>[Sridhar, Sanjana; Bryson, James F. J.] Univ Oxford, Dept Earth Sci, Oxford OX1 3AN, England; [King, Ashley J.] Nat Hist Museum, Dept Earth Sci, London SW7 5BD, England; [Harrison, Richard J.] Univ Cambridge, Dept Earth Sci, Cambridge CB2 3EQ, England</t>
  </si>
  <si>
    <t>University of Oxford; Natural History Museum London; University of Cambridge</t>
  </si>
  <si>
    <t>Sridhar, S (corresponding author), Univ Oxford, Dept Earth Sci, Oxford OX1 3AN, England.</t>
  </si>
  <si>
    <t>sanjana.sridhar@univ.ox.ac.uk</t>
  </si>
  <si>
    <t>Harrison, Richard J/B-3609-2010</t>
  </si>
  <si>
    <t>Bryson, James/0000-0002-5675-8545; Sridhar, Sanjana/0000-0003-1179-2093</t>
  </si>
  <si>
    <t>NSF; NASA</t>
  </si>
  <si>
    <t>The authors would like to thank Dr Iris Buisman for her help with the SEM, and Dr Oliver Shorttle and Professor Nicholas Tosca for the insightful discussions. We would also like to thank the two anonymous reviewers for their constructive comments which have improved the clarity and quality of the manuscript. The authors would also like to thank the Natural History Museum in the UK, and the Antarctic Search for Meteorites (ANSMET) program (which has been funded by NSF and NASA and curated by the Department of Mineral Sciences of the Smithsonian Institution and Astromaterials Curation Office at NASA Johnson Space Center) for use of their meteorite samples. The magnetic data presented in this paper can be found on the MagIC database, at https://doi.org/10.7288/V4/MAGIC/19215(https://www2.earthref.org/MagIC).</t>
  </si>
  <si>
    <t>0012-821X</t>
  </si>
  <si>
    <t>1385-013X</t>
  </si>
  <si>
    <t>EARTH PLANET SC LETT</t>
  </si>
  <si>
    <t>Earth Planet. Sci. Lett.</t>
  </si>
  <si>
    <t>10.1016/j.epsl.2021.117243</t>
  </si>
  <si>
    <t>WO1WD</t>
  </si>
  <si>
    <t>WOS:000712251000003</t>
  </si>
  <si>
    <t>Zeidler, C; Woeckner, G; Schöning, J; Vrakking, V; Zabel, P; Dorn, M; Schubert, D; Steckelberg, B; Stakemann, J</t>
  </si>
  <si>
    <t>Zeidler, Conrad; Woeckner, Gerrit; Schoening, Johannes; Vrakking, Vincent; Zabel, Paul; Dorn, Markus; Schubert, Daniel; Steckelberg, Birgit; Stakemann, Josefine</t>
  </si>
  <si>
    <t>Crew time and workload in the EDEN ISS greenhouse in Antarctica</t>
  </si>
  <si>
    <t>LIFE SCIENCES IN SPACE RESEARCH</t>
  </si>
  <si>
    <t>EDEN ISS; Crew time; Workload; Remote support; Operations; Greenhouse; Space analogue; Life support system; Antarctica; Neumayer Station III</t>
  </si>
  <si>
    <t>BIOREGENERATIVE LIFE-SUPPORT; SPACE; SYSTEM; FOOD</t>
  </si>
  <si>
    <t>The goal of the EDEN ISS project is to research technologies for future greenhouses as a substantial part of planetary surface habitats. In this paper, we investigate crew time and workload needed to operate the space analogue EDEN ISS greenhouse on-site and remotely from the Mission Control Center. Within the almost three years of operation in Antarctica, different vegetable crops were cultivated, which yielded an edible biomass of 646 kg during the experiment phase 2018 and 2019. Operating in such a remote environment, analogue to future planetary missions, both greenhouse systems and remote support capabilities must be carefully developed and assessed to guarantee a reliable and efficient workflow. The investigation of crew time and workload is crucial to optimize processes within the operation of the greenhouse. For the Antarctic winter seasons, 2019 and 2020, as well as the summer season 2019/2020, the workload of the EDEN ISS greenhouse operators was assessed using the NASA Task Load Index. In addition, crew time was measured for the winter season 2019. The participants consisted of on-site operators, who worked inside the EDEN ISS greenhouse in Antarctica and the DLR remote support team, who worked in the Mission Control Center at the DLR Institute of Space Systems in Bremen (Germany). The crew time results show that crew time for the whole experiment phase 2019 required by the on-site operator team 2019 is approximately four times higher than the crew time of the corresponding remote support team without considering planning activities for the next mission. The total crew time for the experiment phase 2019 amounts to 694.5 CM-h or 6.31 CM-h/kg. With the measurements of the experiment phase 2019 it was possible to develop a methodology for crew time categorization for the remote support activities, which facilitates the analysis and increases the comparability of crew time values. In addition, the development of weekly and monthly crew time demand over the experiment phase is presented. The workload investigations indicate that the highest workload is perceived by the remote support team 2019 + 2020, followed by the summer maintenance team 2019/2020. The on-site operator team 2019 and on-site operator team 2020 showed the lowest values. The values presented in this paper indicate the need to minimize crew time as well as workload demands of the operators involved in the operation of future planetary surface greenhouses.</t>
  </si>
  <si>
    <t>[Zeidler, Conrad; Vrakking, Vincent; Zabel, Paul; Dorn, Markus; Schubert, Daniel] German Aerosp Ctr DLR, Inst Space Syst, Dept Syst Anal Space Segment, EDEN Res Grp, Bremen, Germany; [Woeckner, Gerrit] Tech Univ Carolo Wilhelmina Braunschweig, Inst Space Syst, Braunschweig, Germany; [Schoening, Johannes] Univ Bremen, Human Comp Interact, Bremen, Germany; [Steckelberg, Birgit; Stakemann, Josefine] Helmholtz Ctr Polar &amp; Marine Res AWI, Alfred Wegener Inst, Bremerhaven, Germany</t>
  </si>
  <si>
    <t>Helmholtz Association; German Aerospace Centre (DLR); Braunschweig University of Technology; University of Bremen; Helmholtz Association; Alfred Wegener Institute, Helmholtz Centre for Polar &amp; Marine Research</t>
  </si>
  <si>
    <t>Zeidler, C (corresponding author), German Aerosp Ctr DLR, Inst Space Syst, Dept Syst Anal Space Segment, EDEN Res Grp, Bremen, Germany.</t>
  </si>
  <si>
    <t>conrad.zeidler@dlr.de; g.woeckner@gmail.com; schoening@uni-bremen.de; vincent.vrakking@dlr.de; paul.zabel@dlr.de; markus_dorn@gmx.de; daniel.schubert@dlr.de; birgit.steckelberg@t-online.de; fine.stakemann@gmx.de</t>
  </si>
  <si>
    <t>Zabel, Paul/HQZ-9029-2023</t>
  </si>
  <si>
    <t>Zabel, Paul/0000-0001-7907-9230; Schoning, Johannes/0000-0002-8823-4607</t>
  </si>
  <si>
    <t>European Union [636501]; H2020 - Industrial Leadership [636501] Funding Source: H2020 - Industrial Leadership</t>
  </si>
  <si>
    <t>European Union(European Union (EU)); H2020 - Industrial Leadership(European Union (EU)H2020 - Industrial Leadership)</t>
  </si>
  <si>
    <t>The EDEN ISS project has received funding from the European Union's Horizon 2020 research and innovation program under grants agreement No 636501 via the COMPET-07-2014-Space exploration - Life support subprogramme. A sincere thanks to the NM III crews that operated the EDEN ISS greenhouse in the winter seasons of the years 2019 and 2020. Without their hard work in the greenhouse and the measurements taken by them it would not have been possible to conduct the research presented in this paper.</t>
  </si>
  <si>
    <t>2214-5524</t>
  </si>
  <si>
    <t>2214-5532</t>
  </si>
  <si>
    <t>LIFE SCI SPACE RES</t>
  </si>
  <si>
    <t>Life Sci. Space Res.</t>
  </si>
  <si>
    <t>10.1016/j.lssr.2021.06.003</t>
  </si>
  <si>
    <t>Astronomy &amp; Astrophysics; Biology; Multidisciplinary Sciences</t>
  </si>
  <si>
    <t>Astronomy &amp; Astrophysics; Life Sciences &amp; Biomedicine - Other Topics; Science &amp; Technology - Other Topics</t>
  </si>
  <si>
    <t>WO5VG</t>
  </si>
  <si>
    <t>WOS:000712521100003</t>
  </si>
  <si>
    <t>Sivkov, V; Bubnova, E</t>
  </si>
  <si>
    <t>Sivkov, Vadim; Bubnova, Ekaterina</t>
  </si>
  <si>
    <t>Distribution of suspended particulate matter at the equatorial transect in the Atlantic Ocean</t>
  </si>
  <si>
    <t>EXOPOLYMER PARTICLES TEP; NORTH BRAZIL CURRENT; TOTAL GEOSTROPHIC CIRCULATION; WESTERN BOUNDARY CURRENT; ANTARCTIC BOTTOM WATER; TROPICAL ATLANTIC; NEPHELOID LAYERS; INTERANNUAL VARIABILITY; DUST-DEPOSITION; ORGANIC-MATTER</t>
  </si>
  <si>
    <t>A suspended particulate matter distribution against a hydrographical background was studied at the oceanographic transect across the equatorial Atlantic in the year 2000. An area of abnormally high suspended matter volume concentrations was found above the Sierra Leone Rise in the entire water column (eastern part of the transect). The suggested explanation for the anomaly is based on the ballast hypothesis whereby solid particles are incorporated as ballast into suspended biogenic aggregates, leading to increased velocities of sinking. This occurs within the Northwest African upwelling area, where the plankton exposed to the Saharan dust abundance form a significant number of aggregates, which are later transported equatorward via the Canary Current. An intermediate nepheloid layer associated with the DeepWestern Boundary Current was recorded from the South American Slope at depths of 3200-3700 to 4300m above the Para Abyssal Plain. Antarctic Bottom Water enriched in suspended matter was found mostly in the troughs at 40-41 degrees W. It was detached from the bottom, coinciding with the core of the flow due to the bottom rise dam located up-stream. The grain size of particles along the entire transect has a polymodal distribution with 2-4 and 8-13 mu m modes. The registered rise in percentage in some parts of the transect of the 7-21 mu m sized particles suggests the presence of the well-known coarse mode (20-60 mu m) formed by aggregation of transparent exopolymer particles (mucus).</t>
  </si>
  <si>
    <t>[Sivkov, Vadim; Bubnova, Ekaterina] Russian Acad Sci, Shirshov Inst Oceanol, 36 Nahimovskiy Prospekt, Moscow 117997, Russia; [Sivkov, Vadim; Bubnova, Ekaterina] Immanuel Kant Baltic Fed Univ, Kaliningrad 14,A Nevskogo Str, Kaliningrad 236016, Russia</t>
  </si>
  <si>
    <t>Russian Academy of Sciences; Shirshov Institute of Oceanology; Immanuel Kant Baltic Federal University</t>
  </si>
  <si>
    <t>Bubnova, E (corresponding author), Russian Acad Sci, Shirshov Inst Oceanol, 36 Nahimovskiy Prospekt, Moscow 117997, Russia.;Bubnova, E (corresponding author), Immanuel Kant Baltic Fed Univ, Kaliningrad 14,A Nevskogo Str, Kaliningrad 236016, Russia.</t>
  </si>
  <si>
    <t>bubnova.kat@gmail.com</t>
  </si>
  <si>
    <t>Bubnova, Ekaterina S/L-2612-2016</t>
  </si>
  <si>
    <t>Bubnova, Ekaterina S/0000-0002-8168-2984</t>
  </si>
  <si>
    <t>Russian Science Foundation [0128-2021-0016]; [19-17-00246]; Russian Science Foundation [19-17-00246] Funding Source: Russian Science Foundation</t>
  </si>
  <si>
    <t>Russian Science Foundation(Russian Science Foundation (RSF)); ; Russian Science Foundation(Russian Science Foundation (RSF))</t>
  </si>
  <si>
    <t>The preliminary data processing and surface ocean data interpretation were conducted with the financial support of the state assignment of IO RAS (theme 0128-2021-0016); the data interpretation and conclusions regarding the modern Antarctic Bottom Water circulation was supported by Russian Science Foundation (project 19-17-00246).</t>
  </si>
  <si>
    <t>10.5194/os-17-1421-2021</t>
  </si>
  <si>
    <t>WL6OL</t>
  </si>
  <si>
    <t>WOS:000710522600001</t>
  </si>
  <si>
    <t>Lin, X; Massonnet, F; Fichefet, T; Vancoppenolle, M</t>
  </si>
  <si>
    <t>Lin, Xia; Massonnet, Francois; Fichefet, Thierry; Vancoppenolle, Martin</t>
  </si>
  <si>
    <t>SITool (v1.0) - a new evaluation tool for large-scale sea ice simulations: application to CMIP6 OMIP</t>
  </si>
  <si>
    <t>EARTH SYSTEM MODELS; EXPERIMENTAL PROTOCOLS; INTERNAL VARIABILITY; CLIMATE; PREDICTABILITY</t>
  </si>
  <si>
    <t>The Sea Ice Evaluation Tool (SITool) described in this paper is a performance metrics and diagnostics tool developed to evaluate the skill of Arctic and Antarctic model reconstructions of sea ice concentration, extent, edge location, drift, thickness, and snow depth. It is a Python-based software and consists of well-documented functions used to derive various sea ice metrics and diagnostics. Here, SITool version 1.0 (v1.0) is introduced and documented, and is then used to evaluate the performance of global sea ice reconstructions from nine models that provided sea ice output under the experimental protocols of the Coupled Model Intercomparison Project phase 6 (CMIP6) Ocean Model Intercomparison Project with two different atmospheric forcing datasets: the Coordinated Ocean-ice Reference Experiments version 2 (CORE-II) and the updated Japanese 55-year atmospheric reanalysis (JRA55-do). Two sets of observational references for the sea ice concentration, thickness, snow depth, and ice drift are systematically used to reflect the impact of observational uncertainty on model performance. Based on available model outputs and observational references, the ice concentration, extent, and edge location during 1980-2007, as well as the ice thickness, snow depth, and ice drift during 2003-2007 are evaluated. In general, model biases are larger than observational uncertainties, and model performance is primarily consistent compared to different observational references. By changing the atmospheric forcing from CORE-II to JRA55-do reanalysis data, the overall performance (mean state, interannual variability, and trend) of the simulated sea ice areal properties in both hemispheres, as well as the mean ice thickness simulation in the Antarctic, the mean snow depth, and ice drift simulations in both hemispheres are improved. The simulated sea ice areal properties are also improved in the model with higher spatial resolution. For the cross-metric analysis, there is no link between the performance in one variable and the performance in another. SITool is an open-access version-controlled software that can run on a wide range of CMIP6-compliant sea ice outputs. The current version of SITool (v1.0) is primarily developed to evaluate atmosphere-forced simulations and it could be eventually extended to fully coupled models.</t>
  </si>
  <si>
    <t>[Lin, Xia; Massonnet, Francois; Fichefet, Thierry] Catholic Univ Louvain, Georges Lemaitre Ctr Earth &amp; Climate Res, Earth &amp; Life Inst, B-1348 Louvain La Neuve, Belgium; [Lin, Xia] Southern Marine Sci &amp; Engn Guangdong Lab Zhuhai, Zhuhai 519000, Peoples R China; [Vancoppenolle, Martin] Sorbonne Univ, Lab Oceanog &amp; Climat, CNRS, IRD,MNHN, F-75252 Paris, France</t>
  </si>
  <si>
    <t>Universite Catholique Louvain; Southern Marine Science &amp; Engineering Guangdong Laboratory; Southern Marine Science &amp; Engineering Guangdong Laboratory (Zhuhai); Centre National de la Recherche Scientifique (CNRS); Institut de Recherche pour le Developpement (IRD); Museum National d'Histoire Naturelle (MNHN); Sorbonne Universite</t>
  </si>
  <si>
    <t>Lin, X (corresponding author), Catholic Univ Louvain, Georges Lemaitre Ctr Earth &amp; Climate Res, Earth &amp; Life Inst, B-1348 Louvain La Neuve, Belgium.;Lin, X (corresponding author), Southern Marine Sci &amp; Engn Guangdong Lab Zhuhai, Zhuhai 519000, Peoples R China.</t>
  </si>
  <si>
    <t>xia.lin@uclouvain.be</t>
  </si>
  <si>
    <t>Vancoppenolle, Martin/AAA-7711-2022; Lin, Xia/HTM-0814-2023; Massonnet, Francois/J-5315-2014</t>
  </si>
  <si>
    <t>Vancoppenolle, Martin/0000-0002-7573-8582; Lin, Xia/0000-0002-8058-7766; Massonnet, Francois/0000-0002-4697-5781</t>
  </si>
  <si>
    <t>Copernicus Marine Environment Monitoring Service (CMEMS) SI3 project; National Natural Science Foundation of China [41941007, 41906190, 41876220]</t>
  </si>
  <si>
    <t>Copernicus Marine Environment Monitoring Service (CMEMS) SI3 project; National Natural Science Foundation of China(National Natural Science Foundation of China (NSFC))</t>
  </si>
  <si>
    <t>This research has been supported by the Copernicus Marine Environment Monitoring Service (CMEMS) SI3 project. CMEMS is implemented by Mercator Ocean International in the framework of a delegation agreement with the European Union. Xia Lin also received support from the National Natural Science Foundation of China (grant nos. 41941007, 41906190, and 41876220).</t>
  </si>
  <si>
    <t>10.5194/gmd-14-6331-2021</t>
  </si>
  <si>
    <t>WM0GU</t>
  </si>
  <si>
    <t>WOS:000710774600001</t>
  </si>
  <si>
    <t>Lou, J; O'Kane, TJ; Holbrook, NJ</t>
  </si>
  <si>
    <t>Lou, Jiale; O'Kane, Terence J.; Holbrook, Neil J.</t>
  </si>
  <si>
    <t>Linking the atmospheric Pacific-South American mode with oceanic variability and predictability</t>
  </si>
  <si>
    <t>SEA-SURFACE TEMPERATURE; STOCHASTIC CLIMATE MODELS; ROSSBY-WAVE PROPAGATION; EL-NINO; ENSO; OSCILLATION; NORTH; ANOMALIES; MECHANISM; PATTERNS</t>
  </si>
  <si>
    <t>While Pacific climate variability is largely understood based on El Nino-Southern Oscillation (ENSO), the North Pacific focused Pacific decadal oscillation and the basin-wide interdecadal Pacific oscillation, the role of the South Pacific, including atmospheric drivers and cross-scale interactions, has received less attention. Using reanalysis data and model outputs, here we propose a paradigm for South Pacific climate variability whereby the atmospheric Pacific-South American (PSA) mode acts to excite multiscale spatiotemporal responses in the upper South Pacific Ocean. We find the second mid-troposphere PSA pattern is fundamental to stochastically generate a mid-latitude sea surface temperature quadrupole pattern that represents the optimal precursor for the predictability and evolution of both the South Pacific decadal oscillation and ENSO several seasons in advance. We find that the PSA mode is the key driver of oceanic variability in the South Pacific subtropics that generates a potentially predictable climate signal linked to the tropics.</t>
  </si>
  <si>
    <t>[Lou, Jiale; Holbrook, Neil J.] Univ Tasmania, Inst Marine &amp; Antarctic Studies, Hobart, Tas, Australia; [Lou, Jiale] Univ Tasmania, ARC Ctr Excellence Climate Syst Sci, Hobart, Tas, Australia; [O'Kane, Terence J.] CSIRO Oceans &amp; Atmosphere, Hobart, Tas, Australia; [O'Kane, Terence J.; Holbrook, Neil J.] Univ Tasmania, ARC Ctr Excellence Climate Extremes, Hobart, Tas, Australia; [Lou, Jiale] Univ Colorado, Cooperat Inst Res Environm Sci, Boulder, CO 80309 USA; [Lou, Jiale] NOAA, Phys Sci Lab, Boulder, CO 80305 USA</t>
  </si>
  <si>
    <t>University of Tasmania; University of Tasmania; ARC Centre of Excellence for Climate System Science; Commonwealth Scientific &amp; Industrial Research Organisation (CSIRO); University of Tasmania; University of Colorado System; University of Colorado Boulder; National Oceanic Atmospheric Admin (NOAA) - USA</t>
  </si>
  <si>
    <t>Lou, J (corresponding author), Univ Tasmania, Inst Marine &amp; Antarctic Studies, Hobart, Tas, Australia.;Lou, J (corresponding author), Univ Tasmania, ARC Ctr Excellence Climate Syst Sci, Hobart, Tas, Australia.;Lou, J (corresponding author), Univ Colorado, Cooperat Inst Res Environm Sci, Boulder, CO 80309 USA.;Lou, J (corresponding author), NOAA, Phys Sci Lab, Boulder, CO 80305 USA.</t>
  </si>
  <si>
    <t>jiale.lou@noaa.gov</t>
  </si>
  <si>
    <t>O'Kane, Terence J/B-1655-2009; Holbrook, Neil/M-7544-2013</t>
  </si>
  <si>
    <t>O'Kane, Terence J/0000-0002-2137-5915; Holbrook, Neil/0000-0002-3523-6254; Lou, Jiale/0000-0002-4014-5242</t>
  </si>
  <si>
    <t>ARC Centre of Excellence for Climate System Science [CE110001028]; University of Tasmania; CSIRO-UTAS Quantitative Marine Science top-up scholarship; US DOE [0000238382]; CSIRO Decadal Climate Forecasting Project; ARC Centre of Excellence for Climate Extremes [CE170100023]; Australian Government National Environmental Science Programme Climate Systems Hub</t>
  </si>
  <si>
    <t>ARC Centre of Excellence for Climate System Science(Australian Research Council); University of Tasmania; CSIRO-UTAS Quantitative Marine Science top-up scholarship; US DOE(United States Department of Energy (DOE)); CSIRO Decadal Climate Forecasting Project; ARC Centre of Excellence for Climate Extremes; Australian Government National Environmental Science Programme Climate Systems Hub</t>
  </si>
  <si>
    <t>We want to thank the two reviewers for their constructive reviews which have helped to improve this manuscript. J.L. is grateful for a PhD scholarship provided by the ARC Centre of Excellence for Climate System Science (CE110001028), a University of Tasmania tuition fee scholarship, and a CSIRO-UTAS Quantitative Marine Science top-up scholarship [including support from the Australian Commonwealth Scientific Research Organisation (CSIRO) Postgraduate scheme]. Partial support for J.L. was also supplied by the US DOE (Grant 0000238382). T.J.O. was supported by the CSIRO Decadal Climate Forecasting Project (https://research.csiro.au/dfp).N.J.H.acknowledges funding support from the ARC Centre of Excellence for Climate Extremes (CE170100023) and the Australian Government National Environmental Science Programme Climate Systems Hub.</t>
  </si>
  <si>
    <t>10.1038/s43247-021-00295-4</t>
  </si>
  <si>
    <t>WK5WM</t>
  </si>
  <si>
    <t>WOS:000709796600001</t>
  </si>
  <si>
    <t>Tittensor, DP; Novaglio, C; Harrison, CS; Heneghan, RF; Barrier, N; Bianchi, D; Bopp, L; Bryndum-Buchholz, A; Britten, GL; Büchner, M; Cheung, WWL; Christensen, V; Coll, M; Dunne, JP; Eddy, TD; Everett, JD; Fernandes-Salvador, JA; Fulton, EA; Galbraith, ED; Gascuel, D; Guiet, J; John, JG; Link, JS; Lotze, HK; Maury, O; Ortega-Cisneros, K; Palacios-Abrantes, J; Petrik, CM; du Pontavice, H; Rault, J; Richardson, AJ; Shannon, L; Shin, YJ; Steenbeek, J; Stock, CA; Blanchard, JL</t>
  </si>
  <si>
    <t>Tittensor, Derek P.; Novaglio, Camilla; Harrison, Cheryl S.; Heneghan, Ryan F.; Barrier, Nicolas; Bianchi, Daniele; Bopp, Laurent; Bryndum-Buchholz, Andrea; Britten, Gregory L.; Buchner, Matthias; Cheung, William W. L.; Christensen, Villy; Coll, Marta; Dunne, John P.; Eddy, Tyler D.; Everett, Jason D.; Fernandes-Salvador, Jose A.; Fulton, Elizabeth A.; Galbraith, Eric D.; Gascuel, Didier; Guiet, Jerome; John, Jasmin G.; Link, Jason S.; Lotze, Heike K.; Maury, Olivier; Ortega-Cisneros, Kelly; Palacios-Abrantes, Juliano; Petrik, Colleen M.; du Pontavice, Hubert; Rault, Jonathan; Richardson, Anthony J.; Shannon, Lynne; Shin, Yunne-Jai; Steenbeek, Jeroen; Stock, Charles A.; Blanchard, Julia L.</t>
  </si>
  <si>
    <t>Next-generation ensemble projections reveal higher climate risks for marine ecosystems</t>
  </si>
  <si>
    <t>CHANGE IMPACTS; MODEL; SYSTEM; UNCERTAINTIES; RESPONSES; ACIDIFICATION; VULNERABILITY; FORMULATION; FISHERIES; PLANKTON</t>
  </si>
  <si>
    <t>Use of an enhanced suite of marine ecosystem models and Earth system model outputs from Phase 6 of the Coupled Model Intercomparison Project (CMIP6) reveals greater decline in mean global ocean animal biomass than previously projected under both strong-mitigation and high-emissions scenarios. Projections of climate change impacts on marine ecosystems have revealed long-term declines in global marine animal biomass and unevenly distributed impacts on fisheries. Here we apply an enhanced suite of global marine ecosystem models from the Fisheries and Marine Ecosystem Model Intercomparison Project (Fish-MIP), forced by new-generation Earth system model outputs from Phase 6 of the Coupled Model Intercomparison Project (CMIP6), to provide insights into how projected climate change will affect future ocean ecosystems. Compared with the previous generation CMIP5-forced Fish-MIP ensemble, the new ensemble ecosystem simulations show a greater decline in mean global ocean animal biomass under both strong-mitigation and high-emissions scenarios due to elevated warming, despite greater uncertainty in net primary production in the high-emissions scenario. Regional shifts in the direction of biomass changes highlight the continued and urgent need to reduce uncertainty in the projected responses of marine ecosystems to climate change to help support adaptation planning.</t>
  </si>
  <si>
    <t>[Tittensor, Derek P.; Bryndum-Buchholz, Andrea; Lotze, Heike K.] Dalhousie Univ, Dept Biol, Halifax, NS, Canada; [Tittensor, Derek P.] United Nations Environm Programme World Conservat, Cambridge, England; [Novaglio, Camilla; Blanchard, Julia L.] Univ Tasmania, Inst Marine &amp; Antarctic Studies, Hobart, Tas, Australia; [Novaglio, Camilla; Fulton, Elizabeth A.; Blanchard, Julia L.] Univ Tasmania, Ctr Marine Socioecol, Hobart, Tas, Australia; [Harrison, Cheryl S.] Univ Texas Rio Grande Valley, Sch Earth Environm &amp; Marine Sci, Port Isabel, TX USA; [Harrison, Cheryl S.] Louisiana State Univ, Dept Ocean &amp; Coastal Sci, Baton Rouge, LA 70803 USA; [Harrison, Cheryl S.] Louisiana State Univ, Ctr Computat &amp; Technol, Baton Rouge, LA 70803 USA; [Heneghan, Ryan F.] Queensland Univ Technol, Sch Math Sci, Brisbane, Qld, Australia; [Barrier, Nicolas; Maury, Olivier; Rault, Jonathan; Shin, Yunne-Jai] Univ Montpellier, CNRS, IFREMER, MARBEC,IRD, Sete, France; [Bianchi, Daniele; Guiet, Jerome] Univ Calif Los Angeles, Dept Atmospher &amp; Ocean Sci, Los Angeles, CA USA; Sorbonne Univ, Univ PSL, Ecole Normale Super, LMD,IPSL,CNRS,Ecole Polytech, Paris, France; [Britten, Gregory L.] MIT, Program Atmospheres Oceans &amp; Climate, 77 Massachusetts Ave, Cambridge, MA 02139 USA; [Buchner, Matthias] Potsdam Inst Climate Impact Res PIK, Potsdam, Germany; [Cheung, William W. L.; Christensen, Villy; Palacios-Abrantes, Juliano] Univ British Columbia, Inst Oceans &amp; Fisheries, Vancouver, BC, Canada; [Coll, Marta] CSIC, Inst Marine Sci ICM, Barcelona, Spain; [Coll, Marta; Steenbeek, Jeroen] Ecopath Int Initiat Res Assoc, Barcelona, Spain; [Dunne, John P.; John, Jasmin G.; Stock, Charles A.] NOAA, OAR Geophys Fluid Dynam Lab, Princeton, NJ USA; [Eddy, Tyler D.] Mem Univ Newfoundland, Fisheries &amp; Marine Inst, Ctr Fisheries Ecosyst Res, St John, NF, Canada; [Everett, Jason D.; Richardson, Anthony J.] Univ Queensland, Sch Math &amp; Phys, St Lucia, Qld, Australia; [Everett, Jason D.; Richardson, Anthony J.] Commonwealth Sci &amp; Ind Res Org CSIRO Oceans &amp; Atm, Queensland Biosci Precinct, Brisbane, Qld, Australia; [Everett, Jason D.] Univ New South Wales, Ctr Marine Sci &amp; Innovat, Sydney, NSW, Australia; [Fernandes-Salvador, Jose A.] Basque Res &amp; Technol Alliance BRTA, Marine Res, AZTI, Sukarrieta, Bizkaia, Spain; [Fulton, Elizabeth A.] Commonwealth Sci &amp; Ind Res Org CSIRO Oceans &amp; Atm, Hobart, Tas, Australia; [Galbraith, Eric D.] McGill Univ, Dept Earth &amp; Planetary Sci, Montreal, PQ, Canada; [Gascuel, Didier; du Pontavice, Hubert] Inrae, Inst Agro, UMR Ecol &amp; Ecosyst Hlth ESE, Rennes, France; [Link, Jason S.] NOAA Fisheries, Woods Hole, MA USA; [Ortega-Cisneros, Kelly; Shannon, Lynne] Univ Cape Town, Dept Biol Sci, Cape Town, South Africa; [Palacios-Abrantes, Juliano] Univ Wisconsin, Ctr Limnol, Madison, WI 53706 USA; [Petrik, Colleen M.] Texas A&amp;M Univ, Dept Oceanog, College Stn, TX 77843 USA; [du Pontavice, Hubert] Princeton Univ, Atmospher &amp; Ocean Sci Program, Princeton, NJ 08544 USA</t>
  </si>
  <si>
    <t>Dalhousie University; University of Tasmania; University of Tasmania; University of Texas System; University of Texas Rio Grande Valley; Louisiana State University System; Louisiana State University; Louisiana State University System; Louisiana State University; Queensland University of Technology (QUT); Ifremer; Universite de Montpellier; Institut de Recherche pour le Developpement (IRD); Centre National de la Recherche Scientifique (CNRS); University of California System; University of California Los Angeles; Ecole des Ponts ParisTech; Universite PSL; Ecole Normale Superieure (ENS); Centre National de la Recherche Scientifique (CNRS); Sorbonne Universite; Universite Paris Cite; Massachusetts Institute of Technology (MIT); Potsdam Institut fur Klimafolgenforschung; University of British Columbia; Consejo Superior de Investigaciones Cientificas (CSIC); CSIC - Centro Mediterraneo de Investigaciones Marinas y Ambientales (CMIMA); CSIC - Instituto de Ciencias del Mar (ICM); National Oceanic Atmospheric Admin (NOAA) - USA; Memorial University Newfoundland; University of Queensland; Commonwealth Scientific &amp; Industrial Research Organisation (CSIRO); University of New South Wales Sydney; AZTI; Commonwealth Scientific &amp; Industrial Research Organisation (CSIRO); McGill University; INRAE; Institut Agro; National Oceanic Atmospheric Admin (NOAA) - USA; University of Cape Town; University of Wisconsin System; University of Wisconsin Madison; Texas A&amp;M University System; Texas A&amp;M University College Station; Princeton University; National Oceanic Atmospheric Admin (NOAA) - USA</t>
  </si>
  <si>
    <t>Tittensor, DP (corresponding author), Dalhousie Univ, Dept Biol, Halifax, NS, Canada.;Tittensor, DP (corresponding author), United Nations Environm Programme World Conservat, Cambridge, England.</t>
  </si>
  <si>
    <t>derek.tittensor@dal.ca</t>
  </si>
  <si>
    <t>Gascuel, Didier/C-1439-2011; Coll, Marta/A-9488-2012; Harrison, Cheryl Shannon/IWV-0053-2023; Link, Jason/HOF-3606-2023; Palacios Abrantes, Juliano E./ITV-0093-2023; Eddy, Tyler/ABE-7092-2021; Maury, Olivier/I-4513-2013; Barrier, Nicolas/JME-3194-2023; Fulton, Beth/A-2871-2008; Fernandes, José/AES-8490-2022; John, Jasmin/F-8194-2012; Dunne, John/F-8086-2012; Richardson, Anthony J/B-3649-2010; Steenbeek, Jeroen Gerhard/F-9936-2016; Cheung, William/F-5104-2013; Shin, Yunne-Jai/A-7575-2012; Christensen, Villy/C-3945-2009; Buchner, Matthias/C-1130-2017; Everett, Jason/C-4557-2008; Shannon, Lynne/A-1612-2015</t>
  </si>
  <si>
    <t>Gascuel, Didier/0000-0001-5447-6977; Harrison, Cheryl Shannon/0000-0003-4544-947X; Link, Jason/0000-0003-2740-7161; Palacios Abrantes, Juliano E./0000-0001-8969-5416; Eddy, Tyler/0000-0002-2833-9407; Maury, Olivier/0000-0002-7999-9982; Barrier, Nicolas/0000-0002-1693-4719; Richardson, Anthony J/0000-0002-9289-7366; Steenbeek, Jeroen Gerhard/0000-0002-7878-8075; Shin, Yunne-Jai/0000-0002-7259-9265; Heneghan, Ryan/0000-0001-7626-1248; Bianchi, Daniele/0000-0002-6621-0858; Ortega-Cisneros, Kelly/0000-0003-2511-5448; Christensen, Villy/0000-0003-0688-2633; Novaglio, Camilla/0000-0003-3681-1377; Fernandes Salvador, Jose Antonio/0000-0003-4677-6077; Buchner, Matthias/0000-0002-1382-7424; Petrik, Colleen/0000-0003-3253-0455; Everett, Jason/0000-0002-6681-8054; Stock, Charles/0000-0001-9549-8013; Shannon, Lynne/0000-0001-7842-0636; Tittensor, Derek/0000-0002-9550-3123</t>
  </si>
  <si>
    <t>Jarislowsky Foundation; Natural Sciences and Engineering Research Council of Canada Discovery Grant programme; Australian Research Council (ARC) [DP170104240, DP190102293, DP150102656]; European Union [817578, 869300, 862428]; Spanish National Project ProOceans [PID2020-118097RB-I00]; Open Philanthropy Project; United Kingdom Research and Innovation (UKRI) Global Challenges Research Fund (GCRF) One Ocean Hub [NE/S008950/1]; Simons Foundation [54993, 645921]; Belmont Forum and BiodivERsA under the BiodivScen ERA-Net COFUND programme (SOMBEE project) [ANR-18-EBI4-0003-01]; MEOPAR Postdoctoral Fellowship Award 2020-2021; Ocean Frontier Institute (Module G); French ANR project CIGOEF [ANR-17-CE32-0008-01]; California Ocean Protection Council [C0100400]; Alfred P. Sloan Foundation; Extreme Science and Engineering Discovery Environment (XSEDE) allocation [TG-OCE170017]; National Oceanographic and Atmospheric Association [NA20OAR4310441, NA20OAR4310442]; Severo Ochoa Centre of Excellence accreditation [CEX2019-000928-S]; Research Technology Services at UNSW Sydney; NERC [NE/S008950/1] Funding Source: UKRI; Agence Nationale de la Recherche (ANR) [ANR-18-EBI4-0003] Funding Source: Agence Nationale de la Recherche (ANR)</t>
  </si>
  <si>
    <t>Jarislowsky Foundation; Natural Sciences and Engineering Research Council of Canada Discovery Grant programme(Natural Sciences and Engineering Research Council of Canada (NSERC)); Australian Research Council (ARC)(Australian Research Council); European Union(European Union (EU)); Spanish National Project ProOceans; Open Philanthropy Project; United Kingdom Research and Innovation (UKRI) Global Challenges Research Fund (GCRF) One Ocean Hub(UK Research &amp; Innovation (UKRI)); Simons Foundation; Belmont Forum and BiodivERsA under the BiodivScen ERA-Net COFUND programme (SOMBEE project); MEOPAR Postdoctoral Fellowship Award 2020-2021; Ocean Frontier Institute (Module G); French ANR project CIGOEF(Agence Nationale de la Recherche (ANR)); California Ocean Protection Council; Alfred P. Sloan Foundation(Alfred P. Sloan Foundation); Extreme Science and Engineering Discovery Environment (XSEDE) allocation; National Oceanographic and Atmospheric Association; Severo Ochoa Centre of Excellence accreditation; Research Technology Services at UNSW Sydney; NERC(UK Research &amp; Innovation (UKRI)Natural Environment Research Council (NERC)); Agence Nationale de la Recherche (ANR)(Agence Nationale de la Recherche (ANR))</t>
  </si>
  <si>
    <t>We thank ISIMIP for assistance with processing ESM inputs and outputs and the ESM community for enabling these impact analyses. This work was supported by the Jarislowsky Foundation (D.P.T.), the Natural Sciences and Engineering Research Council of Canada Discovery Grant programme (D.P.T., H.K.L., T.D.E., W.W.L.C., J.P.-A. and V.C.); Australian Research Council (ARC) Discovery Projects DP170104240 (J.L.B. and C.N.), DP190102293 (J.L.B., C.N., A.J.R., J.D.E. and D.P.T.) and DP150102656 (J.D.E.); the European Union's Horizon 2020 research and innovation programme under grant agreements 817578 (TRIATLAS) (M.C., J.S., L.S., O.M., L.B., Y.-J.S., N.B. and J.R.), 869300 (FutureMARES) (J.A.F.-S.,Y.-J.S. and M.C.) and 862428 (MISSION ATLANTIC (J.A.F.-S, Y.-J.S. and M.C.); the Spanish National Project ProOceans (PID2020-118097RB-I00) (M.C. and J.S.); the Open Philanthropy Project (C.S.H.); the United Kingdom Research and Innovation (UKRI) Global Challenges Research Fund (GCRF) One Ocean Hub (NE/S008950/1) (K.O.-C. and L.S.); the Simons Foundation (nos. 54993, 645921) (G.L.B.); the Belmont Forum and BiodivERsA under the BiodivScen ERA-Net COFUND programme (SOMBEE project, ANR-18-EBI4-0003-01) (Y.-J.S. and N.B.); the MEOPAR Postdoctoral Fellowship Award 2020-2021 and the Ocean Frontier Institute (Module G) (A.B.-B.); the French ANR project CIGOEF (grant ANR-17-CE32-0008-01) (O.M., L.B. and J.R.); the California Ocean Protection Council Grant C0100400, the Alfred P. Sloan Foundation and the Extreme Science and Engineering Discovery Environment (XSEDE) allocation TG-OCE170017 (D.B. and J.G.); the National Oceanographic and Atmospheric Association (NA20OAR4310441, NA20OAR4310442) (C.M.P.). M.C. acknowledges the Severo Ochoa Centre of Excellence accreditation (CEX2019-000928-S) to the Institute of Marine Science (ICM-CSIC). ZooMSS was run using the computational cluster Katana, supported by Research Technology Services at UNSW Sydney; O.M., N.B. and J.R. acknowledge the Pole de Calcul et de Donnees Marines (PCDM) for providing DATARMOR storage and computational resources; W.W.L.C. and J.P.-A. acknowledge advanced computing support from Compute Canada.</t>
  </si>
  <si>
    <t>10.1038/s41558-021-01173-9</t>
  </si>
  <si>
    <t>WP1BY</t>
  </si>
  <si>
    <t>Green Published, Green Submitted, hybrid</t>
  </si>
  <si>
    <t>WOS:000709662300002</t>
  </si>
  <si>
    <t>Bezus, B; Garmendia, G; Vero, S; Cavalitto, S; Cavello, IA</t>
  </si>
  <si>
    <t>Bezus, Brenda; Garmendia, Gabriela; Vero, Silvana; Cavalitto, Sebastian; Alejandra Cavello, Ivana</t>
  </si>
  <si>
    <t>Yeasts from the Maritime Antarctic: tools for industry and bioremediation</t>
  </si>
  <si>
    <t>Antarctic yeasts; biotechnology; cold-active enzymes; cold-adapted yeasts; textile-dye decolourization</t>
  </si>
  <si>
    <t>PHOTOPROTECTIVE COMPOUNDS; ENZYMATIC-ACTIVITIES; SP NOV.; DIVERSITY; PATAGONIA; BIODIVERSITY; XYLANASE; ECOLOGY</t>
  </si>
  <si>
    <t>We isolated 32 yeasts from King George Island, which we then identified and characterized. Twenty-six belonged to Basidiomycota among the genera Naganishia, Holtermaniella, Vishniacozyma, Phenoliferia, Mrakia and Cystobasidium, and only six were Ascomycota of the genera Metschnikowia and Debaryomyces. Thirteen were psychrophiles, while 19 were psychrotolerant. Certain isolates exhibited a high tolerance to NaCl (3.5 M), while most tolerated Ni2+, Zn2+ and Li+. Cu2+ and Cd2+, however, inhibited the growth of most of the isolates. We assessed a bioprospecting of extracellular enzymes and their ability to biodegrade or bioaccumulate textile dyes. beta-Glucosidases (59%) and esterases (53%) were the main extracellular enzymes detected. A minor proportion of the yeasts produced pectinases and xylanases; only psychrophiles produced proteases. Vishniacozyma, Naganishia, Phenoliferia and Mrakia were the richest genera in terms of enzyme production. Greater than 70% of the isolates decolourized solid medium supplemented with various dyes at 4 degrees C and 20 degrees C. Isolates belonging to the genera Vishniacozyma, Cystobasidium, Mrakia and Phenoliferia seem to have potential for textile dye bio-decolourization. The results demonstrated that yeasts collected from the Maritime Antarctic are a potential source of new enzymes of biotechnological interest, and that certain isolates could potentially be considered in the design of textile wastewater decolourizations.</t>
  </si>
  <si>
    <t>[Bezus, Brenda; Cavalitto, Sebastian; Alejandra Cavello, Ivana] UNLP, CINDEFI, Ctr Invest &amp; Desarrollo Fermentac Ind, Calle 47 &amp; 115,B1900ASH, La Plata, Buenos Aires, Argentina; [Bezus, Brenda; Cavalitto, Sebastian; Alejandra Cavello, Ivana] CCT La Plata, CONICET, Calle 47 &amp; 115,B1900ASH, La Plata, Buenos Aires, Argentina; [Garmendia, Gabriela; Vero, Silvana] Univ Republica, Fac Quim, Dept Biociencias, Catedra Microbiol, Montevideo 11800, Uruguay</t>
  </si>
  <si>
    <t>Consejo Nacional de Investigaciones Cientificas y Tecnicas (CONICET); National University of La Plata; Consejo Nacional de Investigaciones Cientificas y Tecnicas (CONICET); National University of La Plata; Universidad de la Republica, Uruguay</t>
  </si>
  <si>
    <t>Cavello, IA (corresponding author), UNLP, CINDEFI, Ctr Invest &amp; Desarrollo Fermentac Ind, Calle 47 &amp; 115,B1900ASH, La Plata, Buenos Aires, Argentina.;Cavello, IA (corresponding author), CCT La Plata, CONICET, Calle 47 &amp; 115,B1900ASH, La Plata, Buenos Aires, Argentina.</t>
  </si>
  <si>
    <t>icavello@biotec.quimica.unlp.edu.ar</t>
  </si>
  <si>
    <t>Vero, Silvana/0000-0002-8934-6379</t>
  </si>
  <si>
    <t>National Scientific and Technological Research Council; National Agency for the Promotion of Science and Technology (ANPCyT) [PICT 2018-3194]; CyT [UNLP X780]</t>
  </si>
  <si>
    <t>National Scientific and Technological Research Council; National Agency for the Promotion of Science and Technology (ANPCyT)(ANPCyT); CyT</t>
  </si>
  <si>
    <t>This work was supported with grants from the National Scientific and Technological Research Council and the National Agency for the Promotion of Science and Technology (ANPCyT, PICT 2018-3194; CyT UNLP X780).</t>
  </si>
  <si>
    <t>PII S0954102021000420</t>
  </si>
  <si>
    <t>10.1017/S0954102021000420</t>
  </si>
  <si>
    <t>WOS:000737586500001</t>
  </si>
  <si>
    <t>Kwon, H; Kim, SJ; Kim, SW; Kim, S</t>
  </si>
  <si>
    <t>Kwon, Hataek; Kim, Seong-Joong; Kim, Sang-Woo; Kim, Sinu</t>
  </si>
  <si>
    <t>Topographical effect of the Antarctic Peninsula on a strong wind event</t>
  </si>
  <si>
    <t>downslope windstorm; King Sejong Station; polar WRF; topography</t>
  </si>
  <si>
    <t>POLAR WEATHER RESEARCH; KATABATIC WINDS; PART I; MODEL; SYSTEM</t>
  </si>
  <si>
    <t>The topographical effect on a strong wind event that occurred on 7 January 2013 at King Sejong Station (KSJ), Antarctica, was investigated using the Polar Weather Research and Forecasting (WRF) model. Numerical experiments applying three different terrain heights of the Antarctic Peninsula (AP) were performed to quantitatively estimate the topographical effect on the selected strong wind event. The experiment employing original AP topography successfully represented the observed features in the strong wind event, both in terms of peak wind speed (by similar to 94%; similar to 19.7 m/s) and abrupt transitions of wind speed. In contrast, the experiment with a flattened terrain height significantly underestimated the peak wind speeds (by similar to 51%; similar to 10.4 m/s) of the observations. An absence of AP topography failed to simulate both a strong discontinuity of sea-level pressure fields around the east coast of the AP and a strong south-easterly wind over the AP. As a result, the observed downslope windstorm, driven by a flow overriding a barrier, was not formed at the western side of the AP, resulting in no further enhancement of the wind at KSJ. This result demonstrates that the topography of the AP played a critical role in driving the strong wind event at KSJ on 7 January 2013, accounting for similar to 50% of the total wind speed.</t>
  </si>
  <si>
    <t>[Kwon, Hataek; Kim, Sang-Woo] Seoul Natl Univ, Sch Earth Anal Environm Sci, Seoul, South Korea; [Kim, Seong-Joong] Korea Polar Res Inst, Div Polar Climate Sci, Incheon, South Korea; [Kim, Sinu] Weather Lab, Seoul, South Korea</t>
  </si>
  <si>
    <t>Seoul National University (SNU); Korea Polar Research Institute (KOPRI)</t>
  </si>
  <si>
    <t>Kim, SJ (corresponding author), Korea Polar Res Inst, Div Polar Climate Sci, Incheon, South Korea.</t>
  </si>
  <si>
    <t>seongjkim@kopri.re.kr</t>
  </si>
  <si>
    <t>National Research Foundation of Korea (NRF) - Korea government [NRF-2020R1A2C1014679]; Korea Polar Research Institute research project [PE21030]</t>
  </si>
  <si>
    <t>National Research Foundation of Korea (NRF) - Korea government(National Research Foundation of Korea); Korea Polar Research Institute research project(Korea Polar Research Institute of Marine Research Placement (KOPRI))</t>
  </si>
  <si>
    <t>This work was supported by the National Research Foundation of Korea (NRF) grant funded by the Korea government (NRF-2020R1A2C1014679) and the Korea Polar Research Institute research project (PE21030).</t>
  </si>
  <si>
    <t>10.1017/S0954102021000444</t>
  </si>
  <si>
    <t>WOS:000737587300001</t>
  </si>
  <si>
    <t>Peralta-Figueroa, C; Martínez-Oyanedel, J; Bunster, M; González-Rocha, G</t>
  </si>
  <si>
    <t>Peralta-Figueroa, Christian; Martinez-Oyanedel, Jose; Bunster, Marta; Gonzalez-Rocha, Gerardo</t>
  </si>
  <si>
    <t>Purified proteases of two Antarctic bacteria: from screening to characterization</t>
  </si>
  <si>
    <t>Antarctica; cold-adapted proteases; enzyme adaptation; enzymes; kinetic parameters; protein purification</t>
  </si>
  <si>
    <t>SP NOV.; PARAMETERS; STABILITY; MECHANISM; ENZYMES; STRAIN</t>
  </si>
  <si>
    <t>Proteases are widely used in industrial processes, and the discovery of new, more kinetically efficient proteases can have a positive impact on industry. Enzymes from Antarctic microorganisms exhibit cold-adaptive properties, making them useful in biotechnology. The cold and harsh environment of Antarctica makes it a valuable source for new biotechnologically related enzymes. In this study, we characterized two cold-adapted proteases purified from Pseudoalteromonas issachenkonii P14M1-4 and Flavobacterium frigidimaris ANT34-7, isolated from King George Island, Antarctica, and compared these with proteases from the non-cold-adapted bacteria Bacillus licheniformis and Geobacillus stearothermophilus. The best temperature growing conditions were used for protease purification and characterization. The protease from P. issachenkonii P14M1-4 was identified as a 40-43 kDa metal-dependent subtilisin-like serine protease and the protease from F. frigidimaris ANT34-7 was identified as a 28 kDa metalloprotease. The enzymes showed an optimum temperature of between 35 degrees C and 40 degrees C and an optimum pH in the neutral to alkaline range. Their activation energies, catalytic constants and growth capacities at different temperatures categorize them as cold-adapted enzymes. We conclude that the characteristics exhibited by these proteases make them useful for biotechnological purposes requiring high activity at low temperatures. Moreover, to the best of our knowledge, this is the first characterization of a cold-adapted protease from F. frigidimaris.</t>
  </si>
  <si>
    <t>[Peralta-Figueroa, Christian; Gonzalez-Rocha, Gerardo] Univ Concepcion, Fac Ciencias Biol, Dept Microbiol, Lab Invest Agentes Antibacterianos LIAA, Concepcion 4070386, Chile; [Peralta-Figueroa, Christian; Martinez-Oyanedel, Jose; Bunster, Marta] Univ Concepcion, Fac Ciencias Biol, Dept Bioquim &amp; Biol Mol, Lab Biofis Mol, Concepcion 4070386, Chile; [Peralta-Figueroa, Christian] Ceibo, Av Quilin 4757, Santiago 7811013, Chile; [Gonzalez-Rocha, Gerardo] Univ Concepcion, Programa Especial Ciencia Antartica &amp; Subantartic, Concepcion 4070386, Chile</t>
  </si>
  <si>
    <t>Universidad de Concepcion; Universidad de Concepcion; Universidad de Concepcion</t>
  </si>
  <si>
    <t>González-Rocha, G (corresponding author), Univ Concepcion, Fac Ciencias Biol, Dept Microbiol, Lab Invest Agentes Antibacterianos LIAA, Concepcion 4070386, Chile.;González-Rocha, G (corresponding author), Univ Concepcion, Programa Especial Ciencia Antartica &amp; Subantartic, Concepcion 4070386, Chile.</t>
  </si>
  <si>
    <t>ggonzal@udec.cl</t>
  </si>
  <si>
    <t>Gonzalez-Rocha, Gerardo/AAP-1793-2021</t>
  </si>
  <si>
    <t>Gonzalez-Rocha, Gerardo/0000-0003-2351-1236</t>
  </si>
  <si>
    <t>INNOVA Bio Bio project [12.63-EM.TES (12.250)]; National Agency for Research and Development (ANID)/Scholarship Program/MAGISTER NACIONAL [2013 221320354]; INACH grant [T-17-08]</t>
  </si>
  <si>
    <t>INNOVA Bio Bio project; National Agency for Research and Development (ANID)/Scholarship Program/MAGISTER NACIONAL; INACH grant</t>
  </si>
  <si>
    <t>This study was supported by INNOVA Bio Bio project 12.63-EM.TES (12.250), the National Agency for Research and Development (ANID)/Scholarship Program/MAGISTER NACIONAL/2013 221320354 (for CP-F) and INACH grant T-17-08.</t>
  </si>
  <si>
    <t>PII S0954102021000468</t>
  </si>
  <si>
    <t>10.1017/S0954102021000468</t>
  </si>
  <si>
    <t>WOS:000737585900001</t>
  </si>
  <si>
    <t>de Lima, FJ; Sayao, JM; Ponciano, LCMD; Weinschütz, LC; Figueiredo, RG; Rodrigues, T; Bantim, RAM; Saraiva, AAF; Jasper, A; Uhl, D; Kellner, AWA</t>
  </si>
  <si>
    <t>Lima, Flaviana Jorge de; Sayao, Juliana Manso; Ponciano, Luiza C. M. de Oliveira; Weinschutz, Luiz C.; Figueiredo, Rodrigo G.; Rodrigues, Taissa; Bantim, Renan Alfredo Machado; Feitosa Saraiva, Antonio Alamo; Jasper, Andre; Uhl, Dieter; Kellner, Alexander W. A.</t>
  </si>
  <si>
    <t>Wildfires in the Campanian of James Ross Island: a new macro-charcoal record for the Antarctic Peninsula</t>
  </si>
  <si>
    <t>Charcoal; palaeo-wildfires; Cretaceous; Southern Hemisphere; Gondwana; Cretaceous high-fire</t>
  </si>
  <si>
    <t>CONIFER FOSSIL WOODS; 1ST RECORD; BASIN; EVOLUTION; FORESTS; FIRE; STRATIGRAPHY; PATTERNS; MIOCENE; FLORA</t>
  </si>
  <si>
    <t>The Cretaceous high-fire period was a global event that reached almost all continental masses during that period in Earth's history. The extensive wildfires directly affected plant communities. Significant palaeobotanical records in the Antarctic Peninsula have been studied from the James Ross Sub-Basin, espe-cially from the Santa Marta Formation. However, there is no described evi-dence for palaeo-wildfires in the area so far. Here, we present the first occurrence of fossilized macro-charcoal coming from James Ross Island, confirming that palaeo-wildfires occurred in the Campanian vegetation preserved in the Santa Marta Formation. The new charcoal material has a gymnospermous taxonomic affinity, more specifically with the Araucariaceae, which is in accordance with previous palaeobotanical records from James Ross Island. This occurrence adds new information to the construction of the palaeo-wildfire scenario for Gondwana.</t>
  </si>
  <si>
    <t>[Lima, Flaviana Jorge de] Univ Fed Pernambuco, Ctr Acad Vitoria, Lab Paleobiol &amp; Microestruturas, Rua Alto Reservatorio S-N, BR-55608680 Vitoria De Santo Antao, PE, Brazil; [Sayao, Juliana Manso; Kellner, Alexander W. A.] Univ Fed Rio de Janeiro, Lab Antarctic Paleobiol &amp; Paleogeog, Natl Museum, Rio De Janeiro, Brazil; [Ponciano, Luiza C. M. de Oliveira] Fed Univ State Rio de Janeiro, Lab Appl Taphon &amp; Paleoecol, Rio De Janeiro, Brazil; [Weinschutz, Luiz C.] Univ Contestado, Paleontol Ctr, Campus Mafra, SC, Brazil; [Figueiredo, Rodrigo G.] Univ Fed Espirito Santo, Dept Biol, Alegre, ES, Brazil; [Rodrigues, Taissa] Univ Fed Espirito Santo, Dept Biol Sci, Vitoria, ES, Brazil; [Bantim, Renan Alfredo Machado; Feitosa Saraiva, Antonio Alamo] Reg Univ Cariri, Lab Paleontol, Crato, Ceara, Brazil; [Jasper, Andre; Uhl, Dieter] Univ Vale Taquari, Postgrad Program Environm &amp; Dev, Lajeado, RS, Brazil; [Jasper, Andre; Uhl, Dieter] Senckenberg Forschungsinst &amp; Nat Museum Frankfurt, Frankfurt, Germany; [Uhl, Dieter] Eberhard Karls Univ Tubingen, Senckenberg Ctr Human Evolut &amp; Palaeoenvironm, Tubingen, Germany</t>
  </si>
  <si>
    <t>Universidade Federal de Pernambuco; Universidade Federal do Rio de Janeiro; Universidade do Contestado; Universidade Federal do Espirito Santo; Universidade Federal do Espirito Santo; Universidade Regional do Cariri; Senckenberg Gesellschaft fur Naturforschung (SGN); Eberhard Karls University of Tubingen; Senckenberg Gesellschaft fur Naturforschung (SGN)</t>
  </si>
  <si>
    <t>de Lima, FJ (corresponding author), Univ Fed Pernambuco, Ctr Acad Vitoria, Lab Paleobiol &amp; Microestruturas, Rua Alto Reservatorio S-N, BR-55608680 Vitoria De Santo Antao, PE, Brazil.</t>
  </si>
  <si>
    <t>flavianajorge@gmail.com</t>
  </si>
  <si>
    <t>Saraiva, António/HPD-3031-2023; Lima, Flaviana Jorge de/JJC-7699-2023; Bantim, Renan/J-4076-2014; Jasper, André/C-2772-2008; Rodrigues, Taissa/H-1220-2012; Saraiva, Antonio/K-6211-2015</t>
  </si>
  <si>
    <t>Lima, Flaviana Jorge de/0000-0001-8602-6508; Bantim, Renan/0000-0003-4576-0989; Jasper, André/0000-0001-8143-9733; Rodrigues, Taissa/0000-0001-7918-1358; Saraiva, Antonio/0000-0003-0127-8912; Weinschutz, Luiz Carlos/0000-0002-8978-6120; Sayao, juliana/0000-0002-3619-0323</t>
  </si>
  <si>
    <t>Programa Antartico Brasileiro (Conselho Nacional de Desenvolvimento Cientifico e Tecnologico) [442677/2018-9]; Fundacao Cearense de Apoio ao Desenvolvimento Cientifico e Tecnologico [SPU: 9871903/2018, BMD-012400302.01.01/19, BP3-013900202.01.00/18]; Conselho Nacional de Desenvolvimento Cientifico e Tecnologico [305705/2019-9, 311715/2017-6, 312360/2018-5, 305938/2019-3, 420687/2016-5, 313461/2018-0]; Fundacao de Desenvolvimento Carlos Chagas Filho de Amparo a Pesquisa do Estado do Rio de Janeiro [E-26/202.905/2018]</t>
  </si>
  <si>
    <t>Programa Antartico Brasileiro (Conselho Nacional de Desenvolvimento Cientifico e Tecnologico); Fundacao Cearense de Apoio ao Desenvolvimento Cientifico e Tecnologico(Fundacao Cearense de Apoio ao Desenvolvimento Cientifico e Tecnologico (FUNCAP)); Conselho Nacional de Desenvolvimento Cientifico e Tecnologico(Conselho Nacional de Desenvolvimento Cientifico e Tecnologico (CNPQ)); Fundacao de Desenvolvimento Carlos Chagas Filho de Amparo a Pesquisa do Estado do Rio de Janeiro</t>
  </si>
  <si>
    <t>This study was supported by the Programa Antartico Brasileiro (Conselho Nacional de Desenvolvimento Cientifico e Tecnologico grant no. 442677/2018-9 to AWAK). The authors would like to thank the Fundacao Cearense de Apoio ao Desenvolvimento Cientifico e Tecnologico to FJL (SPU: 9871903/2018), RAMB (#BMD-012400302.01.01/19) and AAFS (#BP3-013900202.01.00/18), Conselho Nacional de Desenvolvimento Cientifico e Tecnologico to FJL (#305705/2019-9), JMS (#311715/2017-6), TR (#312360/2018-5), AJ (#305938/2019-3) and AWAK (#420687/2016-5 and #313461/2018-0); and Fundacao de Desenvolvimento Carlos Chagas Filho de Amparo a Pesquisa do Estado do Rio de Janeiro to AWAK (#E-26/202.905/2018).</t>
  </si>
  <si>
    <t>OCT 20</t>
  </si>
  <si>
    <t>10.33265/polar.v40.5487</t>
  </si>
  <si>
    <t>WV7YN</t>
  </si>
  <si>
    <t>WOS:000717447900001</t>
  </si>
  <si>
    <t>Zhou, FY; Hirai, JY; Hamasaki, K; Horii, S; Tsuda, A</t>
  </si>
  <si>
    <t>Zhou, Fanyu; Hirai, Junya; Hamasaki, Koji; Horii, Sachiko; Tsuda, Atsushi</t>
  </si>
  <si>
    <t>Feeding Ecology of Three Euphausiid Species in the North Pacific Ocean Inferred From 18S V9 Metabarcoding and Stable Isotope Analysis</t>
  </si>
  <si>
    <t>euphausiids; feeding ecology; 18S V9 metabarcoding; stable isotope analysis; community structure; North Pacific</t>
  </si>
  <si>
    <t>SARDINE SARDINOPS-MELANOSTICTUS; DIEL VERTICAL MIGRATION; COASTAL WATERS; ANTARCTIC KRILL; CALANUS-SINICUS; ZOOPLANKTON; CRUSTACEA; PREY; SEA; RATES</t>
  </si>
  <si>
    <t>Euphausiids are abundant micronekton and important links between higher and lower trophic levels in marine ecosystems; however, their detailed diets cannot be fully understood by conventional microscopy, especially in subtropical areas. Here, we report the euphausiid community structure in the California Current (CC) area and the eastern/western North Pacific subtropical gyre (ESG and WSG) and detail the feeding ecology of the dominant species (Euphausia pacifica, E. brevis, and E. hemigibba) in each region using a combined approach of gut content analysis via 18S V9 metabarcoding and stable carbon and nitrogen isotope analysis. A pronounced omnivorous feeding of all studied euphausiid species was supported by both methods: phytoplanktonic taxonomic groups (Dinophyta, Stramenopiles, and Archaeplastida), Copepoda, and Hydrozoa were detected in the gut contents; all the three euphausiid species displayed an intermediate trophic position between the net plankton (0.2-1.0 mm) and the myctophid fish (15.2-85.5 mm). However, Hydrozoa found in euphausiid gut contents likely derived from a potential cod-end feeding, based on isotope analysis. E. pacifica in the CC province ingested more autotrophic prey, including pelagophyte and green algae, due to a greater abundance of Stramenopiles and Archaeplastida in shallow layers of CC water. On the other hand, non-autotrophic prey such as mixotrophic Kareniaceae dinoflagellates, Pontellidae and Clausocalanidae copepods, and Sphaerozoidae rhizarian contributed more to the diets of E. brevis and E. hemigibba because of a lower chlorophyll a concentration or potentially a scarcity of autotrophic prey availability in ESG and WSG. The feeding patterns of dominant euphausiid species conducting filter feeding were thus largely determined by phytoplankton prey availability in the environments. Dietary difference across three species was also indicated by stable isotope analysis, with a lower mean trophic level of E. pacifica (2.32) than E. brevis (2.48) and E. hemigibba (2.57). These results verify direct trophic interactions between euphausiids and primary production and suggest that the omnivorous feeding habit is a favorable character for dominant Euphausia species.</t>
  </si>
  <si>
    <t>[Zhou, Fanyu; Hirai, Junya; Hamasaki, Koji; Tsuda, Atsushi] Univ Tokyo, Atmosphere &amp; Ocean Res Inst, Kashiwa, Chiba, Japan; [Horii, Sachiko] Japan Fisheries Res &amp; Educ Agcy, Fisheries Resources Inst, Nagasaki, Japan</t>
  </si>
  <si>
    <t>University of Tokyo; Japan Fisheries Research &amp; Education Agency (FRA)</t>
  </si>
  <si>
    <t>Zhou, FY (corresponding author), Univ Tokyo, Atmosphere &amp; Ocean Res Inst, Kashiwa, Chiba, Japan.</t>
  </si>
  <si>
    <t>zhoufanyu0322@g.ecc.u-tokyo.ac.jp</t>
  </si>
  <si>
    <t>Horii, Sachiko/0000-0002-7467-4046</t>
  </si>
  <si>
    <t>apan Society for the Promotion of Science; Grants-in-Aid for Scientific Research [20KK0240, 20H03057] Funding Source: KAKEN</t>
  </si>
  <si>
    <t>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</si>
  <si>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Funding This work was supported by grants from the Japan Society for the Promotion of Science (grant number 18K14519) and the Ministry of Education, Culture, Sports, Science and Technology (grant number 1036979).</t>
  </si>
  <si>
    <t>10.3389/fmars.2021.756067</t>
  </si>
  <si>
    <t>WU5WA</t>
  </si>
  <si>
    <t>WOS:000716614600001</t>
  </si>
  <si>
    <t>Mooney, S; Martin, L; Goff, J; Young, ARM</t>
  </si>
  <si>
    <t>Mooney, Scott; Martin, Len; Goff, James; Young, Ann R. M.</t>
  </si>
  <si>
    <t>Sedimentation and organic content in the mires and other sites of sediment accumulation in the Sydney region, eastern Australia, in the period after the Last Glacial Maximum</t>
  </si>
  <si>
    <t>Sedimentation rates; Sydney basin; Peat; Age-depth model; Holocene; Moisture availability; Radiocarbon dating</t>
  </si>
  <si>
    <t>NEW-SOUTH-WALES; NORTH STRADBROKE ISLAND; HOLOCENE FIRE HISTORY; VEGETATION HISTORY; BLUE MOUNTAINS; BARRINGTON TOPS; PEATLAND INITIATION; LEVEL FLUCTUATIONS; POLLEN EVIDENCE; NATIONAL-PARK</t>
  </si>
  <si>
    <t>This research reports on a synthesis of radiocarbon (C-14) dates and the organic content from a variety of depositional sites in a relatively small region in humid eastern Australia centred on Sydney. We focused on basal dates, changes in accumulation rates and the organic content of these sediment records in the period post-dating 21 thousand years ago to make inferences about past environmental conditions, or to infer the timing of past environmental change. We found that low rates of sediment and organic accumulation at the Last Glacial Maximum continued well into the late Pleistocene. The average rate of sediment deposition and organic content increased from about 14.5 calibrated kiloanni before present (cal ka BP), perhaps coincident with Meltwater Pulse 1A, but this was then checked by dry conditions during the Antarctic Climatic Reversal chronozone. An abrupt increase in the average rate of sediment accumulation coincided with the Pleistocene-Holocene boundary (at 11.7 cal ka BP), and this continued until about 9.2 cal ka BP, largely coinciding with the Antarctic thermal maximum, and probably reflecting reduced moisture availability in the Sydney region. Indication of depressed temperature and a more positive moisture availability, from about 9 to 7.6 cal ka BP, witnessed the fastest increase in the number of sites than at any other time. An overall drier early Holocene abruptly altered at about 7.5 cal ka BP and a mid-Holocene `optimum' in moisture availability extended to 6.2 cal ka BP. The compilation of organic contents of the mid-late Holocene suggests environmental variability, but El Nino frequency or strength is not implicated as a driving force. Increased organic productivity, especially after 2.8 cal ka BP, corresponded to a peak in summer insolation, and associated seasonality of insolation and this is likely to have resulted in increased, or more consistent, summer rainfall and easterly air flow into the Sydney region. In contrast to previous generalisations about changes in south-eastern Australia during the Holocene, which have often relied on palaeoenvironmental records from further south, the southward migration of the intertropical convergence zone during the Holocene had vastly different synoptic outcomes in the Sydney region, with the early Holocene drier as continental air dominated, and the late Holocene wetter, as the synoptic conditions saw more tropical and easterly airflow. This work demonstrates the danger in making generalisations across regions and highlights the utility of the compilation of data at a homoclimatic, regional scale. (C) 2021 Elsevier Ltd. All rights reserved.</t>
  </si>
  <si>
    <t>[Mooney, Scott; Martin, Len; Goff, James] Univ New South Wales, Sch Biol Earth &amp; Environm Sci, Kensington, NSW 2052, Australia; [Young, Ann R. M.] 4 Roxburgh Ave, Thirroul, NSW 2515, Australia</t>
  </si>
  <si>
    <t>University of New South Wales Sydney</t>
  </si>
  <si>
    <t>Mooney, S (corresponding author), Univ New South Wales, Sch Biol Earth &amp; Environm Sci, Kensington, NSW 2052, Australia.</t>
  </si>
  <si>
    <t>s.mooney@unsw.edu.au</t>
  </si>
  <si>
    <t>Goff, James/0000-0001-9265-8667</t>
  </si>
  <si>
    <t>ANU/Temperate Highland Peat Swamps on Sandstone Research Program Joint Venture The environmental history of temperate highland sandstone swamps with a focus on climatic variability and fire</t>
  </si>
  <si>
    <t>This work was supported by the ANU/Temperate Highland Peat Swamps on Sandstone Research Program Joint Venture The environmental history of temperate highland sandstone swamps with a focus on climatic variability and fire. The LOI data collated in this paper results from various sources: the authors acknowledge the work of Dr Manu Black (Goochs Crater, Kings Tableland, Lake Baraba), Dr Dylan Horne (Broughton Island), Sue Mason (Kings Waterhole, Howes Waterhole), Emma Dixon (Lake Couridjah), Emma Maltby (Worimi Swamp) and Dr Nikki Williams (Redhead Lagoon). The authors gratefully acknowledge discussion relating to this work with Drs Jennie Whinam, Roger Jones, Martin Krogh and Geoff Hope. Our ideas about the LGM in Australia have benefited from discussion with Tim Cohen, Paul Hesse, Jamie Shulmeister and Kale Sniderman (but we do not imply that they agree with our statements!). The careful consideration of this work by several reviewers (including John Tibby and Paul Hesse) is gratefully acknowledged.</t>
  </si>
  <si>
    <t>10.1016/j.quascirev.2021.107216</t>
  </si>
  <si>
    <t>WI9UP</t>
  </si>
  <si>
    <t>WOS:000708698300007</t>
  </si>
  <si>
    <t>Gu, XQ; Fu, LP; Pan, AH; Gui, YY; Zhang, Q; Li, J</t>
  </si>
  <si>
    <t>Gu, Xiaoqian; Fu, Liping; Pan, Aihong; Gui, Yuanyuan; Zhang, Qian; Li, Jiang</t>
  </si>
  <si>
    <t>Multifunctional alkalophilic α-amylase with diverse raw seaweed degrading activities</t>
  </si>
  <si>
    <t>AMB EXPRESS</t>
  </si>
  <si>
    <t>Metagenomic; alpha-amylase; Multifunctional enzyme; Enzymatic digestion</t>
  </si>
  <si>
    <t>KAPPA-CARRAGEENASE; MOONLIGHTING PROTEINS; ENZYME PROMISCUITY; BETA-AGARASE; PURIFICATION; BACTERIUM; EVOLUTIONARY; EXPRESSION; CELLULASE; CLONING</t>
  </si>
  <si>
    <t>Uncultured microbes are an important resource for the discovery of novel enzymes. In this study, an amylase gene (amy2587) that codes a protein with 587 amino acids (Amy2587) was obtained from the metagenomic library of macroalgae-associated bacteria. Recombinant Amy2587 was expressed in Escherichia coli BL21 (DE3) and was found to simultaneously possess alpha-amylase, agarase, carrageenase, cellulase, and alginate lyase activities. Moreover, recombinant Amy2587 showed high thermostability and alkali resistance which are important characteristics for industrial application. To investigate the multifunctional mechanism of Amy2587, three motifs (functional domains) in the Amy2587 sequence were deleted to generate three truncated Amy2587 variants. The results showed that, even though these functional domains affected the multiple substrates degrading activity of Amy2587, they did not wholly explain its multifunctional characteristics. To apply the multifunctional activity of Amy2587, three seaweed substrates (Grateloupia filicina, Chondrus ocellatus, and Scagassum) were digested using Amy2587. After 2 h, 6 h, and 24 h of digestion, 121.2 +/- 4 mu g/ml, 134.8 +/- 6 mu g/ml, and 70.3 +/- 3.5 mu g/ml of reducing sugars were released, respectively. These results show that Amy2587 directly and effectively degraded three kinds of raw seaweeds. This finding provides a theoretical basis for one-step enzymatic digestion of raw seaweeds to obtain seaweed oligosaccharides.</t>
  </si>
  <si>
    <t>[Gu, Xiaoqian; Fu, Liping; Pan, Aihong; Zhang, Qian; Li, Jiang] Minist Nat Resources, Inst Oceanog 1, Key Lab Ecol Environm Sci &amp; Technol, Qingdao 266061, Peoples R China; [Gu, Xiaoqian; Li, Jiang] Chinese Acad Sci, Qingdao 266071, Peoples R China; [Gu, Xiaoqian; Li, Jiang] Chinese Acad Sci, Inst Oceanol, Ctr Ocean Mega Sci, Shandong Prov Key Lab Expt Marine Biol, Qingdao 266071, Peoples R China; [Gui, Yuanyuan] Qingdao Univ, Coll Environm Sci &amp; Engn, Qingdao 266071, Peoples R China; [Li, Jiang] SOA, Inst Oceanog 1, Key Lab Ecol Environm Sci &amp; Technol, Qingdao 266061, Peoples R China</t>
  </si>
  <si>
    <t>Ministry of Natural Resources of the People's Republic of China; First Institute of Oceanography, Ministry of Natural Resources; Chinese Academy of Sciences; Chinese Academy of Sciences; Institute of Oceanology, CAS; Qingdao University; First Institute of Oceanography, Ministry of Natural Resources</t>
  </si>
  <si>
    <t>Li, J (corresponding author), SOA, Inst Oceanog 1, Key Lab Ecol Environm Sci &amp; Technol, Qingdao 266061, Peoples R China.</t>
  </si>
  <si>
    <t>lijiang@fio.org.cn</t>
  </si>
  <si>
    <t>fu, liping/HGV-1950-2022</t>
  </si>
  <si>
    <t>Key Research and Development Program of Shandong Province, China [2018GHY115013]; Impact and Response of Antarctic Seas to Climate Change [RFSOCC2020-2022]</t>
  </si>
  <si>
    <t>Key Research and Development Program of Shandong Province, China; Impact and Response of Antarctic Seas to Climate Change</t>
  </si>
  <si>
    <t>This research was supported by the Key Research and Development Program of Shandong Province, China (2018GHY115013), Impact and Response of Antarctic Seas to Climate Change (RFSOCC2020-2022).</t>
  </si>
  <si>
    <t>2191-0855</t>
  </si>
  <si>
    <t>AMB Express</t>
  </si>
  <si>
    <t>10.1186/s13568-021-01300-x</t>
  </si>
  <si>
    <t>WJ9EV</t>
  </si>
  <si>
    <t>WOS:000709340500001</t>
  </si>
  <si>
    <t>Wang, YC; Pedersen, MW; Alsos, IG; De Sanctis, B; Racimo, F; Prohaska, A; Coissac, E; Owens, HL; Merkel, MKF; Fernandez-Guerra, A; Rouillard, A; Lammers, Y; Alberti, A; Denoeud, F; Money, D; Ruter, AH; McColl, H; Larsen, NK; Cherezova, AA; Edwards, ME; Fedorov, GB; Haile, J; Orlando, L; Vinner, L; Korneliussen, TS; Beilman, DW; Bjork, AA; Cao, JL; Dockter, C; Esdale, J; Gusarova, G; Kjeldsen, KK; Mangerud, J; Rasic, JT; Skadhauge, B; Svendsen, JI; Tikhonov, A; Wincker, P; Xing, YC; Zhang, YB; Froese, DG; Rahbek, C; Nogues, DB; Holden, PB; Edwards, NR; Durbin, R; Meltzer, DJ; Kjær, KH; Möller, P; Willerslev, E</t>
  </si>
  <si>
    <t>Wang, Yucheng; Pedersen, Mikkel Winther; Alsos, Inger Greve; De Sanctis, Bianca; Racimo, Fernando; Prohaska, Ana; Coissac, Eric; Owens, Hannah Lois; Merkel, Marie Kristine Foreid; Fernandez-Guerra, Antonio; Rouillard, Alexandra; Lammers, Youri; Alberti, Adriana; Denoeud, France; Money, Daniel; Ruter, Anthony H.; McColl, Hugh; Larsen, Nicolaj Krog; Cherezova, Anna A.; Edwards, Mary E.; Fedorov, Grigory B.; Haile, James; Orlando, Ludovic; Vinner, Lasse; Korneliussen, Thorfinn Sand; Beilman, David W.; Bjork, Anders A.; Cao, Jialu; Dockter, Christoph; Esdale, Julie; Gusarova, Galina; Kjeldsen, Kristian K.; Mangerud, Jan; Rasic, Jeffrey T.; Skadhauge, Birgitte; Svendsen, John Inge; Tikhonov, Alexei; Wincker, Patrick; Xing, Yingchun; Zhang, Yubin; Froese, Duane G.; Rahbek, Carsten; Nogues, David Bravo; Holden, Philip B.; Edwards, Neil R.; Durbin, Richard; Meltzer, David J.; Kjaer, Kurt H.; Moller, Per; Willerslev, Eske</t>
  </si>
  <si>
    <t>Late Quaternary dynamics of Arctic biota from ancient environmental genomics</t>
  </si>
  <si>
    <t>LAST GLACIAL MAXIMUM; GREENLAND SNOW; MAMMOTH STEPPE; ICE CORE; VEGETATION; DNA; EXTINCTION; LANDSCAPE; DIVERSITY; EURASIA</t>
  </si>
  <si>
    <t>A large-scale metagenomic analysis of plant and mammal environmental DNA reveals complex ecological changes across the circumpolar region over the past 50,000 years, as biota responded to changing climates, culminating in the postglacial extinction of large mammals and emergence of modern ecosystems. During the last glacial-interglacial cycle, Arctic biotas experienced substantial climatic changes, yet the nature, extent and rate of their responses are not fully understood(1-8). Here we report a large-scale environmental DNA metagenomic study of ancient plant and mammal communities, analysing 535 permafrost and lake sediment samples from across the Arctic spanning the past 50,000 years. Furthermore, we present 1,541 contemporary plant genome assemblies that were generated as reference sequences. Our study provides several insights into the long-term dynamics of the Arctic biota at the circumpolar and regional scales. Our key findings include: (1) a relatively homogeneous steppe-tundra flora dominated the Arctic during the Last Glacial Maximum, followed by regional divergence of vegetation during the Holocene epoch; (2) certain grazing animals consistently co-occurred in space and time; (3) humans appear to have been a minor factor in driving animal distributions; (4) higher effective precipitation, as well as an increase in the proportion of wetland plants, show negative effects on animal diversity; (5) the persistence of the steppe-tundra vegetation in northern Siberia enabled the late survival of several now-extinct megafauna species, including the woolly mammoth until 3.9 +/- 0.2 thousand years ago (ka) and the woolly rhinoceros until 9.8 +/- 0.2 ka; and (6) phylogenetic analysis of mammoth environmental DNA reveals a previously unsampled mitochondrial lineage. Our findings highlight the power of ancient environmental metagenomics analyses to advance understanding of population histories and long-term ecological dynamics.</t>
  </si>
  <si>
    <t>[Wang, Yucheng; De Sanctis, Bianca; Prohaska, Ana; Money, Daniel; Willerslev, Eske] Univ Cambridge, Dept Zool, Cambridge, England; [Wang, Yucheng; Pedersen, Mikkel Winther; Racimo, Fernando; Fernandez-Guerra, Antonio; Rouillard, Alexandra; Ruter, Anthony H.; McColl, Hugh; Larsen, Nicolaj Krog; Haile, James; Vinner, Lasse; Korneliussen, Thorfinn Sand; Cao, Jialu; Wincker, Patrick; Meltzer, David J.; Kjaer, Kurt H.; Willerslev, Eske] Univ Copenhagen, GLOBE Inst, Lundbeck Fdn, GeoGenet Ctr, Copenhagen, Denmark; [Alsos, Inger Greve; Coissac, Eric; Merkel, Marie Kristine Foreid; Lammers, Youri; Gusarova, Galina] UiT Arctic Univ Norway, Arctic Univ Museum Norway, Tromso, Norway; [De Sanctis, Bianca; Durbin, Richard] Univ Cambridge, Dept Genet, Cambridge, England; [Coissac, Eric] Univ Savoie Mt Blanc, Univ Grenoble Alpes, CNRS, LECA, Grenoble, France; [Owens, Hannah Lois; Rahbek, Carsten; Nogues, David Bravo] Univ Copenhagen, GLOBE Inst, Ctr Macroecol Evolut &amp; Climate, Copenhagen, Denmark; [Rouillard, Alexandra] UiT Arctic Univ Norway, Dept Geosci, Tromso, Norway; [Alberti, Adriana] Univ Paris Saclay, Inst Integrat Biol Cell I2BC, CNRS, CEA, Gif Sur Yvette, France; [Alberti, Adriana; Denoeud, France] Univ Paris Saclay, Univ Evry, Genom Metabol, Inst Francois Jacob,Genoscope,CNRS,CEA, Evry, France; [Cherezova, Anna A.; Fedorov, Grigory B.] St Petersburg State Univ, Inst Earth Sci, St Petersburg, Russia; [Cherezova, Anna A.; Fedorov, Grigory B.] Arctic &amp; Antarctic Res Inst, St Petersburg, Russia; [Edwards, Mary E.] Univ Southampton, Sch Geog &amp; Environm Sci, Southampton, Hants, England; [Edwards, Mary E.] Univ Alaska Fairbanks, Alaska Quaternary Ctr, Fairbanks, AK USA; [Orlando, Ludovic] Univ Paul Sabatier, Fac Med, Ctr Anthropobiol &amp; Genom Toulouse, Toulouse, France; [Korneliussen, Thorfinn Sand] Natl Res Univ, Higher Sch Econ, Moscow, Russia; [Beilman, David W.] Univ Hawaii, Dept Geog &amp; Environm, Honolulu, HI 96822 USA; [Bjork, Anders A.] Univ Copenhagen, Dept Geosci &amp; Nat Resource Management, Copenhagen, Denmark; [Esdale, Julie] Colorado State Univ, Ctr Environm Management Mil Lands, Ft Collins, CO 80523 USA; [Gusarova, Galina] St Petersburg State Univ, Fac Biol, St Petersburg, Russia; [Kjeldsen, Kristian K.] Geol Survey Denmark &amp; Greenland, Dept Glaciol &amp; Climate, Copenhagen, Denmark; [Mangerud, Jan; Svendsen, John Inge] Univ Bergen, Dept Earth Sci, Bergen, Norway; [Mangerud, Jan; Svendsen, John Inge] Bjerknes Ctr Climate Res, Bergen, Norway; [Rasic, Jeffrey T.] Natl Pk Serv, Gates Arctic Natl Pk &amp; Preserve, Fairbanks, AK USA; [Tikhonov, Alexei] Russian Acad Sci, Inst Zool, St Petersburg, Russia; [Xing, Yingchun] Chinese Acad Fishery Sci, Resource &amp; Environm Res Ctr, Beijing, Peoples R China; [Zhang, Yubin] Jilin Univ, Coll Plant Sci, Changchun, Peoples R China; [Froese, Duane G.] Univ Alberta, Dept Earth &amp; Atmospher Sci, Edmonton, AB, Canada; Univ Copenhagen, GLOBE Inst, Ctr Global Mt Biodivers, Copenhagen, Denmark; [Holden, Philip B.; Edwards, Neil R.] Open Univ, Sch Environm Earth &amp; Ecosyst Sci, Milton Keynes, Bucks, England; [Meltzer, David J.] Southern Methodist Univ, Dept Anthropol, Dallas, TX USA; [Moller, Per] Lund Univ, Dept Geol, Quaternary Sci, Lund, Sweden; [Willerslev, Eske] Wellcome Trust Sanger Inst, Wellcome Genome Campus, Cambridge, England; [Willerslev, Eske] Univ Bremen, MARUM, Bremen, Germany</t>
  </si>
  <si>
    <t>University of Cambridge; University of Copenhagen; Lundbeckfonden; UiT The Arctic University of Tromso; University of Cambridge; Communaute Universite Grenoble Alpes; Universite Grenoble Alpes (UGA); Centre National de la Recherche Scientifique (CNRS); Universite Savoie Mont Blanc; University of Copenhagen; UiT The Arctic University of Tromso; Universite Paris Saclay; Centre National de la Recherche Scientifique (CNRS); CEA; Universite Paris Cite; Universite Paris Cite; Centre National de la Recherche Scientifique (CNRS); Universite Paris Saclay; CEA; Saint Petersburg State University; Arctic &amp; Antarctic Research Institute; University of Southampton; University of Alaska System; University of Alaska Fairbanks; Universite de Toulouse; Universite Toulouse III - Paul Sabatier; HSE University (National Research University Higher School of Economics); University of Hawaii System; University of Copenhagen; Colorado State University; Saint Petersburg State University; Geological Survey Of Denmark &amp; Greenland; University of Bergen; Bjerknes Centre for Climate Research; United States Department of the Interior; Russian Academy of Sciences; Zoological Institute of the Russian Academy of Sciences; Chinese Academy of Fishery Sciences; Jilin University; University of Alberta; University of Copenhagen; Open University - UK; Southern Methodist University; Lund University; Wellcome Trust Sanger Institute; University of Bremen</t>
  </si>
  <si>
    <t>Willerslev, E (corresponding author), Univ Cambridge, Dept Zool, Cambridge, England.;Willerslev, E (corresponding author), Univ Copenhagen, GLOBE Inst, Lundbeck Fdn, GeoGenet Ctr, Copenhagen, Denmark.</t>
  </si>
  <si>
    <t>ew482@cam.ac.uk</t>
  </si>
  <si>
    <t>Alsos, Inger Greve/A-9507-2016; Fedorov, Grigory/N-5788-2019; Kjeldsen, Kristian Kjellerup/A-9592-2013; Wang, Yu/GZL-9655-2022; Coissac, Éric/AAE-8735-2019; Rahbek, Carsten/GVQ-0752-2022; Holden, Philip/K-6152-2013; Willerslev, Eske/AAA-5686-2019; ORLANDO, Ludovic/JEP-5411-2023; ORLANDO, Ludovic/A-8932-2013; Korneliussen, Thorfinn Sand/ABB-7656-2021; Pedersen, Mikkel Winther/JCO-2772-2023; Gussarova, Galina/ABC-8696-2021; Alberti, Adriana/AAZ-2013-2021; Tikhonov, Alexei/G-7478-2016; Willerslev, Eske/A-9619-2011; Pedersen, Mikkel Winther/GSN-8119-2022; Möller, Per/AAJ-7963-2020; Denoeud, France/AGO-0915-2022; Larsen, Nicolaj Krog/ABE-4327-2021; Kjaer, Kurt/A-4199-2013; Bjork, Anders Anker/B-1625-2013; Pedersen, Mikkel Winther/A-8151-2014; Zhang, Yubin/O-2905-2017</t>
  </si>
  <si>
    <t>Fedorov, Grigory/0000-0003-2269-4501; Coissac, Éric/0000-0001-7507-6729; Rahbek, Carsten/0000-0003-4585-0300; Holden, Philip/0000-0002-2369-0062; ORLANDO, Ludovic/0000-0003-3936-1850; Korneliussen, Thorfinn Sand/0000-0001-7576-5380; Gussarova, Galina/0000-0001-5388-7491; Alberti, Adriana/0000-0003-3372-9423; Willerslev, Eske/0000-0002-7081-6748; Möller, Per/0000-0001-5365-2668; Denoeud, France/0000-0001-8819-7634; Larsen, Nicolaj Krog/0000-0002-0117-1106; Skadhauge, Birgitte/0000-0001-7317-4376; Rouillard, Alexandra/0000-0001-5778-6620; Dockter, Christoph/0000-0001-5923-3667; Wang, Yucheng/0000-0002-7838-226X; Kjaer, Kurt/0000-0002-8871-5179; Bjork, Anders Anker/0000-0002-4919-792X; Racimo, Fernando/0000-0002-5025-2607; Pedersen, Mikkel Winther/0000-0002-7291-8887; Zhang, Yubin/0000-0003-4920-3100; McColl, Hugh/0000-0002-7568-4270; Cao, Jialu/0000-0001-5359-7072; De Sanctis, Bianca/0000-0002-0648-4224; Edwards, Neil/0000-0001-6045-8804; Prohaska, Ana/0000-0001-5459-6186</t>
  </si>
  <si>
    <t>Carlsberg Foundation [CF18-0024]; Lundbeck Foundation [R302-2018-2155]; Novo Nordisk Foundation [NNF18SA0035006]; Wellcome Trust [UNS69906, WT207492]; GRF EXC CRS Chair-Cluster of Excellence [44113220]; Research Council of Norway [226134/F50]; Norwegian Biodiversity Information Centre [14-14, 70184209]; Arctic University Museum of Norway; Central Public-Interest Scientific Institution Basal Research Fund, CAFS [2017B001, 2020A001]; Wellcome Trust programme in Mathematical Genomics and Medicine [WT220023]; Villum Fonden Young Investigator award [00025300]; Quest Archaeological Research Fund; Swedish Research Council (VR); Marie Skodowska-Curie Actions Individual Fellowship (MSCA-IF) [703542]; Research Council of Norway (KLIMAFORSK) [294929]; European Research Council (ERC) under the European Union [681605]; ERC under the European Union [819192]; Research Council of Norway; NERC [NE/P015093/1]; Marie Skodowska-Curie Actions Incoming International Fellowship [MCIIF-40974]; Carlsberg Foundation Young Researcher Fellowship [CF19-0712]; European Research Council (ERC) [819192] Funding Source: European Research Council (ERC); Marie Curie Actions (MSCA) [703542] Funding Source: Marie Curie Actions (MSCA); Natural Environment Research Council [NE/P015093/1] Funding Source: researchfish; NERC [NE/P015093/1] Funding Source: UKRI</t>
  </si>
  <si>
    <t>Carlsberg Foundation(Carlsberg Foundation); Lundbeck Foundation(Lundbeckfonden); Novo Nordisk Foundation(Novo Nordisk FoundationNovocure Limited); Wellcome Trust(Wellcome Trust); GRF EXC CRS Chair-Cluster of Excellence; Research Council of Norway(Research Council of Norway); Norwegian Biodiversity Information Centre; Arctic University Museum of Norway; Central Public-Interest Scientific Institution Basal Research Fund, CAFS; Wellcome Trust programme in Mathematical Genomics and Medicine(Wellcome Trust); Villum Fonden Young Investigator award; Quest Archaeological Research Fund; Swedish Research Council (VR)(Swedish Research Council); Marie Skodowska-Curie Actions Individual Fellowship (MSCA-IF)(European Union (EU)); Research Council of Norway (KLIMAFORSK)(Research Council of Norway); European Research Council (ERC) under the European Union(European Research Council (ERC)); ERC under the European Union(European Research Council (ERC)); Research Council of Norway(Research Council of Norway); NERC(UK Research &amp; Innovation (UKRI)Natural Environment Research Council (NERC)); Marie Skodowska-Curie Actions Incoming International Fellowship; Carlsberg Foundation Young Researcher Fellowship; European Research Council (ERC)(European Research Council (ERC)Spanish Government); Marie Curie Actions (MSCA)(Marie Curie Actions); Natural Environment Research Council(UK Research &amp; Innovation (UKRI)Natural Environment Research Council (NERC)); NERC(UK Research &amp; Innovation (UKRI)Natural Environment Research Council (NERC))</t>
  </si>
  <si>
    <t>We thank D. H. Mann for his detailed and constructive comments; and T. Ager, J. Austin, T. B. Brand, A. Cooper, S. Funder, M. T. P. Gilbert, T. Jorgensen, N. J. Korsgaard, S. Liu, M. Meldgaard, P. V. S. Olsen, M. L. Siggaard-Andersen, J. Stenderup, S. A. Woodroffe and staff at the GeoGenetics Sequencing Core and National Park Service-Western Arctic National Parklands for help and support. E.W. and D.J.M. thank the staff at St. John's College, Cambridge, for providing a stimulating environment for scientific discussion of the project. E.W. thanks Illumina for collaboration. The Lundbeck Foundation GeoGenetics Centre is supported by the Carlsberg Foundation (CF18-0024), the Lundbeck Foundation (R302-20182155), the Novo Nordisk Foundation (NNF18SA0035006), the Wellcome Trust (UNS69906) and GRF EXC CRS Chair (44113220)-Cluster of Excellence. The PhyloNorway plant genome database is part of the Norwegian Barcode of Life Network (https://www.norbol.org) funded by the Research Council of Norway (226134/F50), the Norwegian Biodiversity Information Centre (14-14, 70184209) and The Arctic University Museum of Norway. Metabarcoding sequencing was funded by the Central Public-Interest Scientific Institution Basal Research Fund, CAFS (2017B001 and 2020A001). B.D.S. is supported by the Wellcome Trust programme in Mathematical Genomics and Medicine (WT220023); F.R. by a Villum Fonden Young Investigator award (no. 00025300); D.J.M. by the Quest Archaeological Research Fund; P.M. by the Swedish Research Council (VR); R.D. by the Wellcome Trust (WT207492); and A.R. by a Marie Sklodowska-Curie Actions Individual Fellowship (MSCA-IF, 703542) and the Research Council of Norway (KLIMAFORSK, 294929). L.O. has received funding from the European Research Council (ERC) under the European Union's Horizon 2020 research and innovation programme (no. 681605); I.G.A. and Y.L. from the ERC under the European Union's Horizon 2020 research and innovation programme (no. 819192). J.I.S. and J.M. are supported by the Research Council of Norway. P.B.H. and N.R.E. acknowledge NERC funding (grant NE/ P015093/1). D.W.B. was supported by a Marie Sklodowska-Curie Actions Incoming International Fellowship (MCIIF-40974). T.S.K. is funded by a Carlsberg Foundation Young Researcher Fellowship (CF19-0712).</t>
  </si>
  <si>
    <t>DEC 2</t>
  </si>
  <si>
    <t>10.1038/s41586-021-04016-x</t>
  </si>
  <si>
    <t>XG8IW</t>
  </si>
  <si>
    <t>WOS:000709352200005</t>
  </si>
  <si>
    <t>Librado, P; Khan, N; Fages, A; Kusliy, MA; Suchan, T; Tonasso-Calvière, L; Schiavinato, S; Alioglu, D; Fromentier, A; Perdereau, A; Aury, JM; Gaunitz, C; Chauvey, L; Seguin-Orlando, A; Sarkissian, CD; Southon, J; Shapiro, B; Tishkin, AA; Kovalev, AA; Alquraishi, S; Alfarhan, AH; Al-Rasheid, KAS; Seregély, T; Klassen, L; Iversen, R; Bignon-Lau, O; Bodu, P; Olive, M; Castel, JC; Boudadi-Maligne, M; Alvarez, N; Germonpré, M; Hoyo, MMD; Wilczynski, J; Pospula, S; Lasota-Kus, A; Tunia, K; Nowak, M; Rannamäe, E; Saarma, U; Boeskorov, G; Lougas, L; Kysely, R; Peske, L; Balasescu, A; Dumitrascu, V; Dobrescu, R; Gerber, D; Kiss, V; Szécsényi-Nagy, A; Mende, BG; Gallina, Z; Somogyi, K; Kulcsár, G; Gál, E; Bendrey, R; Allentoft, ME; Sirbu, G; Dergachev, V; Shephard, H; Tomadini, N; Grouard, S; Kasparov, A; Basilyan, AE; Anisimov, MA; Nikolskiy, PA; Pavlova, EY; Pitulko, V; Brem, G; Wallner, B; Schwall, C; Keller, M; Kitagawa, K; Bessudnov, AN; Bessudnov, A; Taylor, W; Magail, J; Gantulga, JO; Bayarsaikhan, J; Erdenebaatar, D; Tabaldiev, K; Mijiddorj, E; Boldgiv, B; Tsagaan, T; Pruvost, M; Olsen, S; Makarewicz, CA; Lamas, SV; Canadell, SA; Espinet, AN; Iborra, MP; Garrido, JL; González, ER; Celestino, S; Olària, C; Arsuaga, JL; Kotova, N; Pryor, A; Crabtree, P; Zhumatayev, R; Toleubaev, A; Morgunova, NL; Kuznetsova, T; Lordkipanize, D; Marzullo, M; Prato, O; Gianni, GB; Tecchiati, U; Clavel, B; Lepetz, S; Davoudi, H; Mashkour, M; Berezina, NY; Stockhammer, PW; Krause, J; Haak, W; Morales-Muñiz, A; Benecke, N; Hofreiter, M; Ludwig, A; Graphodatsky, AS; Peters, J; Kiryushin, KY; Iderkhangai, TO; Bokovenko, NA; Vasiliev, SK; Seregin, NN; Chugunov, K; Plasteeva, NA; Baryshnikov, GF; Petrova, E; Sablin, M; Ananyevskaya, E; Logvin, A; Shevnina, I; Logvin, V; Kalieva, S; Loman, V; Kukushkin, I; Merz, I; Merz, V; Sakenov, S; Varfolomeyev, V; Usmanova, E; Zaibert, V; Arbuckle, B; Belinskiy, AB; Kalmykov, A; Reinhold, S; Hansen, S; Yudin, AI; Vybornov, AA; Epimakhov, A; Berezina, NS; Roslyakova, N; Kosintsev, PA; Kuznetsov, PF; Anthony, D; Kroonen, GJ; Kristiansen, K; Wincker, P; Outram, A; Orlando, L</t>
  </si>
  <si>
    <t>Librado, Pablo; Khan, Naveed; Fages, Antoine; Kusliy, Mariya A.; Suchan, Tomasz; Tonasso-Calviere, Laure; Schiavinato, Stephanie; Alioglu, Duha; Fromentier, Aurore; Perdereau, Aude; Aury, Jean-Marc; Gaunitz, Charleen; Chauvey, Lorelei; Seguin-Orlando, Andaine; Der Sarkissian, Clio; Southon, John; Shapiro, Beth; Tishkin, Alexey A.; Kovalev, Alexey A.; Alquraishi, Saleh; Alfarhan, Ahmed H.; Al-Rasheid, Khaled A. S.; Seregely, Timo; Klassen, Lutz; Iversen, Rune; Bignon-Lau, Olivier; Bodu, Pierre; Olive, Monique; Castel, Jean-Christophe; Boudadi-Maligne, Myriam; Alvarez, Nadir; Germonpre, Mietje; Moskal-del Hoyo, Magdalena; Wilczynski, Jaroslaw; Pospula, Sylwia; Lasota-Kus, Anna; Tunia, Krzysztof; Nowak, Marek; Rannamae, Eve; Saarma, Urmas; Boeskorov, Gennady; Lougas, Lembi; Kysely, Rene; Peske, Lubomir; Balasescu, Adrian; Dumitrascu, Valentin; Dobrescu, Roxana; Gerber, Daniel; Kiss, Viktoria; Szecsenyi-Nagy, Anna; Mende, Balazs G.; Gallina, Zsolt; Somogyi, Krisztina; Kulcsar, Gabriella; Gal, Erika; Bendrey, Robin; Allentoft, Morten E.; Sirbu, Ghenadie; Dergachev, Valentin; Shephard, Henry; Tomadini, Noemie; Grouard, Sandrine; Kasparov, Aleksei; Basilyan, Alexander E.; Anisimov, Mikhail A.; Nikolskiy, Pavel A.; Pavlova, Elena Y.; Pitulko, Vladimir; Brem, Gottfried; Wallner, Barbara; Schwall, Christoph; Keller, Marcel; Kitagawa, Keiko; Bessudnov, Alexander N.; Bessudnov, Alexander; Taylor, William; Magail, Jerome; Gantulga, Jamiyan-Ombo; Bayarsaikhan, Jamsranjav; Erdenebaatar, Diimaajav; Tabaldiev, Kubatbeek; Mijiddorj, Enkhbayar; Boldgiv, Bazartseren; Tsagaan, Turbat; Pruvost, Melanie; Olsen, Sandra; Makarewicz, Cheryl A.; Valenzuela Lamas, Silvia; Albizuri Canadell, Silvia; Nieto Espinet, Ariadna; Iborra, Ma Pilar; Lira Garrido, Jaime; Rodriguez Gonzalez, Esther; Celestino, Sebastian; Olaria, Carmen; Arsuaga, Juan Luis; Kotova, Nadiia; Pryor, Alexander; Crabtree, Pam; Zhumatayev, Rinat; Toleubaev, Abdesh; Morgunova, Nina L.; Kuznetsova, Tatiana; Lordkipanize, David; Marzullo, Matilde; Prato, Ornella; Bagnasco Gianni, Giovanna; Tecchiati, Umberto; Clavel, Benoit; Lepetz, Sebastien; Davoudi, Hossein; Mashkour, Marjan; Berezina, Natalia Ya.; Stockhammer, Philipp W.; Krause, Johannes; Haak, Wolfgang; Morales-Muniz, Arturo; Benecke, Norbert; Hofreiter, Michael; Ludwig, Arne; Graphodatsky, Alexander S.; Peters, Joris; Kiryushin, Kirill Yu.; Iderkhangai, Tumur-Ochir; Bokovenko, Nikolay A.; Vasiliev, Sergey K.; Seregin, Nikolai N.; Chugunov, Konstantin, V; Plasteeva, Natalya A.; Baryshnikov, Gennady F.; Petrova, Ekaterina; Sablin, Mikhail; Ananyevskaya, Elina; Logvin, Andrey; Shevnina, Irina; Logvin, Victor; Kalieva, Saule; Loman, Valeriy; Kukushkin, Igor; Merz, Ilya; Merz, Victor; Sakenov, Sergazy; Varfolomeyev, Victor; Usmanova, Emma; Zaibert, Viktor; Arbuckle, Benjamin; Belinskiy, Andrey B.; Kalmykov, Alexej; Reinhold, Sabine; Hansen, Svend; Yudin, Aleksandr I.; Vybornov, Alekandr A.; Epimakhov, Andrey; Berezina, Natalia S.; Roslyakova, Natalia; Kosintsev, Pavel A.; Kuznetsov, Pavel F.; Anthony, David; Kroonen, Guus J.; Kristiansen, Kristian; Wincker, Patrick; Outram, Alan; Orlando, Ludovic</t>
  </si>
  <si>
    <t>The origins and spread of domestic horses from the Western Eurasian steppes</t>
  </si>
  <si>
    <t>ANCIENT DNA; GENOMES; SEQUENCE; PERFORMANCE; MIGRATION; INFERENCE; ADMIXTURE; ANCESTRY; TREE; TOOL</t>
  </si>
  <si>
    <t>Analysis of 273 ancient horse genomes reveals that modern domestic horses originated in the Western Eurasian steppes, especially the lower Volga-Don region. Domestication of horses fundamentally transformed long-range mobility and warfare(1). However, modern domesticated breeds do not descend from the earliest domestic horse lineage associated with archaeological evidence of bridling, milking and corralling(2-4) at Botai, Central Asia around 3500 bc(3). Other longstanding candidate regions for horse domestication, such as Iberia(5) and Anatolia(6), have also recently been challenged. Thus, the genetic, geographic and temporal origins of modern domestic horses have remained unknown. Here we pinpoint the Western Eurasian steppes, especially the lower Volga-Don region, as the homeland of modern domestic horses. Furthermore, we map the population changes accompanying domestication from 273 ancient horse genomes. This reveals that modern domestic horses ultimately replaced almost all other local populations as they expanded rapidly across Eurasia from about 2000 bc, synchronously with equestrian material culture, including Sintashta spoke-wheeled chariots. We find that equestrianism involved strong selection for critical locomotor and behavioural adaptations at the GSDMC and ZFPM1 genes. Our results reject the commonly held association(7) between horseback riding and the massive expansion of Yamnaya steppe pastoralists into Europe around 3000 bc(8,9) driving the spread of Indo-European languages(10). This contrasts with the scenario in Asia where Indo-Iranian languages, chariots and horses spread together, following the early second millennium bc Sintashta culture(11,12).</t>
  </si>
  <si>
    <t>[Librado, Pablo; Khan, Naveed; Fages, Antoine; Kusliy, Mariya A.; Suchan, Tomasz; Tonasso-Calviere, Laure; Schiavinato, Stephanie; Alioglu, Duha; Fromentier, Aurore; Gaunitz, Charleen; Chauvey, Lorelei; Seguin-Orlando, Andaine; Der Sarkissian, Clio; Orlando, Ludovic] Univ Paul Sabatier, Ctr Anthropobiol &amp; Genom Toulouse, Toulouse, France; [Kusliy, Mariya A.; Graphodatsky, Alexander S.] RAS, Inst Mol &amp; Cellular Biol SB, Dept Divers &amp; Evolut Genomes, Novosibirsk, Russia; [Suchan, Tomasz; Moskal-del Hoyo, Magdalena] Polish Acad Sci, W Szafer Inst Bot, Krakow, Poland; [Perdereau, Aude] Univ Paris Saclay, CEA, Inst Biol Francois Jacob, Genoscope, Evry, France; [Aury, Jean-Marc; Wincker, Patrick] Univ Paris Saclay, Univ Evry, Inst Biol Francois Jacob, CNRS,CEA,Genoscope,Genom Metabol, Evry, France; [Southon, John] Univ Calif Irvine, Earth Syst Sci Dept, Irvine, CA USA; [Shapiro, Beth] Univ Calif Santa Cruz, Dept Ecol &amp; Evolutionary Biol, Santa Cruz, CA 95064 USA; [Shapiro, Beth] Univ Calif Santa Cruz, Howard Hughes Med Inst, Santa Cruz, CA 95064 USA; [Tishkin, Alexey A.; Seregin, Nikolai N.] Altai State Univ, Dept Archaeol Ethnog &amp; Museol, Barnaul, Russia; [Kovalev, Alexey A.] Russian Acad Sci, Inst Archaeol, Dept Archaeol Heritage Preservat, Moscow, Russia; [Alquraishi, Saleh; Alfarhan, Ahmed H.; Al-Rasheid, Khaled A. S.] King Saud Univ, Coll Sci, Dept Zool, Riyadh, Saudi Arabia; [Seregely, Timo] Univ Bamberg, Inst Archaeol Heritage Conservat Studies &amp; Art Hi, Bamberg, Germany; [Klassen, Lutz] Museum Ostjylland, Randers, Denmark; [Iversen, Rune] Univ Copenhagen, Saxo Inst, Sect Archaeol, Copenhagen, Denmark; [Bignon-Lau, Olivier; Bodu, Pierre; Olive, Monique] MSH Mondes, CNRS, Equipe Ethnol Prehist, ArScAN UMR 7041, Nanterre, France; [Castel, Jean-Christophe] Museum Hist Nat, Secteur Vertebres, Geneva, Switzerland; [Boudadi-Maligne, Myriam; Pruvost, Melanie] Univ Bordeaux, CNRS, UMR 5199 Prehist Actuel Culture Environm &amp; Anthro, Pessac, France; [Alvarez, Nadir] Geneva Nat Hist Museum, Geneva, Switzerland; [Alvarez, Nadir] Univ Geneva, Dept Genet &amp; Evolut, Geneva, Switzerland; [Germonpre, Mietje] Royal Belgian Inst Nat Sci, OD Earth &amp; Hist Life, Brussels, Belgium; [Wilczynski, Jaroslaw; Pospula, Sylwia] Polish Acad Sci, Inst Systemat &amp; Evolut Anim, Krakow, Poland; [Lasota-Kus, Anna; Tunia, Krzysztof; Kysely, Rene] Polish Acad Sci, Inst Archaeol &amp; Ethnol, Krakow, Poland; [Nowak, Marek] Polish Acad Sci, Inst Archaeol, Krakow, Poland; [Rannamae, Eve] Inst Hist &amp; Archaeol, Dept Archaeol, Tartu, Estonia; [Saarma, Urmas] Univ Tartu, Inst Ecol &amp; Earth Sci, Dept Zool, Tartu, Estonia; [Boeskorov, Gennady] SB RAS, Diamond &amp; Precious Met Geol Inst, Yakutsk, Russia; [Lougas, Lembi] Tallinn Univ, Archaeol Res Collect, Tallinn, Estonia; [Kysely, Rene] Czech Acad Sci, Inst Archaeol, Dept Nat Sci &amp; Archaeometry, Prague, Czech Republic; [Balasescu, Adrian; Dumitrascu, Valentin; Dobrescu, Roxana] Romanian Acad, Dept Bioarchaeol, Vasile Parvan Inst Archaeol, Bucharest, Romania; [Gerber, Daniel; Szecsenyi-Nagy, Anna; Mende, Balazs G.] Eotvos Lorand Res Network, Res Ctr Humanities, Inst Archaeogenom, Budapest, Hungary; [Gerber, Daniel] Eotvos Lorand Univ, Dept Genet, Budapest, Hungary; [Kiss, Viktoria; Kulcsar, Gabriella; Gal, Erika] Eotvos Lorand Res Network, Res Ctr Humanities, Inst Archaeol, Budapest, Hungary; [Gallina, Zsolt] Asatars Ltd, Kecskemet, Hungary; [Somogyi, Krisztina] Rippl Ronai Municipal Museum Country Scope, Kaposvar, Hungary; [Bendrey, Robin] Univ Edinburgh, Old Med Sch, Sch Hist Class &amp; Archaeol, Edinburgh, Midlothian, Scotland; [Allentoft, Morten E.] Curtin Univ, Sch Mol &amp; Life Sci, Trace &amp; Environm DNA TrEnD Lab, Perth, WA, Australia; [Allentoft, Morten E.] Univ Copenhagen, GLOBE Inst, Lundbeck Fdn, GeoGenet Ctr, Copenhagen, Denmark; [Sirbu, Ghenadie] Moldavian Acad Sci, Dept Acad Management, Kishinev, Moldova; [Dergachev, Valentin] Moldavian Acad Sci, Inst Cultural Heritage, Ctr Archaeol, Kishinev, Moldova; [Shephard, Henry] Archaeol Inst Amer, Boston, MA USA; [Tomadini, Noemie; Grouard, Sandrine; Clavel, Benoit; Lepetz, Sebastien; Mashkour, Marjan] Archeobot AASPE, Archeozool, Museum Natl Hist Nat, CNRS, CP 56, Paris, France; [Kasparov, Aleksei; Pitulko, Vladimir; Bessudnov, Alexander; Bokovenko, Nikolay A.] Russian Acad Sci IHMC RAS, Inst Hist Mat Culture, St Petersburg, Russia; [Basilyan, Alexander E.; Nikolskiy, Pavel A.] Russian Acad Sci, Inst Geol, Moscow, Russia; [Anisimov, Mikhail A.; Pavlova, Elena Y.] Arctic &amp; Antarctic Res Inst, St Petersburg, Russia; [Brem, Gottfried; Wallner, Barbara] Univ Vet Med Vienna, Inst Anim Breeding &amp; Genet, Vienna, Austria; [Schwall, Christoph] Austrian Acad Sci, Austrian Archaeol Inst, Dept Prehist &amp; Western Asian Northeast African Ar, Vienna, Austria; [Keller, Marcel] Univ Tartu, Inst Genom, Estonian Bioctr, Tartu, Estonia; [Keller, Marcel; Krause, Johannes; Haak, Wolfgang] Max Planck Inst Sci Human Hist, Dept Archaeogenet, Jena, Germany; [Kitagawa, Keiko] Univ Tubingen, SFB 1070 Resource Cultures, Tubingen, Germany; [Kitagawa, Keiko] Univ Tubingen, Dept Early Prehist &amp; Quaternary Ecol, Tubingen, Germany; [Kitagawa, Keiko] CNRS, UPVD, Museum Natl Hist Nat, UMR 7194, Paris, France; [Bessudnov, Alexander N.] Semenov Tyan Shanskii Lipetsk State Pedag Univ, Lipetsk, Russia; [Taylor, William] Univ Colorado, Museum Nat Hist, Boulder, CO 80309 USA; [Magail, Jerome] Musee Anthropol Prehist Monaco, Monaco, Monaco; [Gantulga, Jamiyan-Ombo] Mongolian Acad Sci, Inst Archaeol, Ulaanbaatar, Mongolia; Max Planck Inst Sci Human Hist, Dept Archaeol, Jena, Germany; [Bayarsaikhan, Jamsranjav; Tsagaan, Turbat] Chinggis Khaan Museum, Ulaanbaatar, Mongolia; [Erdenebaatar, Diimaajav; Mijiddorj, Enkhbayar; Iderkhangai, Tumur-Ochir] Ulaanbaatar State Univ, Dept Archaeol, Ulaanbaatar, Mongolia; [Tabaldiev, Kubatbeek] Kyrgyz Turkish Manas Univ, Dept Hist, Bishkek, Kyrgyzstan; [Boldgiv, Bazartseren] Natl Univ Mongolia, Dept Biol, Ulaanbaatar, Mongolia; [Olsen, Sandra] Univ Kansas, Archaeol Div, Biodivers Inst, Lawrence, KS 66045 USA; [Makarewicz, Cheryl A.] Univ Kiel, Inst Prehist &amp; Protohist Archaeol, Kiel, Germany; [Makarewicz, Cheryl A.] Univ Kiel, ROOTS Excellence Cluster, Kiel, Germany; [Valenzuela Lamas, Silvia] Consejo Super Invest Cient IMF CSIC, Inst Mila &amp; Fontanals Humanitats, Archaeol Social Dynam, Barcelona, Spain; [Albizuri Canadell, Silvia] Univ Barcelona, Dept Hist &amp; Arqueol SERP, Barcelona, Spain; [Nieto Espinet, Ariadna] Univ Lleida, PID2019 110022GB 100, Grp Invest Prehist, Lleida, Spain; [Lira Garrido, Jaime] Univ Extremadura, Fac Vet, Dept Med Anim, Caceres, Spain; [Lira Garrido, Jaime; Arsuaga, Juan Luis] Ctr Mixto UCM ISCIII Evoluc &amp; Comportamiento Huma, Madrid, Spain; [Rodriguez Gonzalez, Esther; Celestino, Sebastian] CSIC Junta Extremadura, Inst Arqueol, Merida, Spain; [Olaria, Carmen] Univ Jaume 1, Lab Arqueol Prehist, Castellon de La Plana, Spain; [Arsuaga, Juan Luis] Univ Complutense Madrid, Fac Ciencias Geol, Dept Geodinam Estratig &amp; Paleontol, Madrid, Spain; [Kotova, Nadiia] Natl Acad Sci Ukraine, Inst Archaeol, Dept Eneolith &amp; Bronze Age, Kiev, Ukraine; [Pryor, Alexander; Outram, Alan] Univ Exeter, Dept Archaeol, Exeter, Devon, England; [Crabtree, Pam] NYU, Dept Anthropol, Ctr Study Human Origins, New York, NY 10003 USA; [Zhumatayev, Rinat; Toleubaev, Abdesh] Al Farabi Kazakh Natl Univ, Dept Archaeol Ethnol &amp; Museol, Alma Ata, Kazakhstan; [Morgunova, Nina L.] Orenburg State Pedag Univ, Sci Res Dept, Orenburg, Russia; [Kuznetsova, Tatiana] Moscow MV Lomonosov State Univ, Fac Geol, Dept Palaeontol, Moscow, Russia; [Kuznetsova, Tatiana] Kazan Fed Univ, Inst Geol &amp; Petr Technol, Kazan, Russia; [Lordkipanize, David] Georgian Natl Museum, Tbilisi, Georgia; [Lordkipanize, David] Tbilisi State Univ, Tbilisi, Georgia; [Marzullo, Matilde; Prato, Ornella; Bagnasco Gianni, Giovanna; Tecchiati, Umberto] Univ Milan, Dipartimento Beni Culturali &amp; Ambientali, Milan, Italy; [Lordkipanize, David; Davoudi, Hossein; Mashkour, Marjan] Univ Tehran, Cent Lab, Bioarchaeol Lab, Archaeozool Sect, Tehran, Iran; [Lordkipanize, David; Berezina, Natalia Ya.] Lomonosov Moscow State Univ, Res Inst, Moscow, Russia; [Lordkipanize, David; Berezina, Natalia Ya.] Lomonosov Moscow State Univ, Museum Anthropol, Moscow, Russia; [Stockhammer, Philipp W.; Krause, Johannes; Haak, Wolfgang] Max Planck Inst Evolutionary Anthropol, Dept Archaeogenet, Leipzig, Germany; [Stockhammer, Philipp W.] Ludwig Maximilians Univ Munchen, Inst Pre &amp; Protohist Archaeol &amp; Archaeol Roman Pr, Munich, Germany; [Haak, Wolfgang] Univ Adelaide, Sch Biol Sci, Adelaide, SA, Australia; [Morales-Muniz, Arturo] Univ Autonoma Madrid, Dept Biol, Madrid, Spain; [Benecke, Norbert; Reinhold, Sabine; Hansen, Svend] German Archaeol Inst, Eurasia Dept, Berlin, Germany; [Hofreiter, Michael] Univ Potsdam, Fac Math &amp; Sci, Evolutionary Adapt Genom, Inst Biochem &amp; Biol, Potsdam, Germany; [Ludwig, Arne] Leibniz Inst Zoo &amp; Wildlife Res, Dept Evolutionary Genet, Berlin, Germany; [Ludwig, Arne] Humboldt Univ, Fac Life Sci, Albrecht Daniel Thaer Inst, Berlin, Germany; [Peters, Joris] Ludwig Maximilians Univ Munchen, ArchaeoBioCtr, Munich, Germany; [Peters, Joris] Ludwig Maximilians Univ Munchen, Inst Palaeoanat Domesticat Res &amp; Hist Vet Med, Munich, Germany; [Peters, Joris] State Collect Anthropol &amp; Palaeoanat, SNSB, Munich, Germany; [Vasiliev, Sergey K.] RAS, ArchaeoZOOl Siberia &amp; Cent Asia ZooSCAn Int Res L, Inst Archeol &amp; Ethnog, Siberian Branch, Novosibirsk, Russia; [Chugunov, Konstantin, V] State Hermitage Museum, Dept Eastern European &amp; Siberian Archaeol, St Petersburg, Russia; [Plasteeva, Natalya A.; Kosintsev, Pavel A.] Russian Acad Sci, Ural Branch, Inst Plant &amp; Anim Ecol, Paleoecol Lab, Ekaterinburg, Russia; [Baryshnikov, Gennady F.; Sablin, Mikhail] Russian Acad Sci, Inst Zool, St Petersburg, Russia; [Petrova, Ekaterina; Ananyevskaya, Elina] Vilnius Univ, Hist Fac, Dept Archaeol, Vilnius, Lithuania; [Logvin, Andrey; Shevnina, Irina] Kostanay State Univ, Fac Hist &amp; Law, Lab Archaeol Res, Kostanay, Kazakhstan; [Logvin, Victor; Kalieva, Saule] Surgut Govt Univ, Dept Hist &amp; Archaeol, Surgut, Russia; [Loman, Valeriy; Kukushkin, Igor; Varfolomeyev, Victor; Usmanova, Emma] Buketov Karaganda Univ, Saryarka Archaeol Inst, Karaganda, Kazakhstan; [Merz, Ilya; Merz, Victor] Toraighyrov Univ, Joint Res Ctr Archeol Studies, Pavlodar, Kazakhstan; [Sakenov, Sergazy] LN Gumilev Eurasian Natl Univ, Fac Hist, Nur Sultan, Kazakhstan; [Zaibert, Viktor] Al Farabi Kazakh Natl Univ, Inst Archaeol &amp; Steppe Civilizat, Alma Ata, Kazakhstan; [Arbuckle, Benjamin] Univ N Carolina, Dept Anthropol, Alumni Bldg, Chapel Hill, NC 27515 USA; [Belinskiy, Andrey B.; Kalmykov, Alexej] Nasledie Cultural Heritage Unit, Stavropol, Russia; [Yudin, Aleksandr I.] Res Ctr Preservat Cultural Heritage, Saratov, Russia; [Vybornov, Alekandr A.; Roslyakova, Natalia; Kuznetsov, Pavel F.] Samara State Univ Social Sci &amp; Educ, Dept Russian Hist &amp; Archaeol, Samara, Russia; [Epimakhov, Andrey] South Ural State Univ, Russian &amp; Foreign Hist Dept, Chelyabinsk, Russia; [Epimakhov, Andrey] Russian Acad Sci, Ural Branch, Inst Hist &amp; Archaeol, South Ural Dept, Ekaterinburg, Russia; [Berezina, Natalia S.] Chuvash State Inst Humanities, Archaeol Sch, Cheboksary, Russia; [Kosintsev, Pavel A.] Ural Fed Univ, Inst Humanities, Dept Hist, Ekaterinburg, Russia; [Anthony, David] Harvard Univ, Dept Human Evolutionary Biol, Cambridge, MA 02138 USA; [Anthony, David] Hartwick Coll, Anthropol Fac, Oneonta, NY 13820 USA; [Kroonen, Guus J.] Univ Copenhagen, Dept Nord Studies &amp; Linguist, Copenhagen, Denmark; [Kroonen, Guus J.] Leiden Univ, Ctr Linguist, Leiden, Netherlands; [Kristiansen, Kristian] Univ Gothenburg, Dept Hist Studies, Gothenburg, Sweden; [Kristiansen, Kristian] Lundbeck Fdn, GeoGenet Ctr, Copenhagen, Denmark; [Khan, Naveed] Abdul Wali Khan Univ, Dept Biotechnol, Mardan, Pakistan</t>
  </si>
  <si>
    <t>Universite de Toulouse; Universite Toulouse III - Paul Sabatier; Russian Academy of Sciences; Polish Academy of Sciences; W. Szafer Institute of Botany of the Polish Academy of Sciences; Universite Paris Saclay; CEA; Universite Paris Cite; CEA; Universite Paris Saclay; Universite Paris Cite; Centre National de la Recherche Scientifique (CNRS); University of California System; University of California Irvine; University of California System; University of California Santa Cruz; University of California System; University of California Santa Cruz; Howard Hughes Medical Institute; Altai State University; Russian Academy of Sciences; Institute of Archaeology, Russian Academy of Sciences; King Saud University; Otto Friedrich University Bamberg; University of Copenhagen; Centre National de la Recherche Scientifique (CNRS); CNRS - Institute for Humanities &amp; Social Sciences (INSHS); Centre National de la Recherche Scientifique (CNRS); CNRS - Institute of Ecology &amp; Environment (INEE); Universite de Bordeaux; University of Geneva; Royal Belgian Institute of Natural Sciences; Polish Academy of Sciences; Institute of Systematics &amp; Evolution of Animals of the Polish Academy of Sciences; Polish Academy of Sciences; Institute of Archaeology &amp; Ethnology of the Polish Academy of Sciences; Polish Academy of Sciences; University of Tartu; Tartu University Institute of Ecology &amp; Earth Sciences; Diamond &amp; Precious Metal Geology Institute Siberian Branch of Russian Academy of Sciences; Russian Academy of Sciences; Tallinn University; Czech Academy of Sciences; Institute of Archaeology of the Czech Academy of Sciences - Prague; Romanian Academy of Sciences; Hungarian Academy of Sciences; Hungarian Research Network; HUN-REN Research Centre for the Humanities; Eotvos Lorand University; Hungarian Academy of Sciences; Hungarian Research Network; HUN-REN Research Centre for the Humanities; University of Edinburgh; Curtin University; University of Copenhagen; Lundbeckfonden; Academy of Sciences of Moldova; Academy of Sciences of Moldova; Museum National d'Histoire Naturelle (MNHN); Centre National de la Recherche Scientifique (CNRS); Russian Academy of Sciences; Institute for the History of Material Culture, Russian Academy of Sciences; St. Petersburg Scientific Centre of the Russian Academy of Sciences; Geological Institute, Russian Academy of Sciences; Russian Academy of Sciences; Arctic &amp; Antarctic Research Institute; University of Veterinary Medicine Vienna; Austrian Academy of Sciences; University of Tartu; Estonian Biocentre; Eberhard Karls University of Tubingen; Eberhard Karls University of Tubingen; Museum National d'Histoire Naturelle (MNHN); Centre National de la Recherche Scientifique (CNRS); CNRS - Institute of Ecology &amp; Environment (INEE); University of Colorado System; University of Colorado Boulder; Mongolian Academy of Sciences; Ulaanbaatar State University; Kyrgyz Turkish Manas University; National University of Mongolia; University of Kansas; University of Kiel; University of Kiel; Consejo Superior de Investigaciones Cientificas (CSIC); CSIC - Institucion Mila y Fontanals (IMF); University of Barcelona; Universitat de Lleida; Universidad de Extremadura; Complutense University of Madrid; UCM-ISCIII Center for Human Evolution &amp; Behavior; Universitat Jaume I; Complutense University of Madrid; National Academy of Sciences Ukraine; Institute of Archaeology, National Academy of Sciences of Ukraine; University of Exeter; New York University; Al-Farabi Kazakh National University; Orenburg State Pedagogical University; Lomonosov Moscow State University; Kazan Federal University; Ivane Javakhishvili Tbilisi State University; University of Milan; University of Tehran; Federal State Institution of Scientific Research Institute of the Federal Penitentiary Service of Russia; Lomonosov Moscow State University; Lomonosov Moscow State University; Max Planck Society; University of Munich; University of Adelaide; Autonomous University of Madrid; University of Potsdam; Leibniz Institut fur Zoo und Wildtierforschung; Humboldt University of Berlin; University of Munich; University of Munich; Russian Academy of Sciences; Institute of Archaeology &amp; Ethnography, Siberian Branch of Russian Academy of Sciences; State Hermitage Museum; Russian Academy of Sciences; Institute of Plant &amp; Animal Ecology of the Russian Academy of Sciences; Russian Academy of Sciences; Zoological Institute of the Russian Academy of Sciences; Vilnius University; Baitursynov Kostanay Regional University; Surgut State University; Buketov Karaganda University; L.N. Gumilyov Eurasian National University; Al-Farabi Kazakh National University; University of North Carolina; University of North Carolina Chapel Hill; Samara State University of Social Sciences &amp; Education; South Ural State University; Institute of History &amp; Archaeology of the Ural Branch of the Russian Academy of Sciences; Russian Academy of Sciences; Ural Federal University; Harvard University; University of Copenhagen; Leiden University - Excl LUMC; Leiden University; University of Gothenburg; Lundbeckfonden; Abdul Wali Khan University</t>
  </si>
  <si>
    <t>Orlando, L (corresponding author), Univ Paul Sabatier, Ctr Anthropobiol &amp; Genom Toulouse, Toulouse, France.</t>
  </si>
  <si>
    <t>ludovic.orlando@univ-tlse3.fr</t>
  </si>
  <si>
    <t>Kotova, Nadezhda/H-4072-2016; Nikolskiy, Pavel/JNT-4697-2023; Loman, Valeriy/N-7513-2019; Gál, Erika/GLU-5726-2022; Outram, Alan K/A-1139-2010; Epimakhov, Andrey/N-8603-2014; Nikolskiy, Pavel A/C-5041-2012; Logvin, Andrey/AAB-6044-2020; Graphodatsky, Alexander/B-4922-2010; Alfarhan, Ahmed/GQH-6118-2022; Baryshnikov, Gennady/AAE-1972-2020; Kusliy, Mariya/AAU-7515-2021; kiryushin, Kirill/AAT-3494-2020; Kysely, Rene/G-7887-2014; Pospuła, Sylwia/AAC-4111-2021; Valenzuela-Lamas, Silvia/AAH-5668-2020; Suchan, Tomasz/B-7765-2016; Sakenov, Sergazy/ADX-4368-2022; Pryor, Alex/T-1701-2019; Morgunova, Nina/AAB-4922-2020; Keller, Marcel/AAY-9502-2020; Alvarez, Nadir/B-4318-2010; Pitulko, Vladimir/N-4009-2019; Garrido, Jose Luis l/J-5687-2017; Рослякова, Наталья/AAY-9115-2020; Khan, Naveed/GVT-1251-2022; Bessudnov, Alexander/Q-1552-2017; Saarma, Urmas/AAC-9813-2019; DERSARKISSIAN, CLIO/J-4476-2014; Boeskorov, Gennady G./J-7780-2018; Davoudi, Hossein/JJD-4975-2023; Lõugas, Lembi/N-2409-2019; Aury, Jean-Marc/N-1621-2019; Sîrbu, Ghenadie/AEY-8550-2022; Shephard, Henry M./ABG-4547-2021; Mashkour, Marjan/AFV-2652-2022; Tabaldiev, Kubatbek/HIZ-6922-2022; AL-Rasheid, Khaled/C-2486-2008; ORLANDO, Ludovic/A-8932-2013; Tsagaan, Turbat/AAD-1334-2020; Merts, Ilja/W-2579-2017; Bendrey, Robin/G-1658-2015; Plasteeva, Natalya/ABB-1134-2020; Seregin, Nikolai N./Q-8903-2017; Haak, Wolfgang/HPG-0969-2023; Perdereau, Aude/GQH-8364-2022; Grouard, Sandrine Daniele/ABE-5698-2020; Hofreiter, Michael/A-3996-2017; Kiss, Viktória/GLT-7205-2022; Krause, Johannes/AFP-2642-2022; Ananyevskaya, Elina/AEC-8422-2022; Ghenadie, Sirbu V./ABG-8364-2021; Pavlova, Elena/AAA-3291-2019; ORLANDO, Ludovic/JEP-5411-2023; Rinat, Zhumatayev/T-1620-2017; Mashkour, Marjan/B-5724-2018; Moskal-del Hoyo, Magdalena/B-2696-2012; Shevnina, Irina/O-5743-2017; Boldgiv, Bazartseren/I-4754-2013</t>
  </si>
  <si>
    <t>Kotova, Nadezhda/0000-0002-8197-7782; Loman, Valeriy/0000-0001-6951-0509; Gál, Erika/0000-0002-4226-3218; Epimakhov, Andrey/0000-0002-0141-1026; Logvin, Andrey/0000-0002-2526-9300; Graphodatsky, Alexander/0000-0002-8282-1085; Kusliy, Mariya/0000-0001-9069-4744; Pospuła, Sylwia/0000-0002-3675-4715; Valenzuela-Lamas, Silvia/0000-0001-9886-0372; Suchan, Tomasz/0000-0002-0811-8754; Sakenov, Sergazy/0000-0001-8868-4280; Pryor, Alex/0000-0002-1669-3513; Keller, Marcel/0000-0001-9668-6817; Khan, Naveed/0000-0002-6502-9774; Saarma, Urmas/0000-0002-3222-571X; Boeskorov, Gennady G./0000-0002-2360-7740; Davoudi, Hossein/0000-0002-5236-1444; Lõugas, Lembi/0000-0003-2011-2141; Aury, Jean-Marc/0000-0003-1718-3010; Sîrbu, Ghenadie/0000-0002-4525-1239; Shephard, Henry M./0000-0003-0168-5462; Tabaldiev, Kubatbek/0000-0002-6679-8030; AL-Rasheid, Khaled/0000-0002-3404-3397; ORLANDO, Ludovic/0000-0003-3936-1850; Tsagaan, Turbat/0000-0001-6606-8516; Merts, Ilja/0000-0001-9066-9629; Plasteeva, Natalya/0000-0001-8207-6065; Haak, Wolfgang/0000-0003-2475-2007; Grouard, Sandrine Daniele/0000-0002-2101-0879; Kiss, Viktória/0000-0002-6577-9081; Krause, Johannes/0000-0001-9144-3920; Ghenadie, Sirbu V./0000-0002-4525-1239; Kukuskin, Igor'/0000-0002-4798-8496; Tecchiati, Umberto/0000-0003-3215-0874; Shapiro, Beth/0000-0002-2733-7776; Fages, Antoine/0000-0001-6985-4360; Wilczynski, Jaroslaw/0000-0002-9786-0693; Allentoft, Morten/0000-0003-4424-3568; Kiryushin, Kirill/0000-0003-3122-1423; Kysely, Rene/0000-0002-0788-7287; Peske, Lubomir/0000-0001-8984-6595; Schwall, Christoph/0000-0002-6310-4056; Kitagawa, Keiko/0000-0002-6998-8454; Merc, Viktor/0000-0003-3163-1609; Toleubayev, Abdesh/0000-0001-6092-8693; Iversen, Rune/0000-0001-7618-625X; Gantulga, Jamiyan-Ombo/0000-0001-6482-5579; Rinat, Zhumatayev/0000-0002-2291-4992; Lira Garrido, Jaime/0000-0002-0702-1344; Jerome, MAGAIL/0000-0002-5768-0698; Kroonen, Guus/0000-0002-3708-0476; Bignon-Lau, Olivier/0000-0003-4322-1463; Kalmykov, Aleksei/0000-0002-6939-5544; Kovalev, Alexey/0000-0003-2637-3131; Mashkour, Marjan/0000-0003-3630-9459; Librado, Pablo/0000-0001-5974-2189; Moskal-del Hoyo, Magdalena/0000-0003-3632-7227; Hansen, Svend/0000-0002-6714-4629; Shevnina, Irina/0000-0003-3595-6849; Boldgiv, Bazartseren/0000-0003-0015-8142; Albizuri, Silvia/0000-0001-6194-0475</t>
  </si>
  <si>
    <t>University Paul Sabatier IDEX Chaire d'Excellence (OURASI); Villum Funden miGENEPI research programme; CNRS 'Programme de Recherche Conjoint' (PRC); CNRS International Research Project (IRP AMADEUS); France Genomique Appel a Grand Projet [ANR-10-INBS-09-08]; Junta de Extremadura (Spain) [IB10131, IB18060]; European Regional Development Fund; Czech Academy of Sciences [RVO:67985912]; Zoological Institute ZIN RAS [AAAA-A19-119032590102-7]; King Saud University Researchers Supporting Project [NSRSP-2020/2]; Russian Foundation for Basic Research [19-59-15001, 20-04-00213]; Russian Science Foundation [16-18-10265, 20-78-10151, 21-18-00457]; Government of the Russian Federation [FENU-2020-0021]; Estonian Research Council [PRG29]; Estonian Ministry of Education and Research [PRG1209]; Hungarian Scientific Research Fund [NF 104792]; Hungarian Academy of Sciences (Momentum Mobility Research Project of the Institute of Archaeology, Research Centre for the Humanities); Polish National Science Centre [2013/11/B/HS3/03822]; European Union [797449]; European Research Council (ERC) under the European Union [681605, 716732, 834616]; European Research Council (ERC) [834616, 716732] Funding Source: European Research Council (ERC); Marie Curie Actions (MSCA) [797449] Funding Source: Marie Curie Actions (MSCA); Russian Science Foundation [21-18-00457] Funding Source: Russian Science Foundation</t>
  </si>
  <si>
    <t>University Paul Sabatier IDEX Chaire d'Excellence (OURASI); Villum Funden miGENEPI research programme; CNRS 'Programme de Recherche Conjoint' (PRC); CNRS International Research Project (IRP AMADEUS); France Genomique Appel a Grand Projet; Junta de Extremadura (Spain); European Regional Development Fund(European Union (EU)); Czech Academy of Sciences(Czech Academy of Sciences); Zoological Institute ZIN RAS; King Saud University Researchers Supporting Project; Russian Foundation for Basic Research(Russian Foundation for Basic Research (RFBR)Spanish Government); Russian Science Foundation(Russian Science Foundation (RSF)); Government of the Russian Federation; Estonian Research Council(Estonian Research Council); Estonian Ministry of Education and Research(Ministry of Education and Research, Estonia); Hungarian Scientific Research Fund(Orszagos Tudomanyos Kutatasi Alapprogramok (OTKA)); Hungarian Academy of Sciences (Momentum Mobility Research Project of the Institute of Archaeology, Research Centre for the Humanities); Polish National Science Centre; European Union(European Union (EU)); European Research Council (ERC) under the European Union(European Research Council (ERC)); European Research Council (ERC)(European Research Council (ERC)Spanish Government); Marie Curie Actions (MSCA)(Marie Curie Actions); Russian Science Foundation(Russian Science Foundation (RSF))</t>
  </si>
  <si>
    <t>We thank all members of the AGES group at CAGT. We are grateful for the Museum of the Institute of Plant and Animal Ecology (UB RAS, Ekaterinburg) for providing specimens. The work by G. Boeskorov is done on state assignment of DPMGI SB RAS. This project was supported by the University Paul Sabatier IDEX Chaire d'Excellence (OURASI); Villum Funden miGENEPI research programme; the CNRS 'Programme de Recherche Conjoint' (PRC); the CNRS International Research Project (IRP AMADEUS); the France Genomique Appel a Grand Projet (ANR-10-INBS-09-08, BUCEPHALE project); IB10131 and IB18060, both funded by Junta de Extremadura (Spain) and European Regional Development Fund; Czech Academy of Sciences (RVO:67985912); the Zoological Institute ZIN RAS (????-?19-119032590102-7); and King Saud University Researchers Supporting Project (NSRSP-2020/2). The research was carried out with the financial support of the Russian Foundation for Basic Research (19-59-15001 and 20-04-00213), the Russian Science Foundation (16-18-10265, 20-78-10151, and 21-18-00457), the Government of the Russian Federation (FENU-2020-0021), the Estonian Research Council (PRG29), the Estonian Ministry of Education and Research (PRG1209), the Hungarian Scientific Research Fund (Project NF 104792), the Hungarian Academy of Sciences (Momentum Mobility Research Project of the Institute of Archaeology, Research Centre for the Humanities); and the Polish National Science Centre (2013/11/B/HS3/03822). This project has received funding from the European Union's Horizon 2020 research and innovation programme under the Marie Skodowska-Curie (grant agreement 797449). This project has received funding from the European Research Council (ERC) under the European Union's Horizon 2020 research and innovation programme (grant agreements 681605, 716732 and 834616).</t>
  </si>
  <si>
    <t>10.1038/s41586-021-04018-9</t>
  </si>
  <si>
    <t>WO9BH</t>
  </si>
  <si>
    <t>WOS:000709352200002</t>
  </si>
  <si>
    <t>Kehrig, HA; Hauser-Davis, RA; Muelbert, MMC; Almeida, MG; Di Beneditto, APM; Rezende, CE</t>
  </si>
  <si>
    <t>Kehrig, Helena A.; Hauser-Davis, Rachel Ann; Muelbert, Monica M. C.; Almeida, Marcelo G.; Di Beneditto, Ana Paula M.; Rezende, Carlos E.</t>
  </si>
  <si>
    <t>Mercury and stable carbon and nitrogen isotopes in the natal Fur of two Antarctic pinniped species</t>
  </si>
  <si>
    <t>CHEMOSPHERE</t>
  </si>
  <si>
    <t>Antarctic krill; Diet; Natal Fur; South shetland islands; Trace element; Placental transfer</t>
  </si>
  <si>
    <t>SOUTHERN ELEPHANT SEALS; KING GEORGE ISLAND; MIROUNGA-LEONINA; FOOD-WEB; FORAGING HABITATS; TROPHIC POSITION; MARINE PREDATOR; TRACE-METALS; DIET; BIOMAGNIFICATION</t>
  </si>
  <si>
    <t>Southern elephant seal (SES) and Antarctic fur seal (AFS) are short Southern Ocean food web top predators and are spatial and temporal trend bioindicators of Antarctic Hg bioavailability. Hg, stable isotope composition (delta C-13 and delta N-15) and trophic position (TP) regarding sex were determined using lanugo samples from Antarctic pin-nipeds pups (SES n = 35 and AFS n = 11). Hg concentrations in over 50% of the SES pups (mean 5.9 +/- 3.1 mg kg(-1) dry wt.) are compatible with those found to cause neurologic damage to polar bears in the Arctic. No significant differences regarding sexes for SES or AFS are found based on mean Hg concentrations normalized by body weight. delta N-15 values and TPs are similar among both species, indicating that gestating SES and AFS mothers feed at the same trophic level. Significantly different delta C-13 values were found, indicating distinct feeding grounds for mothers belonging to both species when pup lanugo is formed in utero; while SES females like to feed in Antarctic waters, AFS females remain in sub-Antarctic waters. The differences in Hg and delta C-13 observed for both species reflect not only contrasting feeding habits and anthropogenic Hg inputs, but also maternal foraging strategies.</t>
  </si>
  <si>
    <t>[Kehrig, Helena A.; Almeida, Marcelo G.; Di Beneditto, Ana Paula M.; Rezende, Carlos E.] Univ Estadual Norte Fluminense, Lab Ciencias Ambientais, BR-28013602 Campos Dos Goytacazes, RJ, Brazil; [Hauser-Davis, Rachel Ann] Fundacao Oswaldo Cruz, Lab Avaliacao &amp; Promocao Saude Ambiental, Inst Oswaldo Cruz, Av Brasil 4-365, BR-21040360 Manguinho, RJ, Brazil; [Muelbert, Monica M. C.] Univ Fed Sao Paulo, Inst Mar, Rua Carvalho Mendonca 144, BR-11070100 Santos, SP, Brazil</t>
  </si>
  <si>
    <t>Universidade Estadual do Norte Fluminense; Fundacao Oswaldo Cruz; Universidade Federal de Sao Paulo (UNIFESP)</t>
  </si>
  <si>
    <t>Kehrig, HA (corresponding author), Univ Estadual Norte Fluminense, Lab Ciencias Ambientais, BR-28013602 Campos Dos Goytacazes, RJ, Brazil.</t>
  </si>
  <si>
    <t>hakehrig@gmail.com</t>
  </si>
  <si>
    <t>Rezende, Carlos EE/N-7819-2017; Di Beneditto, Ana Paula/L-9347-2013; Di Beneditto, Ana Paula/JCE-1238-2023; Hauser-Davis, Rachel Ann/C-7970-2013</t>
  </si>
  <si>
    <t>Di Beneditto, Ana Paula/0000-0002-4248-9380; Di Beneditto, Ana Paula/0000-0002-4248-9380; Hauser-Davis, Rachel Ann/0000-0002-9451-471X</t>
  </si>
  <si>
    <t>Ministry of Science, Environment and Innovation (MCTI); Brazilian National Research Council (Conselho Nacional de Desenvolvimento Cientifico e Tecnologico - CNPq); CAPES (Ministry of Education); Fundacao Carlos Chagas Filho de Amparo a Pesquisa do Estado do Rio de Janeiro (FAPERJ)</t>
  </si>
  <si>
    <t>Ministry of Science, Environment and Innovation (MCTI); Brazilian National Research Council (Conselho Nacional de Desenvolvimento Cientifico e Tecnologico - CNPq)(Conselho Nacional de Desenvolvimento Cientifico e Tecnologico (CNPQ)); CAPES (Ministry of Education)(Coordenacao de Aperfeicoamento de Pessoal de Nivel Superior (CAPES)); Fundacao Carlos Chagas Filho de Amparo a Pesquisa do Estado do Rio de Janeiro (FAPERJ)(Fundacao Carlos Chagas Filho de Amparo a Pesquisa do Estado do Rio De Janeiro (FAPERJ))</t>
  </si>
  <si>
    <t>The authors thank the Brazilian Navy (research vessels, the personnel from the Brazilian Antarctic Station Comandante Ferraz''-EACF and at-sea coordinators from SECIRM), the Brazilian Antarctic Programme (PROANTAR) and SECIRM for logistic support. Thanks are also due to the Southern Elephant Seal Project (PEMS) crew for field support. This research was possible through grants from the Ministry of Science, Environment and Innovation (MCTI) to the Brazilian Antarctic Program (PROANTAR), the Brazilian National Research Council (Conselho Nacional de Desenvolvimento Cientifico e Tecnologico -CNPq, CAPES (Ministry of Education) and Fundacao Carlos Chagas Filho de Amparo a Pesquisa do Estado do Rio de Janeiro (FAPERJ) and out under permits from the legal authority to MMCM to carry out field work at Elephant Island.</t>
  </si>
  <si>
    <t>0045-6535</t>
  </si>
  <si>
    <t>1879-1298</t>
  </si>
  <si>
    <t>Chemosphere</t>
  </si>
  <si>
    <t>10.1016/j.chemosphere.2021.132500</t>
  </si>
  <si>
    <t>WL0GY</t>
  </si>
  <si>
    <t>WOS:000710096100003</t>
  </si>
  <si>
    <t>Zuhr, AM; Münch, T; Steen-Larsen, HC; Hörhold, M; Laepple, T</t>
  </si>
  <si>
    <t>Zuhr, Alexandra M.; Muench, Thomas; Steen-Larsen, Hans Christian; Hoerhold, Maria; Laepple, Thomas</t>
  </si>
  <si>
    <t>Local-scale deposition of surface snow on the Greenland ice sheet</t>
  </si>
  <si>
    <t>KOHNEN STATION; DIGITAL PHOTOGRAMMETRY; TEMPORAL VARIABILITY; ANTARCTIC PLATEAU; NET ACCUMULATION; MASS-BALANCE; DEPTH; CLIMATE; SIGNAL; FIRN</t>
  </si>
  <si>
    <t>Ice cores from polar ice sheets and glaciers are an important climate archive. Snow layers, consecutively deposited and buried, contain climatic information from the time of their formation. However, particularly low-accumulation areas are characterised by temporally intermittent precipitation, which can be further redistributed after initial deposition, depending on the local surface features at different spatial scales. Therefore, the accumulation conditions at an ice core site influence the quantity and quality of the recorded climate signal in proxy records. This study aims to characterise the local accumulation patterns and the evolution of the snow height to describe the contribution of the snow (re-)deposition to the overall noise level in climate records from ice cores. To this end, we applied a structure-from-motion photogrammetry approach to generate near-daily elevation models of the surface snow for a 195 m(2) area in the vicinity of the deep drilling site of the East Greenland Ice-core Project in northeast Greenland. Based on the snow height information we derive snow height changes on a day-to-day basis throughout our observation period from May to August 2018 and find an average snow height increase of similar to 11 cm. The spatial and temporal data set also allows an investigation of snow deposition versus depositional modifications. We observe irregular snow deposition and erosion causing uneven snow accumulation patterns, a removal of more than 60% of the deposited snow, and a negative relationship between the initial snow height and the amount of accumulated snow. Furthermore, the surface roughness decreased by approximately a factor of 2 throughout the spring and summer season at our study site. Finally, our study shows that structure from motion is a relatively simple method to demonstrate the potential influences of depositional processes on proxy signals in snow and ice.</t>
  </si>
  <si>
    <t>[Zuhr, Alexandra M.; Muench, Thomas; Laepple, Thomas] Helmholtz Zentrum Polar &amp; Meeresforsch, Res Unit Potsdam, Alfred Wegener Inst, Telegrafenberg A45, D-14473 Potsdam, Germany; [Zuhr, Alexandra M.] Univ Potsdam, Inst Geosci, Karl Liebknecht Str 24-25, D-14476 Potsdam, Germany; [Steen-Larsen, Hans Christian] Univ Bergen, Geophys Inst, Bergen, Norway; [Steen-Larsen, Hans Christian] Bjerknes Ctr Climate Res, Bergen, Norway; [Hoerhold, Maria] Helmholtz Zentrum Polar &amp; Meeresforsch, Alfred Wegener Inst, Res Unit Bremerhaven, D-27568 Bremerhaven, Germany; [Laepple, Thomas] Univ Bremen, MARUM Ctr Marine Environm Sci, D-28334 Bremen, Germany; [Laepple, Thomas] Fac Geosci, D-28334 Bremen, Germany</t>
  </si>
  <si>
    <t>Helmholtz Association; Alfred Wegener Institute, Helmholtz Centre for Polar &amp; Marine Research; University of Potsdam; University of Bergen; Bjerknes Centre for Climate Research; Helmholtz Association; Alfred Wegener Institute, Helmholtz Centre for Polar &amp; Marine Research; University of Bremen</t>
  </si>
  <si>
    <t>Zuhr, AM (corresponding author), Helmholtz Zentrum Polar &amp; Meeresforsch, Res Unit Potsdam, Alfred Wegener Inst, Telegrafenberg A45, D-14473 Potsdam, Germany.;Zuhr, AM (corresponding author), Univ Potsdam, Inst Geosci, Karl Liebknecht Str 24-25, D-14476 Potsdam, Germany.</t>
  </si>
  <si>
    <t>alexandra.zuhr@awi.de</t>
  </si>
  <si>
    <t>Münch, Thomas/AAC-9281-2019; Steen-Larsen, Hans Christian/F-9927-2013; Hörhold, Maria/IST-9483-2023; Laepple, Thomas/M-8783-2015</t>
  </si>
  <si>
    <t>Münch, Thomas/0000-0002-5492-7544; Laepple, Thomas/0000-0001-8108-7520; Zuhr, Alexandra Mirjam/0000-0002-3861-365X</t>
  </si>
  <si>
    <t>European Research Council (ERC) under the European Union's Horizon 2020 research and innovation programme [759526, 716092]; Helmholtz funding through the Polar Regions and Coasts in the Changing Earth System (PACES) programme of the Alfred Wegener Institute; European Research Council (ERC) [759526] Funding Source: European Research Council (ERC)</t>
  </si>
  <si>
    <t>European Research Council (ERC) under the European Union's Horizon 2020 research and innovation programme(European Research Council (ERC)); Helmholtz funding through the Polar Regions and Coasts in the Changing Earth System (PACES) programme of the Alfred Wegener Institute; European Research Council (ERC)(European Research Council (ERC)Spanish Government)</t>
  </si>
  <si>
    <t>This research has been supported by funding from the European Research Council (ERC) under the European Union's Horizon 2020 research and innovation programme (grant agreement nos. 759526 and 716092) and by Helmholtz funding through the Polar Regions and Coasts in the Changing Earth System (PACES) programme of the Alfred Wegener Institute.</t>
  </si>
  <si>
    <t>OCT 19</t>
  </si>
  <si>
    <t>10.5194/tc-15-4873-2021</t>
  </si>
  <si>
    <t>WL6ND</t>
  </si>
  <si>
    <t>WOS:000710519200001</t>
  </si>
  <si>
    <t>Nirmal, B; Mohan, K; Prakasam, M; Tripati, A; Mortyn, PG; Rodríguez-Sanz, L</t>
  </si>
  <si>
    <t>Nirmal, B.; Mohan, K.; Prakasam, M.; Tripati, Aradhna; Mortyn, P. Graham; Rodriguez-Sanz, L.</t>
  </si>
  <si>
    <t>Pleistocene surface-ocean changes across the Southern subtropical front recorded by cryptic species of Orbulina universa</t>
  </si>
  <si>
    <t>South Atlantic; Pleistocene; Orbulina universa; Caribbean species; Mediterranean species</t>
  </si>
  <si>
    <t>MIDPLEISTOCENE CLIMATE TRANSITION; DEEP-WATER CIRCULATION; ATLANTIC-OCEAN; LATE MIOCENE; PLANKTONIC-FORAMINIFERA; SEDIMENTARY RECORD; INDIAN-OCEAN; EVOLUTION; PRODUCTIVITY; TEMPERATURE</t>
  </si>
  <si>
    <t>The largest ocean temperature gradients occur in the Southern Ocean, where the Antarctic circumpolar current frontal systems serve as hydrographic barriers with distinctive flora and fauna. During Pleistocene glacial-interglacial cycles, the position and intensity of these frontal systems are thought to have changed. This study examines the occurrence of distinct cryptic species of Orbulina universa during the Mid-Pleistocene Transition at two sites in the South Atlantic, Ocean Drilling Program Holes 1088B and 1090B that are separated by 2 degrees latitude. We discuss abundance records of the Caribbean and Mediterranean species and their relationship to Total Organic Carbon and stable isotope records to further understand the sea-surface changes of this region during the Pleistocene. Data from 1090B, the more southerly Hole, shows the presence of few Mediterranean species together with aberrant and Biorbulina bilobata forms. At ODP Hole1088B, on the other hand, the presence of both cryptic species are observed throughout the Pleistocene, indicating distinct surface water sources and properties. The abnormal forms indicate the possible disappearance of O. universa under stressful environmental conditions in the sub-antarctic zone with reseeding of the species at glacial-interglacial transitions (Marine isotopic stages 23/22, 14/13, 8/7 and 2/1). Although nutrient-rich surface waters and shallow nutricline favours high productivity in this region during glacial intervals, it is possible that Mediterranean species at 1090B would have been restricted by cold sub-polar surface waters. Comparison with published data suggests that the presence of subtropical Caribbean species at 1088B was driven by the prominence of northern sourced waters and interocean exchange south of Africa. Our data point to the presence of sub-tropical waters at 1088B during each glacial-interglacial transition with maxima occurring at three intervals (1200 ka, 700-600 ka and 250-100 ka) that coincide with the inception of the Mid-Pleistocene Transition and sea surface temperatures changes at the subtropical front. The interocean transfer and surface water changes at the subtropical front in the late Pleistocene are consistent with modulation by eccentricity-induced changes from a 41-ky world to a 100-ky world.</t>
  </si>
  <si>
    <t>[Nirmal, B.] Vellore Inst Technol, Sch Adv Sci, Chennai 600127, Tamil Nadu, India; [Mohan, K.] Vellore Inst Technol, Sch Civil Engn, Chennai 600127, Tamil Nadu, India; [Prakasam, M.] Wadia Inst Himalayan Geol, 33 GMS Rd, Dehra Dun 248001, Uttarakhand, India; [Tripati, Aradhna] Univ Calif Los Angeles, Inst Environm &amp; Sustainabil, Dept Earth Sci, Dept Atmospher &amp; Ocean Sci, Los Angeles, CA 90095 USA; [Tripati, Aradhna] Univ Calif Los Angeles, Inst Environm &amp; Sustainabil, Dept Atmospher &amp; Ocean Sci, Dept Planetary Sci, Los Angeles, CA 90095 USA; [Tripati, Aradhna] Univ Calif Los Angeles, Inst Environm &amp; Sustainabil, Dept Atmospher &amp; Ocean Sci, Dept Space Sci, Los Angeles, CA 90095 USA; [Mortyn, P. Graham] Univ Autonoma Barcelona, Inst Environm Sci &amp; Technol ICTA, Dept Geog, Barcelona 08193, Spain; [Rodriguez-Sanz, L.] Australian Natl Univ, Res Sch Earth Sci, Canberra, ACT 2601, Australia</t>
  </si>
  <si>
    <t>Vellore Institute of Technology (VIT); VIT Chennai; Vellore Institute of Technology (VIT); VIT Chennai; Department of Science &amp; Technology (India); Wadia Institute of Himalayan Geology (WIHG); University of California System; University of California Los Angeles; University of California System; University of California Los Angeles; University of California System; University of California Los Angeles; Autonomous University of Barcelona; Australian National University</t>
  </si>
  <si>
    <t>Mohan, K (corresponding author), Vellore Inst Technol, Sch Civil Engn, Chennai 600127, Tamil Nadu, India.</t>
  </si>
  <si>
    <t>mohan.kuppusamy@vit.ac.in</t>
  </si>
  <si>
    <t>Tripati, Aradhna Eagle/C-9419-2011</t>
  </si>
  <si>
    <t>Muthusamy, PRAKASAM/0000-0002-2911-5229; Biju, Nirmal/0000-0003-4177-980X; Rodriguez-Sanz, Laura/0000-0002-0641-0583; Kuppusamy, Mohan/0000-0002-2558-057X</t>
  </si>
  <si>
    <t>Science and Engineering Research Board (SERB), New Delhi, India [SERB/F/8907/201617]; SERB fellowship; Wadia Institute of Himalayan Geology, Dehradun, India [INSA/SP/VSP07/2018-19]; IODP Program [035841IODP, 051341IODP]</t>
  </si>
  <si>
    <t>Science and Engineering Research Board (SERB), New Delhi, India; SERB fellowship; Wadia Institute of Himalayan Geology, Dehradun, India(Department of Science &amp; Technology (India)); IODP Program</t>
  </si>
  <si>
    <t>This work would not have been possible without the efforts of the IODP Program (request no. #035841IODP and #051341IODP). The research work was funded by the Science and Engineering Research Board (SERB), New Delhi, India (Reference No: SERB/F/8907/201617). BN is supported by a SERB fellowship. Isotope measurements were accomplished from Wadia Institute of Himalayan Geology, Dehradun, India during INSA Visiting Scientist Fellowship by KM (INSA/SP/VSP07/2018-19). We gratefully acknowledge Dr. Valeria Luciani (Journal Associate Editor) and two anonymous reviewers for significant and constructive comments.</t>
  </si>
  <si>
    <t>10.1016/j.marmicro.2021.102056</t>
  </si>
  <si>
    <t>WM9UA</t>
  </si>
  <si>
    <t>WOS:000711422200001</t>
  </si>
  <si>
    <t>Cavitte, MGP; Young, DA; Mulvaney, R; Ritz, C; Greenbaum, JS; Ng, G; Kempf, SD; Quartini, E; Muldoon, GR; Paden, J; Frezzotti, M; Roberts, JL; Tozer, CR; Schroeder, DM; Blankenship, DD</t>
  </si>
  <si>
    <t>Cavitte, Marie G. P.; Young, Duncan A.; Mulvaney, Robert; Ritz, Catherine; Greenbaum, Jamin S.; Ng, Gregory; Kempf, Scott D.; Quartini, Enrica; Muldoon, Gail R.; Paden, John; Frezzotti, Massimo; Roberts, Jason L.; Tozer, Carly R.; Schroeder, Dustin M.; Blankenship, Donald D.</t>
  </si>
  <si>
    <t>A detailed radiostratigraphic data set for the central East Antarctic Plateau spanning from the Holocene to the mid-Pleistocene</t>
  </si>
  <si>
    <t>Article; Data Paper</t>
  </si>
  <si>
    <t>SURFACE MASS-BALANCE; RADAR-SOUNDING DATA; ICE-SHEET; DOME-C; SNOW ACCUMULATION; WEST ANTARCTICA; OLD ICE; INTERNAL STRUCTURE; AIRBORNE-RADAR; CHRONOLOGY AICC2012</t>
  </si>
  <si>
    <t>We present an ice-penetrating radar data set which consists of 26 internal reflecting horizons (IRHs) that cover the entire Dome C area of the East Antarctic plateau, the most extensive to date in the region. This data set uses radar surveys collected over the space of 10 years, starting with an airborne international collaboration in 2008 to explore the region, up to the detailed ground-based surveys in support of the Beyond EPICA - Oldest Ice (BE-OI) European Consortium. Through direct correlation with the EPICA-DC ice core, we date 19 IRHs that span the past four glacial cycles, from 10 ka, beginning of the Holocene, to over 350 ka, ranging from 10% to 83% of the ice thickness at the EPICA-DC ice core site. We indirectly date and provide stratigraphic information for seven older IRHs using a 1D ice flow inverse model, going back to an estimated 700 ka. Depth and age uncertainties are quantified for all IRHs and provided as part of the data set.</t>
  </si>
  <si>
    <t>[Cavitte, Marie G. P.; Young, Duncan A.; Greenbaum, Jamin S.; Ng, Gregory; Kempf, Scott D.; Quartini, Enrica; Muldoon, Gail R.; Blankenship, Donald D.] Univ Texas Austin, Jackson Sch Geosci, Inst Geosci, Austin, TX 78712 USA; [Cavitte, Marie G. P.; Quartini, Enrica; Muldoon, Gail R.] Univ Texas Austin, Jackson Sch Geosci, Dept Geol Sci, Austin, TX 78712 USA; [Mulvaney, Robert] British Antarctic Survey, Cambridge, England; [Ritz, Catherine] Univ Grenoble Alpes, CNRS, IRD, Grenoble INP,IGE, Grenoble, France; [Paden, John] Univ Kansas, Ctr Remote Sensing Ice Sheets CReSIS, Lawrence, KS 66045 USA; [Frezzotti, Massimo] Univ Roma Tre, Dept Sci, Rome, Italy; [Roberts, Jason L.] Australian Antarctic Div, Kingston, Tas 7050, Australia; [Roberts, Jason L.; Tozer, Carly R.] Univ Tasmania, Antarctic Climate &amp; Ecosyst Cooperat Res Ctr, Private Bag 80, Hobart, Tas 7001, Australia; [Schroeder, Dustin M.] Stanford Univ, Dept Geophys, Stanford, CA 94305 USA; [Schroeder, Dustin M.] Stanford Univ, Dept Elect Engn, Stanford, CA 94305 USA; [Cavitte, Marie G. P.] Univ Catholique Louvain UCL, Earth &amp; Life Inst ELI, Georges Lemaitre Ctr Earth &amp; Climate Res TECLIM, Louvain La Neuve, Belgium; [Greenbaum, Jamin S.] Univ Calif San Diego, Scripps Inst Oceanog, La Jolla, CA 92093 USA; [Quartini, Enrica] Georgia Inst Technol, Atlanta, GA 30332 USA; [Tozer, Carly R.] CSIRO Oceans &amp; Atmosphere, Hobart, Tas 7001, Australia</t>
  </si>
  <si>
    <t>University of Texas System; University of Texas Austin; University of Texas System; University of Texas Austin; UK Research &amp; Innovation (UKRI); Natural Environment Research Council (NERC); NERC British Antarctic Survey; Communaute Universite Grenoble Alpes; Universite Grenoble Alpes (UGA); Institut National Polytechnique de Grenoble; Institut de Recherche pour le Developpement (IRD); Centre National de la Recherche Scientifique (CNRS); University of Kansas; Roma Tre University; Italfarmaco; Australian Antarctic Division; Antarctic Climate &amp; Ecosystems Cooperative Research Centre (ACE CRC); University of Tasmania; Stanford University; Stanford University; University of California System; University of California San Diego; Scripps Institution of Oceanography; University System of Georgia; Georgia Institute of Technology; Commonwealth Scientific &amp; Industrial Research Organisation (CSIRO)</t>
  </si>
  <si>
    <t>Cavitte, MGP (corresponding author), Univ Texas Austin, Jackson Sch Geosci, Inst Geosci, Austin, TX 78712 USA.;Cavitte, MGP (corresponding author), Univ Texas Austin, Jackson Sch Geosci, Dept Geol Sci, Austin, TX 78712 USA.</t>
  </si>
  <si>
    <t>marie.cavitte@uclouvain.be</t>
  </si>
  <si>
    <t>Blankenship, Donald D./G-5935-2010; Young, Duncan/G-6256-2010; Mulvaney, Robert/K-3929-2012</t>
  </si>
  <si>
    <t>Cavitte, Marie/0000-0002-5777-0933; Quartini, Enrica/0000-0001-7485-543X; Young, Duncan/0000-0002-6866-8176; Ritz, Catherine/0000-0003-0785-8571; Mulvaney, Robert/0000-0002-5372-8148; Schroeder, Dustin/0000-0003-1916-3929</t>
  </si>
  <si>
    <t>NSF [ANT-0733025, ARC-0941678, PLR-1443690]; NASA [NNX08AN68G, NNX09AR52G, NNX11AD33G]; Gale White UTIG Fellowship; G. Unger Vetlesen Foundation; NERC [NE/D003733/1]; NASA [97564, NNX08AN68G, 106520, NNX11AD33G, NNX09AR52G, 148741] Funding Source: Federal RePORTER</t>
  </si>
  <si>
    <t>NSF(National Science Foundation (NSF)); NASA(National Aeronautics &amp; Space Administration (NASA)); Gale White UTIG Fellowship; G. Unger Vetlesen Foundation; NERC(UK Research &amp; Innovation (UKRI)Natural Environment Research Council (NERC)); NASA(National Aeronautics &amp; Space Administration (NASA))</t>
  </si>
  <si>
    <t>This work was supported by NSF (grants nos. ANT-0733025, ARC-0941678 and PLR-1443690), NASA (grant nos. NNX08AN68G, NNX09AR52G and NNX11AD33G (Operation Ice Bridge) to Texas, the Jackson School of Geosciences), the Gale White UTIG Fellowship, the G. Unger Vetlesen Foundation, and NERC (grant no. NE/D003733/1).</t>
  </si>
  <si>
    <t>10.5194/essd-13-4759-2021</t>
  </si>
  <si>
    <t>WK0WD</t>
  </si>
  <si>
    <t>WOS:000709454600001</t>
  </si>
  <si>
    <t>Carrasco, TS; Buchmann, FS</t>
  </si>
  <si>
    <t>Carrasco, Thayara Silveira; Buchmann, Francisco Sekiguchi</t>
  </si>
  <si>
    <t>Pleistocene cetacean fossils from the coastal plain of Rio Grande do Sul in southern Brazil</t>
  </si>
  <si>
    <t>ALCHERINGA</t>
  </si>
  <si>
    <t>Mysticeti; Odontoceti; tympanic bulla; periotic; petrosal; Quaternary marine deposits</t>
  </si>
  <si>
    <t>ANTARCTIC SEA-ICE; CIRCULATION; EVOLUTION; PLIOCENE; QUATERNARY; MAMMALS; WHALE; ODONTOCETI; TAPHONOMY; CYCLES</t>
  </si>
  <si>
    <t>Cetacean ear bones are useful for palaeontological studies because it is possible to identify most species based on their gross morphology, and thus glean information about past occurrences and distributions. This study describes cetacean tympanic bullae and periotics preserved in Middle-Late Pleistocene coastal barrier systems from Rio Grande do Sul in southern Brazil. The specimens were collected ex situ on the modern beach, and reveal the presence of the Franciscana dolphin, Pontoporia blainvillei, an indeterminate delphinid, the rorqual whale, Balaenoptera, and right whale, Eubalaena. Given the current diversity of dolphins and whales in the Atlantic Ocean, these fossils suggest that the reported diversity of Pleistocene cetaceans is probably underestimated. The barrier systems of Rio Grande do Sul are the only Brazilian deposits that have preserved Pleistocene cetacean remains to date.</t>
  </si>
  <si>
    <t>[Carrasco, Thayara Silveira] Univ Estadual Paulista, Inst Biociencias, Lab Estratigrafia &amp; Paleontol &amp; Programa Posgrad, Campus Litoral Paulista, BR-11330900 Sao Vicente, SP, Brazil; [Buchmann, Francisco Sekiguchi] Univ Estadual Paulista, Inst Biociencias, Lab Estratigrafia &amp; Paleontol, Campus Litoral Paulista, BR-11330900 Sao Vicente, SP, Brazil</t>
  </si>
  <si>
    <t>Universidade Estadual Paulista; Universidade Estadual Paulista</t>
  </si>
  <si>
    <t>Carrasco, TS (corresponding author), Univ Estadual Paulista, Inst Biociencias, Lab Estratigrafia &amp; Paleontol &amp; Programa Posgrad, Campus Litoral Paulista, BR-11330900 Sao Vicente, SP, Brazil.</t>
  </si>
  <si>
    <t>thayaracarrasco@gmail.com</t>
  </si>
  <si>
    <t>Carrasco, Thayara S/P-4307-2018</t>
  </si>
  <si>
    <t>Carrasco, Thayara S/0000-0002-8890-2249; Buchmann, Francisco Sekiguchi/0000-0002-0437-3352</t>
  </si>
  <si>
    <t>Coordination for the Improvement of Higher Education Personnel -Brazil (CAPES) [88882.436025/2019-01]</t>
  </si>
  <si>
    <t>Coordination for the Improvement of Higher Education Personnel -Brazil (CAPES)(Coordenacao de Aperfeicoamento de Pessoal de Nivel Superior (CAPES))</t>
  </si>
  <si>
    <t>T.S.C. received a scholarship from the Coordination for the Improvement of Higher Education Personnel -Brazil (CAPES) (88882.436025/2019-01).</t>
  </si>
  <si>
    <t>0311-5518</t>
  </si>
  <si>
    <t>1752-0754</t>
  </si>
  <si>
    <t>Alcheringa</t>
  </si>
  <si>
    <t>JUL 3</t>
  </si>
  <si>
    <t>10.1080/03115518.2021.1966647</t>
  </si>
  <si>
    <t>WW9AF</t>
  </si>
  <si>
    <t>WOS:000709183400001</t>
  </si>
  <si>
    <t>Earth as a transducer for dark-photon dark-matter detection</t>
  </si>
  <si>
    <t>ELECTRICAL-CONDUCTIVITY; MAGNETIC PULSATIONS; MAGNETOMETER ARRAY; SOLAR-WIND; ULF WAVES; DISCOVERY; CHARGE; NOISE; SHAPE</t>
  </si>
  <si>
    <t>We propose the use of the Earth as a transducer for ultralight dark-matter detection. In particular, we point out a novel signal of kinetically mixed dark-photon dark matter: a monochromatic oscillating magnetic field generated at the surface of the Earth. Similar to the signal in a laboratory experiment in a shielded box (or cavity), this signal arises because the lower atmosphere is a low-conductivity air gap sandwiched between the highly conductive interior of the Earth below and ionosphere or interplanetary medium above. At low masses (frequencies) the signal in a laboratory detector is usually suppressed by the size of the detector multiplied by the dark-matter mass. Crucially, in our case the suppression is by the radius of the Earth, and not by the (much smaller) height of the atmosphere. We compute the size and global vectorial pattern of our magnetic field signal, which enables sensitive searches for this signal using unshielded magnetometers dispersed over the surface of the Earth. In principle, the signal we compute exists for any dark photon in the mass range 10(-21) eV less than or similar to m(A)' less than or similar to 3 x 10(-14) eV. We summarize the results of our companion paper [M. A. Fedderke et al., Search for dark-photon dark matter in the SuperMAG geomagnetic field dataset, arXiv:2108.08852], in which we detail such a search using a publicly available dataset from the SuperMAG Collaboration: we report no robust signal candidates and so place constraints in the (more limited) dark-photon dark-matter mass range 2 x 10(-18) eV less than or similar to m(A') less than or similar to 7 x 10(-17) eV (corresponding to frequencies 6 x 10(-4) Hz less than or similar to f less than or similar to 2 x 10(-2) Hz). These constraints are complementary to existing astrophysical bounds. Future searches for this signal may improve the sensitivity over a wide range of ultralight dark-matter candidates and masses.</t>
  </si>
  <si>
    <t>[Fedderke, Michael A.] Johns Hopkins Univ, Dept Phys &amp; Astron, Baltimore, MD 21218 USA; [Fedderke, Michael A.; Graham, Peter W.; Kalia, Saarik] Stanford Univ, Dept Phys, Stanford Inst Theoret Phys, Stanford, CA 94305 USA; [Kimball, Derek F. Jackson] Calif State Univ East Bay, Dept Phys, Hayward, CA 94542 USA</t>
  </si>
  <si>
    <t>Johns Hopkins University; Stanford University; California State University System; California State University East Bay</t>
  </si>
  <si>
    <t>Fedderke, MA (corresponding author), Johns Hopkins Univ, Dept Phys &amp; Astron, Baltimore, MD 21218 USA.;Fedderke, MA; Graham, PW; Kalia, S (corresponding author), Stanford Univ, Dept Phys, Stanford Inst Theoret Phys, Stanford, CA 94305 USA.;Kimball, DFJ (corresponding author), Calif State Univ East Bay, Dept Phys, Hayward, CA 94542 USA.</t>
  </si>
  <si>
    <t>Fedderke, Michael A./0000-0002-1319-1622; Graham, Peter/0000-0002-1600-1601; Jackson Kimball, Derek/0000-0003-2479-6034; Kalia, Saarik/0000-0002-7362-6501</t>
  </si>
  <si>
    <t>DOE [DE-SC0012012]; NSF [PHY-2014215, PHY-1707875, DGE-1656518, ATM-0646323, AGS-1003580]; Heising-Simons Foundation [2015037, 2018-0765]; DOE HEP QuantISED Award [100495]; Gordon and Betty Moore Foundation [GBMF7946]; U.S. Department of Energy, Office of Science, National Quantum Information (NQI) Science Research Centers through the Fermilab Superconducting Quantum Materials and Systems Center (SQMS) NQI Center; Simons Foundation; Heising-Simons Foundation; NASA [NNX08AM32G S03]</t>
  </si>
  <si>
    <t>DOE(United States Department of Energy (DOE)); NSF(National Science Foundation (NSF)); Heising-Simons Foundation; DOE HEP QuantISED Award; Gordon and Betty Moore Foundation(Gordon and Betty Moore Foundation); U.S. Department of Energy, Office of Science, National Quantum Information (NQI) Science Research Centers through the Fermilab Superconducting Quantum Materials and Systems Center (SQMS) NQI Center(United States Department of Energy (DOE)); Simons Foundation; Heising-Simons Foundation; NASA(National Aeronautics &amp; Space Administration (NASA))</t>
  </si>
  <si>
    <t>We thank Surjeet Rajendran, Dmitry Budker, and Alex Sushkov for enlightening conversations at early stages of this project. M. A. F. thanks the Berkeley Center for Theoretical Physics at the University of California Berkeley and Lawrence Berkeley National Laboratory for their long-term hospitality during which the earliest stages of this work were completed. M. A. F., P. W. G., and S. K. were supported by DOE Grant No. DE-SC0012012, NSF Grant No. PHY2014215, the Heising-Simons Foundation Grants No. 2015037 and No. 2018-0765, DOE HEP QuantISED Award No. 100495, and the Gordon and Betty Moore Foundation Grant No. GBMF7946. This work was also supported by the U.S. Department of Energy, Office of Science, National Quantum Information (NQI) Science Research Centers through the Fermilab Superconducting Quantum Materials and Systems Center (SQMS) NQI Center. D. F. J. K. was supported by NSF Grant No. PHY-1707875 as well as the Simons and Heising-Simons Foundations. S. K. was also supported by NSF Grant No. DGE-1656518. Some of the computing for this project was performed on the Sherlock cluster. We thank Stanford University and the Stanford Research Computing Center for providing computational resources and support that contributed to these research results. We gratefully acknowledge the SuperMAG Collaboration for maintaining and providing the database of ground magnetometer data that were analyzed to present the limits in Fig. 4 and Ref. [38], and we thank Jesper W. Gjerloev for helpful correspondence regarding technical aspects of the SuperMAG data. SuperMAG receives funding from NSF Grants No. ATM-0646323 and No. AGS1003580, and NASA Grant No. NNX08AM32G S03. We acknowledge those who contributed data to the SuperMAG Collaboration: INTERMAGNET, Alan Thomson; CARISMA, PI Ian Mann; CANMOS, Geomagnetism Unit of the Geological Survey of Canada; The S-RAMP Database, PI K. Yumoto and Dr. K. Shiokawa; The SPIDR database; AARI, PI Oleg Troshichev; The MACCS program, PI M. Engebretson; GIMA; MEASURE, UCLA IGPP and Florida Institute of Technology; SAMBA, PI Eftyhia Zesta; 210 Chain, PI K. Yumoto; SAMNET, PI Farideh Honary; IMAGE, PI Liisa Juusola; Finnish Meteorological Institute, PI Liisa Juusola; Sodankyl Geophysical Observatory, PI Tero Raita; UiT the Arctic University of Norway, Tromso Geophysical Observatory, PI Magnar G. Johnsen; GFZ German Research Centre For Geosciences, PI Jurgen Matzka; Institute of Geophysics, Polish Academy of Sciences, PI Anne Neska and Jan Reda; Polar Geophysical Institute, PI Alexander Yahnin and Yarolav Sakharov; Geological Survey of Sweden, PI Gerhard Schwarz; Swedish Institute of Space Physics, PI Masatoshi Yamauchi; AUTUMN, PI Martin Connors; DTU Space, Thom Edwards and PI Anna Willer; South Pole and McMurdo Magnetometer, PIs Louis J. Lanzarotti and Alan T. Weatherwax; ICESTAR; RAPIDMAG; British Antarctic Survey; McMac, PI Dr. Peter Chi; BGS, PI Dr. Susan Macmillan; Pushkov Institute of Terrestrial Magnetism, Ionosphere and Radio Wave Propagation (IZMIRAN); MFGI, PI B. Heilig; Institute of Geophysics, Polish Academy of Sciences, PI Anne Neska and Jan Reda; University of LAquila, PI M. Vellante; BCMT, V. Lesur and A. Chambodut; Data obtained in cooperation with Geoscience Australia, PI Marina Costelloe; AALPIP, coPIs Bob Clauer andMichael Hartinger; SuperMAG, PI Jesper W. Gjerloev; Data obtained in cooperation with the Australian Bureau of Meteorology, PI Richard Marshall. We thank INTERMAGNET for promoting high standards of magnetic observatory practice [118].</t>
  </si>
  <si>
    <t>10.1103/PhysRevD.104.075023</t>
  </si>
  <si>
    <t>WI9HS</t>
  </si>
  <si>
    <t>WOS:000708664800006</t>
  </si>
  <si>
    <t>Christ, AJ; Bierman, PR; Lamp, JL; Schaefer, JM; Winckler, G</t>
  </si>
  <si>
    <t>Christ, Andrew J.; Bierman, Paul R.; Lamp, Jennifer L.; Schaefer, Joerg M.; Winckler, Gisela</t>
  </si>
  <si>
    <t>Cosmogenic nuclide exposure age scatter records glacial history and processes in McMurdo Sound, Antarctica</t>
  </si>
  <si>
    <t>GEOCHRONOLOGY</t>
  </si>
  <si>
    <t>GREENLAND ICE-SHEET; MARIE-BYRD-LAND; ROSS SEA DRIFT; EROSION RATES; TRANSANTARCTIC MOUNTAINS; HOLOCENE DEGLACIATION; LANDSCAPE EVOLUTION; SHACKLETON RANGE; DRY VALLEYS; BE-10</t>
  </si>
  <si>
    <t>The preservation of cosmogenic nuclides that accumulated during periods of prior exposure but were not subsequently removed by erosion or radioactive decay complicates interpretation of exposure, erosion, and burial ages used for a variety of geomorphological applications. In glacial settings, cold-based, non-erosive glacier ice may fail to remove inventories of inherited nuclides in glacially transported material. As a result, individual exposure ages can vary widely across a single landform (e.g., moraine) and exceed the expected or true depositional age. The surface processes that contribute to inheritance remain poorly understood, thus limiting interpretations of cosmogenic nuclide datasets in glacial environments. Here, we present a compilation of new and previously published exposure ages of multiple lithologies in local Last Glacial Maximum (LGM) and older Pleistocene glacial sediments in the McMurdo Sound region of Antarctica. Unlike most Antarctic exposure chronologies, we are able to compare exposure ages of local LGM sediments directly against an independent radiocarbon chronology of fossil algae from the same sedimentary unit that brackets the age of the local LGM between 12.3 and 19.6 ka. Cosmogenic exposure ages vary by lithology, suggesting that bedrock source and surface processes prior to, during, and after glacial entrainment explain scatter. 10Be exposure ages of quartz in granite, sourced from the base of the stratigraphic section in the Transantarctic Mountains, are scattered but young, suggesting that clasts entrained by sub-glacial plucking can generate reasonable apparent exposure ages. 3He exposure ages of pyroxene in Ferrar Dolerite, which crops out above outlet glaciers in the Transantarctic Mountains, are older, which suggests that clasts initially exposed on cliff faces and glacially entrained by rock fall carry inherited nuclides. 3He exposure ages of olivine in basalt from local volcanic bedrock in the McMurdo Sound region contain many excessively old ages but also have a bimodal distribution with peak probabilities that slightly pre-date and post-date the local LGM; this suggests that glacial clasts from local bedrock record local landscape exposure. With the magnitude and geological processes contributing to age scatter in mind, we examine exposure ages of older glacial sediments deposited by the most extensive ice sheet to inundate McMurdo Sound during the Pleistocene. These results underscore how surface processes operating in the Transantarctic Mountains are expressed in the cosmogenic nuclide inventories held in Antarctic glacial sediments.</t>
  </si>
  <si>
    <t>[Christ, Andrew J.; Bierman, Paul R.] Univ Vermont, Gund Inst Environm, Burlington, VT 05405 USA; [Christ, Andrew J.; Bierman, Paul R.] Univ Vermont, Rubenstein Sch Environm &amp; Nat Resources, Burlington, VT 05405 USA; [Lamp, Jennifer L.; Schaefer, Joerg M.; Winckler, Gisela] Columbia Univ, Lamont Doherty Earth Observ, Palisades, NY 10964 USA</t>
  </si>
  <si>
    <t>University of Vermont; University of Vermont; Columbia University</t>
  </si>
  <si>
    <t>Christ, AJ (corresponding author), Univ Vermont, Gund Inst Environm, Burlington, VT 05405 USA.;Christ, AJ (corresponding author), Univ Vermont, Rubenstein Sch Environm &amp; Nat Resources, Burlington, VT 05405 USA.</t>
  </si>
  <si>
    <t>andrew.christ@uvm.edu</t>
  </si>
  <si>
    <t>Bierman, Paul/AAA-9466-2020</t>
  </si>
  <si>
    <t>Bierman, Paul/0000-0001-9627-4601</t>
  </si>
  <si>
    <t>NSF Office of Polar Programs [1246316]</t>
  </si>
  <si>
    <t>NSF Office of Polar Programs(National Science Foundation (NSF))</t>
  </si>
  <si>
    <t>This project was funded by NSF Office of Polar Programs award 1246316. We appreciate the field assistance from Emelia Chamberlain, Natalie Robinson, Daniel Rybarcyzk, Sean Mackay, Douglas Kowalewski, and Austin Canty; we are grateful for laboratory assistance from Roseanne Schwartz and Joel Sparks.</t>
  </si>
  <si>
    <t>2628-3719</t>
  </si>
  <si>
    <t>Geochronology</t>
  </si>
  <si>
    <t>10.5194/gchron-3-505-2021</t>
  </si>
  <si>
    <t>Geochemistry &amp; Geophysics; Geosciences, Multidisciplinary</t>
  </si>
  <si>
    <t>Geochemistry &amp; Geophysics; Geology</t>
  </si>
  <si>
    <t>HT7S1</t>
  </si>
  <si>
    <t>WOS:001161829600001</t>
  </si>
  <si>
    <t>Unagar, A; Hashmi, A; Tiwari, AK; Jawak, SD; Desai, B; Urba, A; Qureshi, A</t>
  </si>
  <si>
    <t>Unagar, Ajaykumar; Hashmi, Azharuddin; Tiwari, Anoop K.; Jawak, Shridhar D.; Desai, Brijesh; Urba, Andrius; Qureshi, Asif</t>
  </si>
  <si>
    <t>Coast of Eastern Antarctica as the source of atmospheric mercury during austral summer</t>
  </si>
  <si>
    <t>ATMOSPHERIC POLLUTION RESEARCH</t>
  </si>
  <si>
    <t>Antarctica; Southern ocean; Gaseous elemental mercury; CVAAS</t>
  </si>
  <si>
    <t>GASEOUS ELEMENTAL MERCURY; MARINE BOUNDARY-LAYER; SEASONAL-VARIATION; SOUTHERN-OCEAN; PRYDZ BAY; SURFACE; FLUX; AIR; EXCHANGE</t>
  </si>
  <si>
    <t>Observations of atmospheric mercury over the Southern Ocean and Antarctica are still limited. We performed a ship cruise from Cape Point, South Africa, to the Indian Bharati station, Prydz Bay, Antarctica (42.72 degrees S 24.52 degrees E to 69.41 degrees S 76.19 degrees E, 2015.01.18-27) and subsequently stationed the ship near the Bharati till 2015.02.19. We report relatively constant values of gaseous elemental mercury (GEM) concentration during the cruise (1.08 +/- 0.08 ng/m(3), n = 541) and highly variable values at the coast (0.96 +/- 0.36 ng/m(3), n = 1050). Meteorological parameters: relative humidity, temperature and solar radiation had almost negligible effect on GEM concentration (adjusted R-2 = 0.09 in multiple linear regression model) during the ship cruise and a limited effect on GEM (adjusted R-2 = 0.34) during the ship stay at Bharati. Analysis of NOAA-HYSPLIT 24-h back trajectories showed that all trajectories were extremely shallow during the ship cruise and therefore results likely were affected by the marine boundary layer rather than long-range transport. On the other hand, highly variable values of GEM near Bharati station were explained as a result of interplay of shallow and descending air masses coming from the Antarctic coast and from the terrain. These factors together with temperature dependency indicated that the coast of Antarctica acted as a temperature-driven source of GEM during the austral summer. Measurements were performed with a portable atomic absorption (CVAAS) mercury analyzer model Gardis-5. In our knowledge, this was the first time the CVAAS method was successfully applied for the background Antarctic observations.</t>
  </si>
  <si>
    <t>[Unagar, Ajaykumar; Hashmi, Azharuddin; Qureshi, Asif] Indian Inst Technol IIT Hyderabad, Dept Civil Engn, Kandi, India; [Unagar, Ajaykumar] Swiss Fed Inst Technol, Zurich, Switzerland; [Tiwari, Anoop K.; Desai, Brijesh] Natl Ctr Polar &amp; Ocean Res NCPOR, Vasco Da Gama, India; [Jawak, Shridhar D.] Svalbard Integrated Arctic Earth Observing Syst S, Longyearbyen, Norway; [Urba, Andrius] Ctr Phys Sci &amp; Technol FTMC, Vilnius, Lithuania; [Qureshi, Asif] Indian Inst Technol IIT Hyderabad, Dept Climate Change, Kandi, India</t>
  </si>
  <si>
    <t>Indian Institute of Technology System (IIT System); Indian Institute of Technology (IIT) - Hyderabad; Swiss Federal Institutes of Technology Domain; ETH Zurich; Ministry of Earth Sciences (MoES) - India; National Centre for Polar and Ocean Research (NCPOR); Center for Physical Sciences &amp; Technology - Lithuania; Indian Institute of Technology System (IIT System); Indian Institute of Technology (IIT) - Hyderabad</t>
  </si>
  <si>
    <t>Qureshi, A (corresponding author), Indian Inst Technol IIT Hyderabad, Dept Civil Engn, Kandi, India.</t>
  </si>
  <si>
    <t>asif@ce.iith.ac.in</t>
  </si>
  <si>
    <t>Jawak, Shridhar/G-9678-2012; TIWARI, ANOOP KUMAR/AAY-8915-2021</t>
  </si>
  <si>
    <t>Jawak, Shridhar/0000-0002-0648-3109; Qureshi, Asif/0000-0003-3329-0166; Unagar, Ajaykumar/0000-0002-7490-004X</t>
  </si>
  <si>
    <t>Department of Science &amp; Technology (DST) [IFA-13 EAS-10]; Ministry of Earth Sciences, India; National Centre for Polar and Ocean Research, India</t>
  </si>
  <si>
    <t>Department of Science &amp; Technology (DST)(Department of Science &amp; Technology (India)); Ministry of Earth Sciences, India; National Centre for Polar and Ocean Research, India</t>
  </si>
  <si>
    <t>This work was supported by the Department of Science &amp; Technology (DST) Inspire grant (IFA-13 EAS-10) to AQ. Authors would also like to thank Ministry of Earth Sciences, India, and the National Centre for Polar and Ocean Research, India, for funding and the logistical support to the 34th Indian Scientific Expedition to the Antarctic (ISEA).</t>
  </si>
  <si>
    <t>TURKISH NATL COMMITTEE AIR POLLUTION RES &amp; CONTROL-TUNCAP</t>
  </si>
  <si>
    <t>BUCA</t>
  </si>
  <si>
    <t>DOKUZ EYLUL UNIV, DEPT ENVIRONMENTAL ENGINEERING, TINAZTEPE CAMPUS, BUCA, IZMIR 35160, TURKEY</t>
  </si>
  <si>
    <t>1309-1042</t>
  </si>
  <si>
    <t>ATMOS POLLUT RES</t>
  </si>
  <si>
    <t>Atmos. Pollut. Res.</t>
  </si>
  <si>
    <t>10.1016/j.apr.2021.101226</t>
  </si>
  <si>
    <t>YE8NV</t>
  </si>
  <si>
    <t>WOS:000741377200006</t>
  </si>
  <si>
    <t>Rees, G; Gerrish, L; Fox, A; Barnes, R</t>
  </si>
  <si>
    <t>Rees, Gareth; Gerrish, Laura; Fox, Adrian; Barnes, Richard</t>
  </si>
  <si>
    <t>Finding Antarctica's Pole of Inaccessibility</t>
  </si>
  <si>
    <t>Pole of inaccessibility; Antarctica; Antarctic digital database; Cartography</t>
  </si>
  <si>
    <t>Antarctica's Pole of Inaccessibility (Southern Pole of Inaccessibility (SPI)) is the point on the Antarctic continent farthest from its edge. Existing literature exhibits disagreement over its location. Using two revisions of the Scientific Committee on Antarctic Research's Antarctic Digital Database, we calculate modern-day positions for the SPI around 10 years apart, based on the position of the outer Antarctic coastline, i.e. its boundary with the ocean. These show that the position of the SPI in the year 2010 was around 83 degrees 54' S, 64 degrees 53' E, shifting on the order of 1 km per year as a result of changes of a similar magnitude in the Amery, Ronne-Filchner and Ross Ice Shelves. Excepting a position of the SPI calculated by British Antarctic Survey in 2005, to which it is very close, our newly calculated position differs by 150-900 km from others reported in the literature. We also consider the inner SPI, defined by the coastline with floating ice removed. The position of this SPI in 2010 is estimated as 83 degrees 37' S, 53 degrees 43' E, differing significantly from other reported positions. Earlier cartographic data are probably not sufficiently accurate to allow its rate of change to be calculated meaningfully.</t>
  </si>
  <si>
    <t>[Rees, Gareth] Univ Cambridge, Scott Polar Res Inst, Lensfield Rd, Cambridge CB2 1ER, England; [Gerrish, Laura; Fox, Adrian] British Antarctic Survey, Madingley Rd, Cambridge CB3 0ET, England; [Barnes, Richard] Univ Calif Berkeley, Energy &amp; Resources Grp, Berkeley, CA 94720 USA; [Barnes, Richard] Univ Calif Berkeley, Elect Engn &amp; Comp Sci, Berkeley, CA 94720 USA</t>
  </si>
  <si>
    <t>University of Cambridge; UK Research &amp; Innovation (UKRI); Natural Environment Research Council (NERC); NERC British Antarctic Survey; University of California System; University of California Berkeley; University of California System; University of California Berkeley</t>
  </si>
  <si>
    <t>Rees, G (corresponding author), Univ Cambridge, Scott Polar Res Inst, Lensfield Rd, Cambridge CB2 1ER, England.</t>
  </si>
  <si>
    <t>wgr2@cam.ac.uk</t>
  </si>
  <si>
    <t>Rees, William Gareth/AAM-9701-2020</t>
  </si>
  <si>
    <t>Rees, William Gareth/0000-0001-6020-1232</t>
  </si>
  <si>
    <t>OCT 18</t>
  </si>
  <si>
    <t>e40</t>
  </si>
  <si>
    <t>10.1017/S0032247421000620</t>
  </si>
  <si>
    <t>XB3WI</t>
  </si>
  <si>
    <t>WOS:000721262000001</t>
  </si>
  <si>
    <t>Martin, MA; Sendra, OA; Bastos, A; Bauer, N; Bertram, C; Blenckner, T; Bowen, K; Brando, PM; Rudolph, TB; Büchs, M; Bustamante, M; Chen, DL; Cleugh, H; Dasgupta, P; Denton, F; Donges, JF; Donkor, FK; Duan, HB; Duarte, CM; Ebi, KL; Edwards, CM; Engel, A; Fisher, E; Fuss, S; Gaertner, J; Gettelman, A; Girardin, CAJ; Golledge, NR; Green, JF; Grose, MR; Hashizume, M; Hebden, S; Hepach, H; Hirota, M; Hsu, HH; Kojima, S; Lele, S; Lorek, S; Lotze, HK; Matthews, HD; McCauley, D; Mebratu, D; Mengis, N; Nolan, RH; Pihl, E; Rahmstorf, S; Redman, A; Reid, CE; Rockström, J; Rogelj, J; Saunois, M; Sayer, L; Schlosser, P; Sioen, GB; Spangenberg, JH; Stammer, D; Sterner, TNS; Stevens, N; Thonicke, K; Tian, HQ; Winkelmann, R; Woodcock, J</t>
  </si>
  <si>
    <t>Martin, Maria A.; Alcaraz Sendra, Olga; Bastos, Ana; Bauer, Nico; Bertram, Christoph; Blenckner, Thorsten; Bowen, Kathryn; Brando, Paulo M.; Rudolph, Tanya Brodie; Buchs, Milena; Bustamante, Mercedes; Chen, Deliang; Cleugh, Helen; Dasgupta, Purnamita; Denton, Fatima; Donges, Jonathan F.; Donkor, Felix Kwabena; Duan, Hongbo; Duarte, Carlos M.; Ebi, Kristie L.; Edwards, Clea M.; Engel, Anja; Fisher, Eleanor; Fuss, Sabine; Gaertner, Juliana; Gettelman, Andrew; Girardin, Cecile A. J.; Golledge, Nicholas R.; Green, Jessica F.; Grose, Michael R.; Hashizume, Masahiro; Hebden, Sophie; Hepach, Helmke; Hirota, Marina; Hsu, Huang-Hsiung; Kojima, Satoshi; Lele, Sharachchandra; Lorek, Sylvia; Lotze, Heike K.; Matthews, H. Damon; McCauley, Darren; Mebratu, Desta; Mengis, Nadine; Nolan, Rachael H.; Pihl, Erik; Rahmstorf, Stefan; Redman, Aaron; Reid, Colleen E.; Rockstrom, Johan; Rogelj, Joeri; Saunois, Marielle; Sayer, Lizzie; Schlosser, Peter; Sioen, Giles B.; Spangenberg, Joachim H.; Stammer, Detlef; Sterner, Thomas N. S.; Stevens, Nicola; Thonicke, Kirsten; Tian, Hanqin; Winkelmann, Ricarda; Woodcock, James</t>
  </si>
  <si>
    <t>Ten new insights in climate science 2021: a horizon scan</t>
  </si>
  <si>
    <t>GLOBAL SUSTAINABILITY</t>
  </si>
  <si>
    <t>adaptation and mitigation; Earth systems (land; water and atmospheric); ecology and biodiversity; economics; policies; politics and governance</t>
  </si>
  <si>
    <t>DEMAND-SIDE SOLUTIONS; CARBON BUDGET; AUSTRALIAN FIRES; ENERGY JUSTICE; DEFORESTATION; HEALTH; POLICY; RISK; KEY; QUANTIFICATION</t>
  </si>
  <si>
    <t>Non-technical summary We summarize some of the past year's most important findings within climate change-related research. New research has improved our understanding about the remaining options to achieve the Paris Agreement goals, through overcoming political barriers to carbon pricing, taking into account non-CO2 factors, a well-designed implementation of demand-side and nature-based solutions, resilience building of ecosystems and the recognition that climate change mitigation costs can be justified by benefits to the health of humans and nature alone. We consider new insights about what to expect if we fail to include a new dimension of fire extremes and the prospect of cascading climate tipping elements. Technical summary A synthesis is made of 10 topics within climate research, where there have been significant advances since January 2020. The insights are based on input from an international open call with broad disciplinary scope. Findings include: (1) the options to still keep global warming below 1.5 degrees C; (2) the impact of non-CO2 factors in global warming; (3) a new dimension of fire extremes forced by climate change; (4) the increasing pressure on interconnected climate tipping elements; (5) the dimensions of climate justice; (6) political challenges impeding the effectiveness of carbon pricing; (7) demand-side solutions as vehicles of climate mitigation; (8) the potentials and caveats of nature-based solutions; (9) how building resilience of marine ecosystems is possible; and (10) that the costs of climate change mitigation policies can be more than justified by the benefits to the health of humans and nature. Social media summary How do we limit global warming to 1.5 degrees C and why is it crucial? See highlights of latest climate science.</t>
  </si>
  <si>
    <t>[Martin, Maria A.; Bauer, Nico; Bertram, Christoph; Donges, Jonathan F.; Gaertner, Juliana; Rahmstorf, Stefan; Rockstrom, Johan; Thonicke, Kirsten; Winkelmann, Ricarda] Leibniz Assoc, Potsdam Inst Climate Impact Res PIK, Potsdam, Germany; [Alcaraz Sendra, Olga] Univ Politecn Cataluna, Barcelona, Spain; [Bastos, Ana] Max Planck Inst Biogeochem, Jena, Germany; [Blenckner, Thorsten; Donges, Jonathan F.] Stockholm Univ, Stockholm Resilience Ctr, Stockholm, Sweden; [Bowen, Kathryn] Melbourne Law Sch, Melbourne Climate Futures, Parkville, Vic, Australia; [Bowen, Kathryn] Univ Melbourne, Melbourne Sch Populat &amp; Global Hlth, Parkville, Vic, Australia; [Brando, Paulo M.] Univ Calif Irvine, Irvine, CA USA; [Rudolph, Tanya Brodie; Mebratu, Desta] Univ Stellenbosch, South Africa Ctr Sustainabil Transit CST, Stellenbosch, South Africa; [Buchs, Milena] Univ Leeds, Sch Earth &amp; Environm, Leeds, W Yorkshire, England; [Bustamante, Mercedes] Univ Brasilia, Brasilia, DF, Brazil; [Chen, Deliang] Univ Gothenburg, Dept Earth Sci, Gothenburg, Sweden; [Cleugh, Helen] WCRP Joint Sci Comm JSC, Canberra, ACT, Australia; [Dasgupta, Purnamita] Int Ctr Integrated Mt Dev, Lalitpur, Nepal; [Denton, Fatima] United Nations Univ, Inst Nat Resources Africa, Accra, Ghana; [Donkor, Felix Kwabena] Univ Educ Winneba, Fac Social Sci, Dept Geog, Winneba, Ghana; [Duan, Hongbo] Univ Chinese Acad Sci, Sch Econ &amp; Management, Beijing, Peoples R China; [Duarte, Carlos M.] King Abdullah Univ Sci &amp; Technol KAUST, Red Sea Res Ctr RSRC, Thuwal, Saudi Arabia; [Duarte, Carlos M.] King Abdullah Univ Sci &amp; Technol KAUST, Computat Biosci Res Ctr CBRC, Thuwal, Saudi Arabia; [Duarte, Carlos M.] Aarhus Univ, Arctic Res Ctr, Aarhus, Denmark; [Ebi, Kristie L.] Univ Washington, Ctr Hlth &amp; the Global Environm CHanGE, Washington, DC USA; [Edwards, Clea M.; Redman, Aaron; Schlosser, Peter] Arizona State Univ, Global Futures Lab, Tempe, AZ USA; [Engel, Anja; Mengis, Nadine] GEOMAR Helmholtz Ctr Ocean Res Kiel, Kiel, Germany; [Fisher, Eleanor] Nordic Africa Inst, Uppsala, Sweden; [Fuss, Sabine] Mercator Res Inst Global Commons &amp; Climate Change, Berlin, Germany; [Fuss, Sabine] Humboldt Univ, Berlin, Germany; [Gettelman, Andrew] Natl Ctr Atmospher Res NCAR, Boulder, CO USA; [Girardin, Cecile A. J.; Stevens, Nicola] Univ Oxford, Oxford, England; [Golledge, Nicholas R.] Victoria Univ Wellington, Antarctic Res Ctr, Wellington, New Zealand; [Green, Jessica F.] Univ Toronto, Toronto, ON, Canada; [Grose, Michael R.] CSIRO, Canberra, ACT, Australia; [Hashizume, Masahiro] Univ Tokyo, Bunkyo Ku, Tokyo, Japan; [Hebden, Sophie; Pihl, Erik] Future Earth Global Secretariat, Stockholm, Sweden; [Hepach, Helmke] Helmholtz Zentrum Hereon, Climate Serv Ctr Germany GERICS, Hamburg, Germany; [Hirota, Marina] Univ Fed Santa Catarina, Florianopolis, SC, Brazil; [Hsu, Huang-Hsiung] Acad Sinica, Anthropogen Climate Change Ctr, Res Ctr Environm Changes, Taipei, Taiwan; [Kojima, Satoshi] Inst Global Environm Strategies, Hayama, Kanagawa, Japan; [Lele, Sharachchandra] ATREE, Ctr Environm &amp; Dev, Bengaluru, India; [Lorek, Sylvia; Spangenberg, Joachim H.] Sustainable Europe Res Inst, Cologne, Germany; [Lorek, Sylvia] ZOE Inst Future Fit Econ, Cologne, Germany; [Lotze, Heike K.] Dalhousie Univ, Halifax, NS, Canada; [Matthews, H. Damon] Concordia Univ, Montreal, PQ, Canada; [McCauley, Darren] Erasmus Univ, Rotterdam, Netherlands; [Mebratu, Desta] Addis Ababa Univ, Inst Technol, Addis Ababa, Ethiopia; [Nolan, Rachael H.] Western Sydney Univ, Hawkesbury Inst Environm, Sydney, NSW, Australia; [Nolan, Rachael H.] NSW Bushfire Risk Management Res Hub, Wollongong, NSW 2522, Australia; [Reid, Colleen E.] Univ Colorado, Boulder, CO 80309 USA; [Rockstrom, Johan; Winkelmann, Ricarda] Univ Potsdam, Potsdam, Germany; [Rogelj, Joeri] Imperial Coll London, London, England; [Rogelj, Joeri] Int Inst Appl Syst Anal, Laxenburg, Austria; [Saunois, Marielle] Univ Paris Saciay, Lab Sci Climat &amp; Environm, LSCE IPSL CEA CNRS UVSQ, Gif Sur Yvette, France; [Sayer, Lizzie] Int Sci Council, Paris, France; [Sioen, Giles B.] Future Earth Global Secretariat, Tokyo, Japan; [Sioen, Giles B.] Natl Inst Environm Studies, Tsukuba, Ibaraki, Japan; [Stammer, Detlef] Univ Hamburg, Hamburg, Germany; [Sterner, Thomas N. S.] Univ Gothenburg, Gothenburg, Sweden; [Tian, Hanqin] Auburn Univ, Sch Forestry &amp; Wildlife Sci, Int Ctr Climate &amp; Global Change Res, Auburn, AL 36849 USA; [Woodcock, James] Univ Cambridge, MRC Epidemiol Unit, Cambridge, England</t>
  </si>
  <si>
    <t>Potsdam Institut fur Klimafolgenforschung; Universitat Politecnica de Catalunya; Max Planck Society; Stockholm University; University of Melbourne; University of California System; University of California Irvine; Stellenbosch University; University of Leeds; Universidade de Brasilia; University of Gothenburg; Chinese Academy of Sciences; University of Chinese Academy of Sciences, CAS; King Abdullah University of Science &amp; Technology; King Abdullah University of Science &amp; Technology; Aarhus University; University of Washington; Arizona State University; Arizona State University-Tempe; Helmholtz Association; GEOMAR Helmholtz Center for Ocean Research Kiel; Humboldt University of Berlin; National Center Atmospheric Research (NCAR) - USA; University of Oxford; Victoria University Wellington; University of Toronto; Commonwealth Scientific &amp; Industrial Research Organisation (CSIRO); University of Tokyo; Helmholtz Association; Helmholtz-Zentrum Hereon; Universidade Federal de Santa Catarina (UFSC); Academia Sinica - Taiwan; Dalhousie University; Concordia University - Canada; Erasmus University Rotterdam; Erasmus University Rotterdam - Excl Erasmus MC; Addis Ababa University; Western Sydney University; University of Wollongong; University of Colorado System; University of Colorado Boulder; University of Potsdam; Imperial College London; International Institute for Applied Systems Analysis (IIASA); Universite Paris Saclay; CEA; Centre National de la Recherche Scientifique (CNRS); National Institute for Environmental Studies - Japan; University of Hamburg; University of Gothenburg; Auburn University System; Auburn University; University of Cambridge</t>
  </si>
  <si>
    <t>Martin, MA (corresponding author), Leibniz Assoc, Potsdam Inst Climate Impact Res PIK, Potsdam, Germany.</t>
  </si>
  <si>
    <t>martin@pik-potsdam.de</t>
  </si>
  <si>
    <t>Sioen, Giles B./AFL-0351-2022; Rogelj, Joeri/I-7108-2012; Sterner, Thomas/AGZ-2537-2022; Spangenberg, Joachim H/AAN-4869-2020; Gettelman, Andrew/AAY-2312-2021; Hebden, Sophie/HTT-4563-2023; Brando, Paulo Monteiro/AAC-9396-2019; Stevens, Nicola/I-3004-2019; Sioen, Giles/JED-9121-2023; Redman, Aaron/F-9320-2015; Hirota, Marina/E-6058-2012; Mengis, Nadine/HLX-5330-2023; Bastos, Ana/G-2927-2013; Saunois, Marielle/JYP-5156-2024; Reid, Colleen E/M-4939-2019; Lorek, Sylvia/AAC-8837-2020; Bertram, Christoph/AAT-9651-2020; Rahmstorf, Stefan/A-8465-2010; Nolan, Rachael/R-8982-2019; Cleugh, Helen Adair/ITV-1297-2023; Donges, Jonathan F./HCI-2311-2022; Martin, Maria/IUN-0219-2023; Buchs, Milena/AAU-2581-2021; Engel, Andreas/E-3100-2014; Hebden, Sophie/JAO-0095-2023; Bustamante, Mercedes/GQZ-8625-2022; McCauley, Darren/GYJ-6924-2022; Chen, Deliang/A-5107-2013; Duarte Quesada, Carlos Manuel/ABD-6208-2021; Tian, Hanqin/A-6484-2012; Hebden, Sophie/N-6497-2015; Duarte, Carlos M./A-7670-2013</t>
  </si>
  <si>
    <t>Sioen, Giles B./0000-0001-5180-0663; Spangenberg, Joachim H/0000-0003-3816-2710; Brando, Paulo Monteiro/0000-0001-8952-7025; Stevens, Nicola/0000-0002-0693-8409; Redman, Aaron/0000-0002-8893-569X; Hirota, Marina/0000-0002-1958-3651; Mengis, Nadine/0000-0003-0312-7069; Bastos, Ana/0000-0002-7368-7806; Saunois, Marielle/0000-0003-3983-2931; Reid, Colleen E/0000-0001-8572-1162; Lorek, Sylvia/0000-0003-1518-9697; Bertram, Christoph/0000-0002-0933-4395; Rahmstorf, Stefan/0000-0001-6786-7723; Nolan, Rachael/0000-0001-9277-5142; Cleugh, Helen Adair/0000-0002-4109-6884; Buchs, Milena/0000-0001-6304-3196; Chen, Deliang/0000-0003-0288-5618; Bauer, Nico/0000-0002-0211-4162; Donkor, Felix Kwabena/0000-0001-6043-7659; McCauley, Darren/0000-0002-3951-1129; Tian, Hanqin/0000-0002-1806-4091; Matthews, Damon/0000-0003-3625-390X; Hebden, Sophie/0000-0003-1787-1649; Fisher, Eleanor/0000-0001-6042-6706; Edwards, Clea/0000-0002-4343-4904; Duarte, Carlos M./0000-0002-1213-1361; Golledge, Nicholas/0000-0001-7676-8970; Bowen, Kathryn/0000-0002-2125-1963; Duan, Hongbo/0000-0001-5143-4413</t>
  </si>
  <si>
    <t>Deutsche Forschungsgemeinschaft [Wl4556/3-1]; ERC Consolidation Grant GLASST; European Research Council Advanced Grant project ERA (Earth Resilience in the Anthropocene) [ERC-2016-ADG-743080]; European Space Agency; European Union [820575, 869304, 820989, 821471, 820829]; FORMAS; German Federal Ministry (BMBF); H2020 FirEUrisk [101003890]; H2020 JUSTNORTH; H2020 PROBONO; NWO; KR Foundation, Denmark; Leibniz Association project DominoES; Natural Sciences and Engineering Research Council of Canada [NSERC RGPIN-2021-02395, RGPIN-2017-04159]; National Science Foundation of China [71874177, 72022019]; NERC_Formas-DBT project 'Nature4SDGs' [BT/IN/TaSE/73/SL/2018-19]; New South Wales Department of Planning, via the NSW Bushfire Risk Management Research Hub; Oxford Martin School funding; PalMod project [FKZ: 01LP1925D]; Royal Society Te Aparangi [RDFVUW1501]; Serrapilheira Institute [Serra-1707-18983]; Swedish national priority research area BECC; Trapnell Fund (University of Oxford); UK Centre for Research on Energy Demand Solutions [EP/R035288/1]; Swedish national priority research area MERGE</t>
  </si>
  <si>
    <t>Deutsche Forschungsgemeinschaft(German Research Foundation (DFG)); ERC Consolidation Grant GLASST(European Research Council (ERC)); European Research Council Advanced Grant project ERA (Earth Resilience in the Anthropocene)(European Research Council (ERC)); European Space Agency(European Space Agency); European Union(European Union (EU)); FORMAS(Swedish Research Council Formas); German Federal Ministry (BMBF)(Federal Ministry of Education &amp; Research (BMBF)); H2020 FirEUrisk(Horizon 2020); H2020 JUSTNORTH(Horizon 2020); H2020 PROBONO(Horizon 2020); NWO(Netherlands Organization for Scientific Research (NWO)); KR Foundation, Denmark; Leibniz Association project DominoES; Natural Sciences and Engineering Research Council of Canada(Natural Sciences and Engineering Research Council of Canada (NSERC)CGIAR); National Science Foundation of China(National Natural Science Foundation of China (NSFC)); NERC_Formas-DBT project 'Nature4SDGs'(Swedish Research Council Formas); New South Wales Department of Planning, via the NSW Bushfire Risk Management Research Hub; Oxford Martin School funding; PalMod project; Royal Society Te Aparangi(Royal Society of New Zealand); Serrapilheira Institute; Swedish national priority research area BECC; Trapnell Fund (University of Oxford); UK Centre for Research on Energy Demand Solutions; Swedish national priority research area MERGE</t>
  </si>
  <si>
    <t>This work was supported by the Deutsche Forschungsgemeinschaft (R.W., grant number Wl4556/3-1); the ERC Consolidation Grant GLASST (J.W.); the European Research Council Advanced Grant project ERA (Earth Resilience in the Anthropocene) (J.F.D., grant number ERC-2016-ADG-743080); the European Space Agency (S.H.); the European Union's Horizon 2020 research and innovation programme (R.W., grant numbers 820575, 869304) (T.B., grant number 820989) (Joer.R., grant number 820829) (C.B., grant number 821471); FORMAS (T.B.); the German Federal Ministry (BMBF) as a Research for Sustainability initiative (FONA) (R.W); the H2020 FirEUrisk (K.T., grant number 101003890); the H2020 JUSTNORTH (D.M.); the H2020 PROBONO and NWO (D.M.); the KR Foundation, Denmark (L.S.); the Leibniz Association project DominoES (J.F.D.) (R.W.); the Natural Sciences and Engineering Research Council of Canada (H.K.L., grant number NSERC RGPIN-2021-02395) (H.D.M., grant number RGPIN-2017-04159); the National Science Foundation of China (H.D., grant numbers 71874177, 72022019); the NERC_Formas-DBT project `Nature4SDGs' (S.L., grant number BT/IN/TaSE/73/SL/2018-19); the New South Wales Department of Planning, via the NSW Bushfire Risk Management Research Hub (R.H.N.); the Oxford Martin School funding (C.G.); the PalMod project (R.W., grant number FKZ: 01LP1925D); the Royal Society Te Aparangi (N.R.G., grant number RDFVUW1501); the Serrapilheira Institute (M.H., grant number Serra-1707-18983); the Swedish national priority research areas BECC and MERGE (D.C.); the Trapnell Fund (University of Oxford) (N.S.); the UK Centre for Research on Energy Demand Solutions (M.B., grant number EP/R035288/1)</t>
  </si>
  <si>
    <t>2059-4798</t>
  </si>
  <si>
    <t>GLOB SUSTAIN</t>
  </si>
  <si>
    <t>Glob. Sustain.</t>
  </si>
  <si>
    <t>e25</t>
  </si>
  <si>
    <t>10.1017/sus.2021.25</t>
  </si>
  <si>
    <t>WW8VD</t>
  </si>
  <si>
    <t>WOS:000718186200001</t>
  </si>
  <si>
    <t>Kim, Y; Rho, T; Kang, DJ</t>
  </si>
  <si>
    <t>Kim, Yeseul; Rho, TaeKeun; Kang, Dong-Jin</t>
  </si>
  <si>
    <t>Oxygen isotope composition of seawater and salinity in the western Indian Ocean: Implications for water mass mixing</t>
  </si>
  <si>
    <t>Stable oxygen isotopes in water; Oxygen-18; Water mass mixing; Global seawater oxygen-18 database; Western Indian Ocean</t>
  </si>
  <si>
    <t>STABLE-ISOTOPES; DELTA-D; CIRCULATION; ANTARCTICA; SIGNATURES; BENGAL; BAY</t>
  </si>
  <si>
    <t>In this study, the quasi-meridional distribution of oxygen isotopes in seawater (delta O-18(sw)) and salinity were investigated to understand water mass mixing in the western Indian Ocean along the two transects 60 degrees E and 67 degrees E, and covering latitudinal ranges from 3 degrees S to 12 degrees S and 3 degrees S to 25 degrees S, respectively. We identified the water mass mixing using the relationship between delta O-18(sw) and salinity newly presented herein. Results show three linear mixing lines divided into three water layers on the delta O-18(sw) salinity diagram. A positive correlation associated with evaporation and precipitation was detected in the surface layer (&lt;100 m), while in the intermediate (100-1000 m) and deep (&gt;1000 m) layers, distinctive vertical mixing lines depending on the latitude were observed. Vertical mixing trends were discerned in the northern (Arabian Sea Surface Water [ASSW], Indian Deep Water [IDW], and Circumpolar Deep Water [CDW]), and southern (South Indian Subtropical Underwater [STUW], Antarctic Intermediate Water [AAIW], IDW, and CDW) areas of the study region. Based on a simple mixing model of conservative behaviors for delta O-18(sw) and salinity, we estimated the contribution of each of the five water masses in the western Indian Ocean. ASSW and STUW overlying the intermediate layer showed the highest contributions in the northern and southern areas of study region, respectively. In the intermediate layer, AAIW had the highest fraction in the southern area while IDW generally occupied the intermediate layer overlying CDW from north to south. Our estimations were similar to the results of published studies obtained in the western Indian Ocean, and the water mass fractions obtained in this study well reflected the presence of major water masses depending on latitude and depth.</t>
  </si>
  <si>
    <t>[Kim, Yeseul; Kang, Dong-Jin] Korea Inst Ocean Sci &amp; Technol KIOST, Marine Environm Res Ctr, Busan 49111, South Korea; [Kim, Yeseul; Kang, Dong-Jin] Univ Sci &amp; Technol UST, Dept Ocean Sci, Daejeon 34113, South Korea; [Rho, TaeKeun] Korea Inst Ocean Sci &amp; Technol KIOST, Instrumental Dev &amp; Management Ctr, Busan 49111, South Korea</t>
  </si>
  <si>
    <t>Korea Institute of Ocean Science &amp; Technology (KIOST); University of Science &amp; Technology (UST); Korea Institute of Ocean Science &amp; Technology (KIOST)</t>
  </si>
  <si>
    <t>Kang, DJ (corresponding author), Korea Inst Ocean Sci &amp; Technol KIOST, Marine Environm Res Ctr, Busan 49111, South Korea.</t>
  </si>
  <si>
    <t>djocean@kiost.ac.kr</t>
  </si>
  <si>
    <t>KIOST Indian Ocean Study (KIOS) [PE99912]</t>
  </si>
  <si>
    <t>KIOST Indian Ocean Study (KIOS)</t>
  </si>
  <si>
    <t>We would like to thank captain and all crew members of the R/V Isabu of the Korea Institute of Ocean Science and Technology (KIOST) for the assistance with sampling campaigns. This research was supported by KIOST Indian Ocean Study (KIOS), as part of Biogeochemical cycling and marine environmental change studies (PE99912).</t>
  </si>
  <si>
    <t>DEC 20</t>
  </si>
  <si>
    <t>10.1016/j.marchem.2021.104035</t>
  </si>
  <si>
    <t>WM5ZL</t>
  </si>
  <si>
    <t>WOS:000711163300001</t>
  </si>
  <si>
    <t>Lenz, M; Lenz, MM; Andreev, A; Scheidt, S; Gromig, R; Lebas, E; Fedorov, G; Krastel, S; Melles, M; Wagner, B</t>
  </si>
  <si>
    <t>Lenz, Matthias; Lenz, Marlene M.; Andreev, Andrei; Scheidt, Stephanie; Gromig, Raphael; Lebas, Elodie; Fedorov, Grigory; Krastel, Sebastian; Melles, Martin; Wagner, Bernd</t>
  </si>
  <si>
    <t>Climate and environmental history at Lake Levinson-Lessing, Taymyr Peninsula, during the last 62 kyr</t>
  </si>
  <si>
    <t>Arctic Russia; Lake Levinson-Lessing; multiproxy analyses; sediment record; Taymyr Peninsula</t>
  </si>
  <si>
    <t>POLAR URAL MOUNTAINS; ICE-MARGINAL ZONE; LATE PLEISTOCENE; ARCTIC RUSSIA; PALEOENVIRONMENTAL HISTORY; LEVEL FLUCTUATIONS; VEGETATION HISTORY; SEVERNAYA ZEMLYA; GLACIAL MAXIMUM; POLLEN RECORD</t>
  </si>
  <si>
    <t>The 45.95 m-long sediment succession shown in core Co1401 from Lake Levinson-Lessing allows the reconstruction of the largely unexplored environmental and climatic history of the Taymyr Peninsula of the past 62 kyr. The core was analysed with a multidisciplinary approach including lithological, granulometric, geochemical and pollen analyses. The proxy data indicate a relatively stable, herb-dominated environment with only subtle changes between a cold/wet late Marine Isotope Stage (MIS) 4 and early MIS 3, mild/dry middle and late MIS 3 and a cold/dry MIS 2. The absence of pronounced climate fluctuations demonstrates that the Lake Levinson-Lessing catchment was not covered by an ice sheet during this period. Changes in precipitation were likely caused by waxing and waning of the large Eurasian ice sheets outside of the Taymyr Peninsula, which changed the eastward moisture transport and atmospheric circulation patterns. MIS 1 at Lake Levinson-Lessing was associated with overall warmer and wetter conditions and short-term climate fluctuations during the Bolling-Allerod warming, Younger Dryas cooling and Preboreal transition, which indicates the influence of North Atlantic air masses.</t>
  </si>
  <si>
    <t>[Lenz, Matthias; Lenz, Marlene M.; Andreev, Andrei; Scheidt, Stephanie; Gromig, Raphael; Melles, Martin; Wagner, Bernd] Univ Cologne, Inst Geol &amp; Mineral, Cologne, Germany; [Andreev, Andrei] Alfred Wegener Inst Polar &amp; Marine Res, Res Unit Potsdam, Potsdam, Germany; [Andreev, Andrei] Kazan Fed Univ, Kazan, Russia; [Lebas, Elodie; Krastel, Sebastian] Univ Kiel, Inst Geosci, Kiel, Germany; [Lebas, Elodie] Univ Paris, Inst Phys Globe Paris, Paris, France; [Fedorov, Grigory] St Petersburg State Univ, St Petersburg, Russia; [Fedorov, Grigory] Arctic &amp; Antarctic Res Inst, St Petersburg, Russia</t>
  </si>
  <si>
    <t>University of Cologne; Helmholtz Association; Alfred Wegener Institute, Helmholtz Centre for Polar &amp; Marine Research; Kazan Federal University; University of Kiel; Universite Paris Cite; Saint Petersburg State University; Arctic &amp; Antarctic Research Institute</t>
  </si>
  <si>
    <t>Lenz, M (corresponding author), Univ Cologne, Inst Geol &amp; Mineral, Cologne, Germany.</t>
  </si>
  <si>
    <t>matthias.lenz@uni-koeln.de</t>
  </si>
  <si>
    <t>Wagner, Bernd/J-4682-2012; Melles, Martin/J-4070-2012; Fedorov, Grigory/N-5788-2019; Andreev, Andrei A/J-2701-2015; Krastel, Sebastian/C-2001-2017</t>
  </si>
  <si>
    <t>Wagner, Bernd/0000-0002-1369-7893; Melles, Martin/0000-0003-0977-9463; Fedorov, Grigory/0000-0003-2269-4501; Andreev, Andrei A/0000-0002-8745-9636; Krastel, Sebastian/0000-0002-5899-9748; Lebas, Elodie/0000-0003-1617-143X; Lenz (nee Baumer), Marlene Margit/0000-0002-5352-3900; Scheidt, Stephanie/0000-0002-9370-2700; Gromig, Raphael/0000-0001-9217-4259</t>
  </si>
  <si>
    <t>German Federal Ministry for Education and Research, BMBF [03G0859A, 03F0830A]; Russian Science Foundation [20-17-00135]; Projekt DEAL; Russian Science Foundation [20-17-00135] Funding Source: Russian Science Foundation</t>
  </si>
  <si>
    <t>German Federal Ministry for Education and Research, BMBF(Federal Ministry of Education &amp; Research (BMBF)); Russian Science Foundation(Russian Science Foundation (RSF)); Projekt DEAL; Russian Science Foundation(Russian Science Foundation (RSF))</t>
  </si>
  <si>
    <t>We are grateful to various colleagues from the University of Bergen and St. Petersburg State University for their expertise and logistical help during the coring campaign in spring 2017. We thank Nicole Mantke and Dorothea Klinghardt from the University of Cologne for assistance and help with the laboratory work. Financial support for this study was provided by the German Federal Ministry for Education and Research, BMBF, grant numbers 03G0859A ('PLOT-Project') and 03F0830A ('PLOT-Synthesis'). The work of A. Andreev was partly supported by the Russian Science Foundation, grant number 20-17-00135. The authors declare no conflicts of interest. All data will be accessible in the Pangaea data repository after publication. Open Access funding enabled and organized by Projekt DEAL.</t>
  </si>
  <si>
    <t>10.1002/jqs.3384</t>
  </si>
  <si>
    <t>WOS:000708132500001</t>
  </si>
  <si>
    <t>Znój, A; Gawor, J; Gromadka, R; Chwedorzewska, KJ; Grzesiak, J</t>
  </si>
  <si>
    <t>Znoj, Anna; Gawor, Jan; Gromadka, Robert; Chwedorzewska, Katarzyna J.; Grzesiak, Jakub</t>
  </si>
  <si>
    <t>Root-Associated Bacteria Community Characteristics of Antarctic Plants: Deschampsia antarctica and Colobanthus quitensis-a Comparison</t>
  </si>
  <si>
    <t>Functional symbiosis; Antarctic bacteria; Rhizosphere; Endosphere; Microbial diversity</t>
  </si>
  <si>
    <t>KING GEORGE ISLAND; VASCULAR PLANTS; RHIZOSPHERE MICROBIOME; GENETIC-VARIABILITY; MECHANISMS; NITROGEN; SOIL; ACCLIMATION; ECOSYSTEMS; TOLERANCE</t>
  </si>
  <si>
    <t>Colobanthus quitensis (Kunth) Bartl. and Deschampsia antarctica Desv. are the only Magnoliophyta to naturally colonize the Antarctic region. The reason for their sole presence in Antarctica is still debated as there is no definitive consensus on how only two unrelated flowering plants managed to establish breeding populations in this part of the world. In this study, we have explored and compared the rhizosphere and root-endosphere dwelling microbial community of C. quitensis and D. antarctica specimens sampled in maritime Antarctica from sites displaying contrasting edaphic characteristics. Bacterial phylogenetic diversity (high-throughput 16S rRNA gene fragment targeted sequencing) and microbial metabolic activity (Biolog EcoPlates) with a geochemical soil background were assessed. Gathered data showed that the microbiome of C. quitensis root system was mostly site-dependent, displaying different characteristics in each of the examined locations. This plant tolerated an active bacterial community only in severe conditions (salt stress and nutrient deprivation), while in other more favorable circumstances, it restricted microbial activity, with a possibility of microbivory-based nutrient acquisition. The microbial communities of D. antarctica showed a high degree of similarity between samples within a particular rhizocompartment. The grass' endosphere was significantly enriched in plant beneficial taxa of the family Rhizobiaceae, which displayed obligatory endophyte characteristics, suggesting that at least part of this community is transmitted vertically. Ultimately, the ecological success of C. quitensis and D. antarctica in Antarctica might be largely attributed to their associations and management of root-associated microbiota.</t>
  </si>
  <si>
    <t>[Znoj, Anna; Grzesiak, Jakub] Polish Acad Sci, Inst Biochem &amp; Biophys, Dept Antarctic Biol, Pawinskiego 5A, PL-02106 Warsaw, Poland; [Znoj, Anna] Polish Acad Sci, Bot Garden Ctr Biol Divers Conservat, Prawdziwka 2, PL-02973 Warsaw, Poland; [Gawor, Jan; Gromadka, Robert] Polish Acad Sci, Inst Biochem &amp; Biophys, Environm Lab DNA Sequencing &amp; Synth, Pawinskiego 5A, PL-02106 Warsaw, Poland; [Chwedorzewska, Katarzyna J.] Univ Life Sci SGGW, Dept Bot, Nowoursynowska 159, PL-02776 Warsaw, Poland</t>
  </si>
  <si>
    <t>Polish Academy of Sciences; Institute of Biochemistry &amp; Biophysics - Polish Academy of Sciences; Polish Academy of Sciences; Polish Academy of Sciences; Institute of Biochemistry &amp; Biophysics - Polish Academy of Sciences; Warsaw University of Life Sciences</t>
  </si>
  <si>
    <t>Grzesiak, J (corresponding author), Polish Acad Sci, Inst Biochem &amp; Biophys, Dept Antarctic Biol, Pawinskiego 5A, PL-02106 Warsaw, Poland.</t>
  </si>
  <si>
    <t>jgrzesiak@ibb.waw.pl</t>
  </si>
  <si>
    <t>Znój, Anna/AAX-3819-2021; Chwedorzewska, Katarzyna J/A-9480-2008; Chwedorzewska, Katarzyna/M-9721-2019</t>
  </si>
  <si>
    <t>Znój, Anna/0000-0002-8424-6707; Chwedorzewska, Katarzyna/0000-0001-6860-3666; Gawor, Jan/0000-0003-3800-2557; Grzesiak, Jakub/0000-0001-5972-2356</t>
  </si>
  <si>
    <t>National Science Center, Poland [2016/21/N/NZ9/01536]</t>
  </si>
  <si>
    <t>National Science Center, Poland(National Science Centre, Poland)</t>
  </si>
  <si>
    <t>This work was supported by the National Science Center, Poland (Grant 2016/21/N/NZ9/01536).</t>
  </si>
  <si>
    <t>OCT</t>
  </si>
  <si>
    <t>10.1007/s00248-021-01891-9</t>
  </si>
  <si>
    <t>5V2AC</t>
  </si>
  <si>
    <t>WOS:000708321000001</t>
  </si>
  <si>
    <t>Machado, R; Perez, MS; Arús, BA; de Lima, RC; Botta, S; Valiati, VH; Oliveira, LR; Carlos, CJ</t>
  </si>
  <si>
    <t>Machado, Rodrigo; Perez, Martin Sucunza; Arus, Bernardo A.; de Lima, Renan C.; Botta, Silvina; Valiati, Victor Hugo; Oliveira, Larissa R.; Carlos, Caio J.</t>
  </si>
  <si>
    <t>Penguin predation by extra-limital sub-Antarctic fur seals Arctocephalus tropicalis</t>
  </si>
  <si>
    <t>Brazilian coast; Vagrant fur seals; Penguin predation; Seabird predation; Spheniscus magellanicus</t>
  </si>
  <si>
    <t>COAST; GAZELLA</t>
  </si>
  <si>
    <t>Sub-Antarctic fur seals, Arctocephalus tropicalis, are widely distributed in the southern hemisphere, breeding on islands north of the Antarctic Convergence in the South Atlantic, South Indian, and Southwestern Pacific Oceans. At their breeding grounds, sub-Antarctic fur seals feed on a variety of fish, cephalopods, crustaceans, and occasionally, on penguins. According to the literature, the species feeds mainly on squid and fish, in the southern Brazilian coast, during the non-breeding period and far away from its breeding colonies. Here, we present records of predation on penguins by sub-Antarctic fur seals off southern Brazilian coast (29 degrees 20 ' S, 49 degrees 43 ' W to 33 degrees 44 ' S, 53 degrees 22 ' W). We examined the gastrointestinal contents of 61 sub-Antarctic fur seals collected from 1987 to 2019. Remaining of penguins were found in the gastrointestinal tracts of three adult males (4.9%). We identified feathers, and other bird parts by comparing them specimens from scientific collections and illustrations in the literature. Seabirds found in the gastrointestinal tracts of the three sub-Antarctic fur seals were most probably Magellanic Penguins, Spheniscus magellanicus. To our knowledge, this is the first study reporting predation on penguins by sub-Antarctic fur seals far from their breeding colonies. Although penguins are not among the main prey of sub-Antarctic fur seals, our results suggest that they occasionally feed on penguins during the non-breeding period along the southern coast of Brazil.</t>
  </si>
  <si>
    <t>[Machado, Rodrigo; Perez, Martin Sucunza; Oliveira, Larissa R.] Grp Estudos Mamiferos Aquat Rio Grande Sul GEMARS, BR-95560000 Torres, RS, Brazil; [Machado, Rodrigo] Univ Extremo Sul Catarinense UNESC, Lab Zool &amp; Ecol Vertebrados LABZEV, BR-88806000 Criciuma, SC, Brazil; [Machado, Rodrigo] Univ Extremo Sul Catarinense UNESC, Museu Zool Prof Morgana Cirimbelli Gaidzinski, BR-88806000 Criciuma, SC, Brazil; [Arus, Bernardo A.] Univ Fed Rio Grande Do Sul UFRGS, Ctr Estudos Costeiros Limnol &amp; Marinhos CECLIMAR, BR-95625000 Imbe, RS, Brazil; [de Lima, Renan C.; Botta, Silvina] Univ Fed Rio Grande FURG, Inst Oceanog, Lab Ecol &amp; Conservacao Megafauna Marinha ECOMEGA, BR-96201900 Rio Grande, RS, Brazil; [Valiati, Victor Hugo] Univ Vale Rio Sinos UNISINOS, Ctr Ciencias Saude, Lab Genet &amp; Biol Mol, BR-93022000 Sao Leopoldo, RS, Brazil; [Oliveira, Larissa R.] Univ Vale Rio Sinos UNISINOS, Lab Ecol Mamiferos, BR-93022000 Sao Leopoldo, RS, Brazil; [Carlos, Caio J.] Univ Fed Rio Grande Do Sul, Dept Zool, Lab Sistemat &amp; Ecol Aves &amp; Mamiferos Marinhos, BR-91501970 Porto Alegre, RS, Brazil</t>
  </si>
  <si>
    <t>Universidade do Extremo Sul Catarinense; Universidade do Extremo Sul Catarinense; Universidade Federal do Rio Grande do Sul; Universidade Federal do Rio Grande; Universidade do Vale do Rio dos Sinos (Unisinos); Universidade Federal do Rio Grande do Sul</t>
  </si>
  <si>
    <t>Machado, R (corresponding author), Grp Estudos Mamiferos Aquat Rio Grande Sul GEMARS, BR-95560000 Torres, RS, Brazil.</t>
  </si>
  <si>
    <t>ecomachado@gmail.com</t>
  </si>
  <si>
    <t>Valiati, Victor Hugo/I-4785-2012; Lima, Renan/ISS-9775-2023; Carlos, Caio J/G-4345-2010</t>
  </si>
  <si>
    <t>Lima, Renan/0000-0002-9311-7085; Arus, Bernardo/0000-0001-6132-7793; Valiati, Victor Hugo/0000-0002-4467-4547; Carlos, Caio J./0000-0001-9071-1444; Botta, Silvina/0000-0001-6219-6932</t>
  </si>
  <si>
    <t>CoordenacAo de Aperfeicoamento Pessoal de Nivel Superior-CAPES; Fundo Nacional do Meio Ambiente-FNMA-MMA; Conselho Nacional de Desenvolvimento Cientifico e Tecnologico; CoordenacAo de Aperfeicoamento de Pessoal de Nivel Superior-(PNPD/PPGDS/UNESC), Brazilian Government; National Council for Technological and Scientific Development and Technological [CNPq-PQ 315365/2020-0]</t>
  </si>
  <si>
    <t>CoordenacAo de Aperfeicoamento Pessoal de Nivel Superior-CAPES(Coordenacao de Aperfeicoamento de Pessoal de Nivel Superior (CAPES)); Fundo Nacional do Meio Ambiente-FNMA-MMA; Conselho Nacional de Desenvolvimento Cientifico e Tecnologico(Conselho Nacional de Desenvolvimento Cientifico e Tecnologico (CNPQ)); CoordenacAo de Aperfeicoamento de Pessoal de Nivel Superior-(PNPD/PPGDS/UNESC), Brazilian Government; National Council for Technological and Scientific Development and Technological</t>
  </si>
  <si>
    <t>We thank all our colleagues of the Grupo de Estudos de Mamiferos Aquaticos do Rio Grande do Sul (GEMARS) and Laboratorio de Ecologia e ConservacAo da Megafauna Marinha (ECOMEGA-IO-FURG) for their help during the necropsies and specimen collection, especially Thaise Lima de Albernaz. We thank Mauricio Tavares of the loan from specimens stored in the Museu de Ciencias Naturais da Universidade Federal do Rio Grande do Sul (MUCIN/UFRGS). We are grateful to Vinicius Catto de Cardia (Floresta Cartografia e Meio Ambiente), who kindly helped us with map preparation. This paper is part of the PhD thesis of R.M. in the Programa de Pos-GraduacAo em Biologia Animal in UFRGS. This work was supported by the CoordenacAo de Aperfeicoamento Pessoal de Nivel Superior-CAPES (doctoral grant to R.M.); Fundo Nacional do Meio Ambiente-FNMA-MMA; and Conselho Nacional de Desenvolvimento Cientifico e Tecnologico. Currently, R.M. receives a postdoctoral grant from CoordenacAo de Aperfeicoamento de Pessoal de Nivel Superior-(PNPD/PPGDS/UNESC), Brazilian Government and SB receives a grant from the National Council for Technological and Scientific Development and Technological (CNPq-PQ 315365/2020-0). Finally, we also thank Marthan N. Bester and Nicholas W. Daudt for their comments and suggestions that helped improve the final version of the text.</t>
  </si>
  <si>
    <t>10.1007/s00300-021-02956-8</t>
  </si>
  <si>
    <t>WOS:000708370700001</t>
  </si>
  <si>
    <t>Crick, L; Burke, A; Hutchison, W; Kohno, M; Moore, KA; Savarino, J; Doyle, EA; Mahony, S; Kipfstuhl, S; Rae, JWB; Steele, RCJ; Sparks, RSJ; Wolff, EW</t>
  </si>
  <si>
    <t>Crick, Laura; Burke, Andrea; Hutchison, William; Kohno, Mika; Moore, Kathryn A.; Savarino, Joel; Doyle, Emily A.; Mahony, Sue; Kipfstuhl, Sepp; Rae, James W. B.; Steele, Robert C. J.; Sparks, R. Stephen J.; Wolff, Eric W.</t>
  </si>
  <si>
    <t>New insights into the ∼74 ka Toba eruption from sulfur isotopes of polar ice cores</t>
  </si>
  <si>
    <t>ABRUPT CLIMATE-CHANGE; ANTARCTIC ICE; VOLCANIC-ERUPTIONS; CHRONOLOGY AICC2012; HOMININ OCCUPATION; 40AR/39AR AGE; EAST-AFRICA; LAKE MALAWI; TEPHRA; GREENLAND</t>
  </si>
  <si>
    <t>The similar to 74 ka Toba eruption was one of the largest volcanic events of the Quaternary. There is much interest in determining the impact of such a large event, particularly on the climate and hominid populations at the time. Although the Toba eruption has been identified in both land and marine archives as the Youngest Toba Tuff, its precise place in the ice core record is ambiguous. Several volcanic sulfate signals have been identified in both Antarctic and Greenland ice cores and span the Toba eruption 40Ar/39Ar age uncertainty. Here, we measure sulfur isotope compositions in Antarctic ice samples from the Dome C (EDC) and Dronning Maud Land (EDML) ice cores at high temporal resolution across 11 of these potential Toba sulfate peaks to identify candidates with sulfur mass-independent fractionation (S-MIF), indicative of an eruption whose plume reached altitudes at or above the stratospheric ozone layer. Using this method, we identify several candidate sulfate peaks that contain stratospheric sulfur. We further narrow down potential candidates based on the isotope signatures by identifying sulfate peaks that are due to a volcanic event at tropical latitudes. In one of these sulfate peaks at 73.67 ka, we find the largest ever reported magnitude of S-MIF in volcanic sulfate in polar ice, with a Delta 33S value of -4.75 parts per thousand. As there is a positive correlation between the magnitude of the S-MIF signal recorded in ice cores and eruptive plume height, this could be a likely candidate for the Toba super-eruption, with a plume top height in excess of 45 km. These results support the 73.7 +/- 0.3 ka (1 sigma) 40Ar/39Ar age estimate for the eruption, with ice core ages of our candidates with the largest magnitude S-MIF at 73.67 and 73.74 ka. Finally, since these candidate eruptions occurred on the transition into Greenland Stadial 20, the relative timing suggests that Toba was not the trigger for the large Northern Hemisphere cooling at this time although we cannot rule out an amplifying effect.</t>
  </si>
  <si>
    <t>[Crick, Laura; Burke, Andrea; Hutchison, William; Rae, James W. B.; Steele, Robert C. J.] Univ St Andrews, Sch Earth &amp; Environm Sci, St Andrews, Fife, Scotland; [Kohno, Mika] Georg August Univ Gottingen, Dept Geochem, Geosci Ctr GZG, Gottingen, Germany; [Moore, Kathryn A.] Colorado State Univ, Dept Atmospher Sci, Ft Collins, CO 80523 USA; [Savarino, Joel] Inst Geosci Environm, Grenoble, France; [Doyle, Emily A.; Wolff, Eric W.] Univ Cambridge, Dept Earth Sci, Cambridge, England; [Mahony, Sue; Sparks, R. Stephen J.] Univ Bristol, Sch Earth Sci, Bristol, Avon, England; [Kipfstuhl, Sepp] Alfred Wegener Inst, Bremerhaven, Germany</t>
  </si>
  <si>
    <t>University of St Andrews; University of Gottingen; Colorado State University; University of Cambridge; University of Bristol; Helmholtz Association; Alfred Wegener Institute, Helmholtz Centre for Polar &amp; Marine Research</t>
  </si>
  <si>
    <t>Crick, L (corresponding author), Univ St Andrews, Sch Earth &amp; Environm Sci, St Andrews, Fife, Scotland.</t>
  </si>
  <si>
    <t>lc258@st-andrews.ac.uk</t>
  </si>
  <si>
    <t>Wolff, Eric W/D-7925-2014; IPO, PAGES/JXY-7546-2024; Rae, James/R-3812-2017; savarino, joel/H-9730-2012</t>
  </si>
  <si>
    <t>Wolff, Eric W/0000-0002-5914-8531; Crick, Laura/0000-0003-1843-4678; Steele, Robert/0000-0003-1406-6855; Burke, Andrea/0000-0002-3754-1498; Rae, James/0000-0003-3904-2526; savarino, joel/0000-0002-6708-9623</t>
  </si>
  <si>
    <t>University of St Andrews St Leonards 7th Century Scholarship [-117THCENT01]; IAPETUS Natural Environment Research Council Doctoral Training Partnership; European Research Council (ERC) Marie Curie Career Integration Grant [CIG14-631752]; NERC Strategic Environmental Science Capital Call [CC082]; UKRI Future Leaders Fellowship [MR/S033505/1]; DFG [Wo 362/32-1, Wo 362/46-1, Wo 362/46-2]; Leverhulme Grant [RPG-2015-246]; Leverhulme Emeritus Fellowship [EM-2018-050]; Royal Society; FLF [MR/S033505/1] Funding Source: UKRI</t>
  </si>
  <si>
    <t>University of St Andrews St Leonards 7th Century Scholarship; IAPETUS Natural Environment Research Council Doctoral Training Partnership; European Research Council (ERC) Marie Curie Career Integration Grant(European Research Council (ERC)); NERC Strategic Environmental Science Capital Call; UKRI Future Leaders Fellowship(UK Research &amp; Innovation (UKRI)); DFG(German Research Foundation (DFG)); Leverhulme Grant(Leverhulme Trust); Leverhulme Emeritus Fellowship(Leverhulme Trust); Royal Society(Royal Society); FLF</t>
  </si>
  <si>
    <t>Laura Crick is funded by the University of St Andrews St Leonards 7th Century Scholarship (-117THCENT01) in partnership with the IAPETUS Natural Environment Research Council Doctoral Training Partnership. Andrea Burke is funded by a European Research Council (ERC) Marie Curie Career Integration Grant (CIG14-631752) and NERC Strategic Environmental Science Capital Call (CC082). William Hutchison is funded by a UKRI Future Leaders Fellowship (MR/S033505/1). Mika Kohno was funded through DFG-Project Wo 362/32-1 and Wo 362/46-1,2 to Gerhard Worner at GZG, University of Gottingen. R. Stephen J. Sparks is funded by a Leverhulme Grant (RPG-2015-246) and Leverhulme Emeritus Fellowship (EM-2018-050), and Eric W. Wolff is funded by a Royal Society Professorship.</t>
  </si>
  <si>
    <t>10.5194/cp-17-2119-2021</t>
  </si>
  <si>
    <t>WK0ON</t>
  </si>
  <si>
    <t>WOS:000709434600001</t>
  </si>
  <si>
    <t>Zwerschke, N; Sands, CJ; Roman-Gonzalez, A; Barnes, DKA; Guzzi, A; Jenkins, S; Munoz-Ramirez, C; Scourse, J</t>
  </si>
  <si>
    <t>Zwerschke, Nadescha; Sands, Chester J.; Roman-Gonzalez, Alejandro; Barnes, David K. A.; Guzzi, Alice; Jenkins, Stuart; Munoz-Ramirez, Carlos; Scourse, James</t>
  </si>
  <si>
    <t>Quantification of blue carbon pathways contributing to negative feedback on climate change following glacier retreat in West Antarctic fjords</t>
  </si>
  <si>
    <t>Benthic-Pelagic coupling; Benthos; carbon standing stock; carbon storage; fjords; global warming; polar; sequestration</t>
  </si>
  <si>
    <t>ORGANIC-CARBON; MARINE-SEDIMENTS; VERTICAL-DISTRIBUTION; PENINSULA; MATTER; SEA; ASSEMBLAGES; INFAUNA; ISLAND; EXPORT</t>
  </si>
  <si>
    <t>Global warming is causing significant losses of marine ice around the polar regions. In Antarctica, the retreat of tidewater glaciers is opening up novel, low-energy habitats (fjords) that have the potential to provide a negative feedback loop to climate change. These fjords are being colonized by organisms on and within the sediment and act as a sink for particulate matter. So far, blue carbon potential in Antarctic habitats has mainly been estimated using epifaunal megazoobenthos (although some studies have also considered macrozoobenthos). We investigated two further pathways of carbon storage and potential sequestration by measuring the concentration of carbon of infaunal macrozoobenthos and total organic carbon (TOC) deposited in the sediment. We took samples along a temporal gradient since time of last glacier ice cover (1-1000 years) at three fjords along the West Antarctic Peninsula. We tested the hypothesis that seabed carbon standing stock would be mainly driven by time since last glacier covered. However, results showed this to be much more complex. Infauna were highly variable over this temporal gradient and showed similar total mass of carbon standing stock per m(2) as literature estimates of Antarctic epifauna. TOC mass in the sediment, however, was an order of magnitude greater than stocks of infaunal and epifaunal carbon and increased with time since last ice cover. Thus, blue carbon stocks and recent gains around Antarctica are likely much higher than previously estimated as is their negative feedback on climate change.</t>
  </si>
  <si>
    <t>[Zwerschke, Nadescha; Sands, Chester J.; Barnes, David K. A.] British Antarctic Survey, Madingley Rd, Cambridge CB3 0ET, England; [Zwerschke, Nadescha] Joint Nat Conservat Comm, Aberdeen, Scotland; [Roman-Gonzalez, Alejandro; Scourse, James] Exeter Univ, Penryn, Cornwall, England; [Guzzi, Alice] Univ Siena, Dept Phys Sci Earth &amp; Environm DSFTA, Siena, Italy; [Guzzi, Alice] Italian Natl Antarctic Museum MNA, Sect Genoa, Genoa, Italy; [Jenkins, Stuart] Bangor Univ, Sch Ocean Sci, Bangor, Gwynedd, Wales; [Munoz-Ramirez, Carlos] Univ Metropolitana Ciencias Educ, Inst Entomol, Santiago, Chile</t>
  </si>
  <si>
    <t>UK Research &amp; Innovation (UKRI); Natural Environment Research Council (NERC); NERC British Antarctic Survey; University of Siena; Bangor University; Universidad Metropolitana de Ciencias de la Educacion (UMCE)</t>
  </si>
  <si>
    <t>Zwerschke, N (corresponding author), British Antarctic Survey, Madingley Rd, Cambridge CB3 0ET, England.</t>
  </si>
  <si>
    <t>nzwerschke01@qub.ac.uk</t>
  </si>
  <si>
    <t>Muñoz-Ramirez, Carlos/F-8969-2012</t>
  </si>
  <si>
    <t>Muñoz-Ramirez, Carlos/0000-0003-1348-5476; Barnes, David/0000-0002-9076-7867; Zwerschke, Nadescha/0000-0003-4099-8269; Sands, Chester/0000-0003-1028-0328; Guzzi, Alice/0000-0001-8066-9158; Roman Gonzalez, Alejandro/0000-0002-0801-3768</t>
  </si>
  <si>
    <t>Natural Environment Research Council [NE/P003087/1]; Chilean governments Superior Councils for Science and Technological Development FONDECYT [3180331]; NERC [NE/P003087/1, bas0100036, NE/P003060/1] Funding Source: UKRI</t>
  </si>
  <si>
    <t>Natural Environment Research Council(UK Research &amp; Innovation (UKRI)Natural Environment Research Council (NERC)); Chilean governments Superior Councils for Science and Technological Development FONDECYT; NERC(UK Research &amp; Innovation (UKRI)Natural Environment Research Council (NERC))</t>
  </si>
  <si>
    <t>Natural Environment Research Council, Grant/Award Number: NE/P003087/1; Chilean governments Superior Councils for Science and Technological Development FONDECYT, Grant/Award Number: 3180331</t>
  </si>
  <si>
    <t>10.1111/gcb.15898</t>
  </si>
  <si>
    <t>WOS:000707941400001</t>
  </si>
  <si>
    <t>Al-Shalan, A; Lowry, D; Fisher, RE; Nisbet, EG; Zazzeri, G; Al-Sarawi, M; France, JL</t>
  </si>
  <si>
    <t>Al-Shalan, A.; Lowry, D.; Fisher, R. E.; Nisbet, E. G.; Zazzeri, G.; Al-Sarawi, M.; France, J. L.</t>
  </si>
  <si>
    <t>Methane emissions in Kuwait: Plume identification, isotopic characterisation and inventory verification</t>
  </si>
  <si>
    <t>ATMOSPHERIC ENVIRONMENT</t>
  </si>
  <si>
    <t>Plume mapping; Carbon isotopes; Landfill sites; Emissions inventory</t>
  </si>
  <si>
    <t>ATMOSPHERIC CARBON-DIOXIDE; ABUNDANCES; OXIDATION; LANDFILLS; GROWTH; BUDGET; SITE; OIL</t>
  </si>
  <si>
    <t>The distribution of methane sources in Kuwait was mapped through mobile vehicle surveying of methane mole fraction, and by collection of air samples at source for subsequent isotopic analysis. Mobile plume identification and isotopic analysis, reveals that by far the largest observed source of methane in Kuwait is from landfill sites (delta C-13(CH4) of -58 parts per thousand), with smaller contributions from fossil fuel industry (-50 parts per thousand), wastewater treatment (-49 parts per thousand) and ruminant animals (sheep-64 parts per thousand, cows, -62 parts per thousand, camels-60 parts per thousand). Regular weekly air samples were collected over two years from three sites in Kuwait, one NW of the city, one to the SE and one in the city from the rooftop of the Kuwait College of Science. Associated with higher mole fraction is a consistent depletion in C-13 of methane, pointing to a national source mix with delta C-13(CH4) of -55.9 parts per thousand. This is significantly different from calculations using EDGAR v.5 inventory that suggest a source mix of-52.8 parts per thousand. Diurnal campaigns from a city location confirm that the sources are dominantly biogenic (-59 to -56 parts per thousand) in and around the urban areas. The EDGAR 5.0 inventory suggests that the dominant sources of methane in Kuwait are leaks from gas flaring and fossil fuel distribution, with additional smaller emissions from landfills, sewage (wastewater) treatment and ruminant animals, but with a waste component increasing relative to fossil fuel emissions in recent decades. Measurements during 2015 and 2016 suggest that for all but the far south and SW of the country which is not in the meteorological footprint of fixed site or mobile measurement, there is a dominant waste source and much smaller observed proportion from fossil fuel activities. This research demonstrates for the first time in Kuwait that continuous mobile measurements for plume identification coupled with high-precision isotopic analysis using CF-GC-IRMS (Continuous Flow Gas Chromatography-Isotope Ratio Mass Spectrometry) is an effective way of identifying methane sources and understanding their relative contributions. To unambiguously quantify relative contributions will require further work, particularly in the SW region of the country, utilizing aircraft and/or satellite retrievals. The results of this research will contribute to understanding the methane budget of this poorly studied region.</t>
  </si>
  <si>
    <t>[Al-Shalan, A.; Lowry, D.; Fisher, R. E.; Nisbet, E. G.; France, J. L.] Univ London, Dept Earth Sci, Royal Holloway, Egham TW20 0EX, Surrey, England; [Zazzeri, G.] Imperial Coll London, Dept Phys, London SW7 2BW, England; [Al-Sarawi, M.] Kuwait Univ, Coll Sci, Dept Earth &amp; Environm Sci, POB 5969, Safat 13060, Kuwait; [France, J. L.] British Antarctic Survey, Madingley Rd, Cambridge CB3 0ET, England</t>
  </si>
  <si>
    <t>University of London; Royal Holloway University London; Imperial College London; Kuwait University; UK Research &amp; Innovation (UKRI); Natural Environment Research Council (NERC); NERC British Antarctic Survey</t>
  </si>
  <si>
    <t>Al-Shalan, A (corresponding author), Univ London, Dept Earth Sci, Royal Holloway, Egham TW20 0EX, Surrey, England.</t>
  </si>
  <si>
    <t>Aliah.Alshalan.2014@live.rhul.ac.uk</t>
  </si>
  <si>
    <t>Lowry, David/JCE-0619-2023; Fisher, Rebecca/AAA-5352-2022; France, James L/L-9719-2015; Lowry, David/GXG-1235-2022</t>
  </si>
  <si>
    <t>LOWRY, DAVID/0000-0002-8535-0346; Zazzeri, Giulia/0000-0002-7297-5670; Fisher, Rebecca/0000-0002-9262-5467</t>
  </si>
  <si>
    <t>Kuwait Foundation for the Advancement of Sciences (KFAS) [P115-64SC-01]; UK National Environment Research Council [NE/P019641/1, NE/N016238/1]; NERC [NE/P019641/1, NE/N016238/1] Funding Source: UKRI</t>
  </si>
  <si>
    <t>Kuwait Foundation for the Advancement of Sciences (KFAS)(Kuwait Foundation for the Advancement of Sciences (KFAS)); UK National Environment Research Council(UK Research &amp; Innovation (UKRI)Natural Environment Research Council (NERC)); NERC(UK Research &amp; Innovation (UKRI)Natural Environment Research Council (NERC))</t>
  </si>
  <si>
    <t>This research forms part of the PhD thesis of A. Al-Shalan. The project was partially funded by the Kuwait Foundation for the Advancement of Sciences (KFAS) under project code P115-64SC-01, which covered the Kuwait campaign survey, regular sampling, and analytical costs. UK investigators working on data analysis were sup-ported by two UK National Environment Research Council Projects, NE/P019641/1 New methodologies for removal of methane and NE/N016238/1 MOYA the Global Methane Budget 2016-2020. Eng.Salah Al-Ansari, the acting director of the Meteorological department, Direc-torate General Civil Aviation of Kuwait State, and Dr. Hassan Aldashti, climatology superintendent, are thanked for producing the wind roses in the supplementary information.</t>
  </si>
  <si>
    <t>1352-2310</t>
  </si>
  <si>
    <t>1873-2844</t>
  </si>
  <si>
    <t>ATMOS ENVIRON</t>
  </si>
  <si>
    <t>Atmos. Environ.</t>
  </si>
  <si>
    <t>10.1016/j.atmosenv.2021.118763</t>
  </si>
  <si>
    <t>WS3AM</t>
  </si>
  <si>
    <t>WOS:000715057900002</t>
  </si>
  <si>
    <t>Teng, ZJ; Qin, QL; Zhang, WP; Li, J; Fu, HH; Wang, P; Lan, MS; Lu, GF; He, JF; McMinn, A; Wang, M; Chen, XL; Zhang, YZ; Chen, Y; Li, CY</t>
  </si>
  <si>
    <t>Teng, Zhao-Jie; Qin, Qi-Long; Zhang, Weipeng; Li, Jian; Fu, Hui-Hui; Wang, Peng; Lan, Musheng; Lu, Guangfu; He, Jianfeng; McMinn, Andrew; Wang, Min; Chen, Xiu-Lan; Zhang, Yu-Zhong; Chen, Yin; Li, Chun-Yang</t>
  </si>
  <si>
    <t>Biogeographic traits of dimethyl sulfide and dimethylsulfoniopropionate cycling in polar oceans</t>
  </si>
  <si>
    <t>Polar oceans; DMS; DMSP cycling; Geographic distribution; Phylogenetic diversity</t>
  </si>
  <si>
    <t>PARTICULATE DIMETHYLSULFOXIDE; DEPENDENT DEMETHYLASE; MISSING LINK; DMSP; DIMETHYLSULPHONIOPROPIONATE; LYASE; SEA; REDUCTASE; MECHANISM; COASTAL</t>
  </si>
  <si>
    <t>Background: Dimethyl sulfide (DMS) is the dominant volatile organic sulfur in global oceans. The predominant source of oceanic DMS is the cleavage of dimethylsulfoniopropionate (DMSP), which can be produced by marine bacteria and phytoplankton. Polar oceans, which represent about one fifth of Earth's surface, contribute significantly to the global oceanic DMS sea-air flux. However, a global overview of DMS and DMSP cycling in polar oceans is still lacking and the key genes and the microbial assemblages involved in DMSP/DMS transformation remain to be fully unveiled. Results: Here, we systematically investigated the biogeographic traits of 16 key microbial enzymes involved in DMS/DMSP cycling in 60 metagenomic samples from polar waters, together with 174 metagenome and 151 metatranscriptomes from non-polar Tara Ocean dataset. Our analyses suggest that intense DMS/DMSP cycling occurs in the polar oceans. DMSP demethylase (DmdA), DMSP lyases (DddD, DddP, and DddK), and trimethylamine monooxygenase (Tmm, which oxidizes DMS to dimethylsulfoxide) were the most prevalent bacterial genes involved in global DMS/DMSP cycling. Alphaproteobacteria (Pelagibacterales) and Gammaproteobacteria appear to play prominent roles in DMS/DMSP cycling in polar oceans. The phenomenon that multiple DMS/DMSP cycling genes co-occurred in the same bacterial genome was also observed in metagenome assembled genomes (MAGs) from polar oceans. The microbial assemblages from the polar oceans were significantly correlated with water depth rather than geographic distance, suggesting the differences of habitats between surface and deep waters rather than dispersal limitation are the key factors shaping microbial assemblages involved in DMS/DMSP cycling in polar oceans. Conclusions: Overall, this study provides a global overview of the biogeographic traits of known bacterial genes involved in DMS/DMSP cycling from the Arctic and Antarctic oceans, laying a solid foundation for further studies of DMS/DMSP cycling in polar ocean microbiome at the enzymatic, metabolic, and processual levels.</t>
  </si>
  <si>
    <t>[Teng, Zhao-Jie; Qin, Qi-Long; Li, Jian; Zhang, Yu-Zhong] Shandong Univ, State Key Lab Microbial Technol, Marine Biotechnol Res Ctr, Qingdao 266237, Peoples R China; [Zhang, Weipeng; Fu, Hui-Hui; Wang, Peng; Wang, Min; Chen, Xiu-Lan; Zhang, Yu-Zhong; Chen, Yin; Li, Chun-Yang] Ocean Univ China, Coll Marine Life Sci, Inst Adv Ocean Study, Qingdao 266003, Peoples R China; [Fu, Hui-Hui; Wang, Peng; Chen, Xiu-Lan; Zhang, Yu-Zhong; Li, Chun-Yang] Pilot Natl Lab Marine Sci &amp; Technol Qingdao, Lab Marine Biol &amp; Biotechnol, Qingdao 266373, Peoples R China; [Lan, Musheng; Lu, Guangfu; He, Jianfeng] Polar Res Inst China, Key Lab Polar Sci MNR, Shanghai 200136, Peoples R China; [McMinn, Andrew] Univ Tasmania, Inst Marine &amp; Antarctic Studies, Hobart, Tas, Australia; [Chen, Yin] Univ Warwick, Sch Life Sci, Coventry, W Midlands, England</t>
  </si>
  <si>
    <t>Chen, Y; Li, CY (corresponding author), Ocean Univ China, Coll Marine Life Sci, Inst Adv Ocean Study, Qingdao 266003, Peoples R China.;Li, CY (corresponding author), Pilot Natl Lab Marine Sci &amp; Technol Qingdao, Lab Marine Biol &amp; Biotechnol, Qingdao 266373, Peoples R China.;Chen, Y (corresponding author), Univ Warwick, Sch Life Sci, Coventry, W Midlands, England.</t>
  </si>
  <si>
    <t>Li, Chun-Yang/JBS-2194-2023; zheng, xin/JNS-5523-2023; Wang, Min/AFR-9645-2022</t>
  </si>
  <si>
    <t>Li, Chun-Yang/0000-0002-1151-4897; Wang, Min/0000-0002-2357-589X; Chen, Yin/0000-0002-0367-4276; Wang, Peng/0000-0002-4983-9953; , Zhaojie Teng/0000-0002-8273-5697</t>
  </si>
  <si>
    <t>National Key Research and Development Program of China [2016YFA0601303, 2018YFC1406700]; National Science Foundation of China [91851205, 31630012, U1706207, 42076229, 31870052, 31800107, 91751101, 41706152, 41676180]; Fundamental Research Funds for the Central Universities [202172002]; Major Scientific and Technological Innovation Project (MSTIP) of Shandong Province [2019JZZY010817]; Program of Shandong for Taishan Scholars [tspd20181203]; Qingdao National Laboratory for Marine Science and Technology [2017ASTCP-OS14, QNLM2016ORP0310]</t>
  </si>
  <si>
    <t>National Key Research and Development Program of China; National Science Foundation of China(National Natural Science Foundation of China (NSFC)); Fundamental Research Funds for the Central Universities(Fundamental Research Funds for the Central Universities); Major Scientific and Technological Innovation Project (MSTIP) of Shandong Province; Program of Shandong for Taishan Scholars; Qingdao National Laboratory for Marine Science and Technology</t>
  </si>
  <si>
    <t>This work was supported by the National Key Research and Development Program of China (2016YFA0601303, 2018YFC1406700), the National Science Foundation of China (grants 91851205, 31630012, U1706207, 42076229, 31870052, 31800107, 91751101, 41706152, and 41676180), the Fundamental Research Funds for the Central Universities (202172002), the Major Scientific and Technological Innovation Project (MSTIP) of Shandong Province (2019JZZY010817), the Program of Shandong for Taishan Scholars (tspd20181203), and AoShan Talents Cultivation Program Supported by Qingdao National Laboratory for Marine Science and Technology (2017ASTCP-OS14 and QNLM2016ORP0310).; Availability of data and materials All metagenomic datasets have been deposited in the NCBI database (BioProject accession no. PRJNA588686). The 214 MAGs have been submitted to figshare (https://figshare.com/s/fd5f60b5da7a63aaa74b) and the GenBank database (BioProject accession no. SUB7116349).</t>
  </si>
  <si>
    <t>OCT 16</t>
  </si>
  <si>
    <t>10.1186/s40168-021-01153-3</t>
  </si>
  <si>
    <t>WH4FF</t>
  </si>
  <si>
    <t>gold, Green Published, Green Accepted</t>
  </si>
  <si>
    <t>WOS:000707635100001</t>
  </si>
  <si>
    <t>Ji, MK; Kong, WD; Jia, HZ; Ding, C; Anesio, AM; Wang, YF; Zhu, YG</t>
  </si>
  <si>
    <t>Ji, Mukan; Kong, Weidong; Jia, Hongzeng; Ding, Chen; Anesio, Alexandre M.; Wang, Yanfen; Zhu, Yong-Guan</t>
  </si>
  <si>
    <t>Similar heterotrophic communities but distinct interactions supported by red and green-snow algae in the Antarctic Peninsula</t>
  </si>
  <si>
    <t>NEW PHYTOLOGIST</t>
  </si>
  <si>
    <t>Antarctic; bacteria and fungi; climate warming; community structure; microbial interaction; snow algae</t>
  </si>
  <si>
    <t>NETWORKS; REGION; TOOL</t>
  </si>
  <si>
    <t>Snow algae are predicted to expand in polar regions due to climate warming, which can accelerate snowmelt by reducing albedo. Green snow frequently occurs near penguin colonies, and red snow distributes widely along ocean shores. However, the mechanisms underpinning the assemblage of algae and heterotrophs in colored snow remain poorly characterized. We investigated algal, bacterial, and fungal communities and their interactions in red and green snows in the Antarctic Peninsula using a high-throughput sequencing method. We found distinct algal community structure in red and green snows, and the relative abundance of dominant taxa varied, potentially due to nutrient status differences. Contrastingly, red and green snows exhibited similar heterotrophic communities (bacteria and fungi), whereas the relative abundance of fungal pathogens was substantially higher in red snow by 3.8-fold. Red snow exhibited a higher network complexity, indicated by a higher number of nodes and edges. Red snow exhibited a higher proportion of negative correlations among heterotrophs (62.2% vs 3.4%) and stronger network stability, suggesting the red-snow network is more resistant to external disturbance. Our study revealed that the red snow microbiome exhibits a more stable microbial network than the green snow microbiome.</t>
  </si>
  <si>
    <t>[Ji, Mukan; Kong, Weidong; Jia, Hongzeng] Chinese Acad Sci, Inst Tibetan Plateau Res, Key Lab Alpine Ecol, Beijing 100101, Peoples R China; [Kong, Weidong; Jia, Hongzeng; Wang, Yanfen] Univ Chinese Acad Sci, Beijing 100039, Peoples R China; [Kong, Weidong; Wang, Yanfen] Chinese Acad Sci, CAS Ctr Excellence Tibetan Plateau Earth Sci, Beijing 100101, Peoples R China; [Ding, Chen] Assoc Sci Educ Promot China, Beijing 100083, Peoples R China; [Anesio, Alexandre M.] Aarhus Univ, Dept Environm Sci, DK-4000 Roskilde, Denmark; [Zhu, Yong-Guan] Chinese Acad Sci, Res Ctr Ecoenvironm Sci, State Key Lab Urban &amp; Reginal Ecol, Beijing 100085, Peoples R China</t>
  </si>
  <si>
    <t>Chinese Academy of Sciences; Institute of Tibetan Plateau Research, CAS; Chinese Academy of Sciences; University of Chinese Academy of Sciences, CAS; Chinese Academy of Sciences; Aarhus University; Chinese Academy of Sciences</t>
  </si>
  <si>
    <t>Kong, WD (corresponding author), Chinese Acad Sci, Inst Tibetan Plateau Res, Key Lab Alpine Ecol, Beijing 100101, Peoples R China.;Kong, WD (corresponding author), Univ Chinese Acad Sci, Beijing 100039, Peoples R China.;Kong, WD (corresponding author), Chinese Acad Sci, CAS Ctr Excellence Tibetan Plateau Earth Sci, Beijing 100101, Peoples R China.;Zhu, YG (corresponding author), Chinese Acad Sci, Res Ctr Ecoenvironm Sci, State Key Lab Urban &amp; Reginal Ecol, Beijing 100085, Peoples R China.</t>
  </si>
  <si>
    <t>wdkong@itpcas.ac.cn; ygzhu@rcees.ac.cn</t>
  </si>
  <si>
    <t>Kong, Weidong/H-7432-2012; ding, chen/KDN-1285-2024; Wang, Yanfen/C-6889-2013; Zhu, Yong-Guan/A-1412-2009; Anesio, Alexandre/A-7597-2008</t>
  </si>
  <si>
    <t>Kong, Weidong/0000-0001-9682-1484; Zhu, Yong-Guan/0000-0003-3861-8482; Anesio, Alexandre/0000-0003-2990-4014; wang, yan fen/0000-0001-5666-9289</t>
  </si>
  <si>
    <t>Chinese Academy of Sciences [XDA19070304, QYZDB-SSW-DQC033, XDA20050101]; National Natural Science Foundation of China [41771303]; Second Tibetan Plateau Scientific Expedition and Research Program (STEP) [2019QZKK0606]; Danish Agency for Education and Research [9096-00101B]; Aarhus University Research Foundation</t>
  </si>
  <si>
    <t>Chinese Academy of Sciences(Chinese Academy of Sciences); National Natural Science Foundation of China(National Natural Science Foundation of China (NSFC)); Second Tibetan Plateau Scientific Expedition and Research Program (STEP); Danish Agency for Education and Research; Aarhus University Research Foundation</t>
  </si>
  <si>
    <t>We greatly thank the team members for field sampling assistance during the 2019 Antarctic expedition led by Prof. Huadong Guo and Prof. Xin Li. We are grateful to Ms Shaoyang Zhang, who provided great assistance in the data analysis of potential pathogens. This study was supported by the Chinese Academy of Sciences (XDA19070304, QYZDB-SSW-DQC033, and XDA20050101), the National Natural Science Foundation of China (41771303), and the Second Tibetan Plateau Scientific Expedition and Research Program (STEP) (2019QZKK0606). AMA is supported by the network program between Denmark and China by the Danish Agency for Education and Research (9096-00101B) and the Aarhus University Research Foundation. The authors declare that they have no conflict of interest.</t>
  </si>
  <si>
    <t>0028-646X</t>
  </si>
  <si>
    <t>1469-8137</t>
  </si>
  <si>
    <t>NEW PHYTOL</t>
  </si>
  <si>
    <t>New Phytol.</t>
  </si>
  <si>
    <t>10.1111/nph.17764</t>
  </si>
  <si>
    <t>YB9VJ</t>
  </si>
  <si>
    <t>WOS:000707667700001</t>
  </si>
  <si>
    <t>Brady, RX; Maltrud, ME; Wolfram, PJ; Drake, HF; Lovenduski, NS</t>
  </si>
  <si>
    <t>Brady, Riley X.; Maltrud, Mathew E.; Wolfram, Phillip J.; Drake, Henri F.; Lovenduski, Nicole S.</t>
  </si>
  <si>
    <t>The Influence of Ocean Topography on the Upwelling of Carbon in the Southern Ocean</t>
  </si>
  <si>
    <t>Southern Ocean; carbon cycle; upwelling; Lagrangian modeling; ocean biogeochemistry; climate modeling</t>
  </si>
  <si>
    <t>CLIMATOLOGY; TRACERS; MODEL</t>
  </si>
  <si>
    <t>The physical circulation of the Southern Ocean sets the surface concentration and thus air-sea exchange of CO2. However, we have a limited understanding of the three-dimensional circulation that brings deep carbon-rich waters to the surface. Here, we introduce and analyze a novel high-resolution ocean model simulation with active biogeochemistry and online Lagrangian particle tracking. We focus our attention on a subset of particles with high dissolved inorganic carbon (DIC) that originate below 1,000 m and eventually upwell into the near-surface layer (upper 200 m). We find that 71% of the DIC-enriched water upwelling across 1,000 m is concentrated near topographic features, which occupy just 33% of the Antarctic Circumpolar Current. Once particles upwell to the near-surface layer, they exhibit relatively uniform pCO2 levels and DIC decorrelation timescales, regardless of their origin. Our results show that Southern Ocean bathymetry plays a key role in delivering carbon-rich waters to the surface.</t>
  </si>
  <si>
    <t>[Brady, Riley X.; Lovenduski, Nicole S.] Univ Colorado, Dept Atmospher &amp; Ocean Sci, Boulder, CO 80309 USA; [Brady, Riley X.; Lovenduski, Nicole S.] Univ Colorado, Inst Arctic &amp; Alpine Res, Boulder, CO 80309 USA; [Maltrud, Mathew E.; Wolfram, Phillip J.] Los Alamos Natl Lab, Fluid Dynam &amp; Solid Mech T3, Los Alamos, NM USA; [Drake, Henri F.] MIT WHOI Joint Program Oceanog Appl Ocean Sci &amp; E, Cambridge, MA USA</t>
  </si>
  <si>
    <t>University of Colorado System; University of Colorado Boulder; University of Colorado System; University of Colorado Boulder; United States Department of Energy (DOE); Los Alamos National Laboratory; Massachusetts Institute of Technology (MIT)</t>
  </si>
  <si>
    <t>Brady, RX (corresponding author), Univ Colorado, Dept Atmospher &amp; Ocean Sci, Boulder, CO 80309 USA.;Brady, RX (corresponding author), Univ Colorado, Inst Arctic &amp; Alpine Res, Boulder, CO 80309 USA.</t>
  </si>
  <si>
    <t>riley.brady@colorado.edu</t>
  </si>
  <si>
    <t>Drake, Henri/AAF-4602-2020; Lovenduski, Nicole/V-4014-2019</t>
  </si>
  <si>
    <t>Drake, Henri/0000-0003-0135-0814; Lovenduski, Nicole/0000-0001-5893-1009; Brady, Riley/0000-0002-2309-8245</t>
  </si>
  <si>
    <t>Department of Energy's Computational Science Graduate Fellowship [DE-FG02-97ER25308]; Los Alamos National Lab; U.S. Department of Energy Biological and Environmental Research program [DE-SC0022243]; National Science Foundation [NSF-PLR 1543457, NSF-OCE 1924636, NSF-OCE 1752724, NSF-OCE 1558225]; Energy Exascale Earth System Model (E3SM) project - U.S. Department of Energy, Office of Science, Office of Biological and Environmental Research; U.S. Department of Energy National Nuclear Security Administration [89233218CNA000001]; U.S. Department of Energy (DOE) [DE-SC0022243] Funding Source: U.S. Department of Energy (DOE)</t>
  </si>
  <si>
    <t>Department of Energy's Computational Science Graduate Fellowship(United States Department of Energy (DOE)); Los Alamos National Lab(United States Department of Energy (DOE)Los Alamos National Laboratory); U.S. Department of Energy Biological and Environmental Research program(United States Department of Energy (DOE)); National Science Foundation(National Science Foundation (NSF)); Energy Exascale Earth System Model (E3SM) project - U.S. Department of Energy, Office of Science, Office of Biological and Environmental Research(United States Department of Energy (DOE)); U.S. Department of Energy National Nuclear Security Administration(National Nuclear Security AdministrationUnited States Department of Energy (DOE)); U.S. Department of Energy (DOE)(United States Department of Energy (DOE))</t>
  </si>
  <si>
    <t>Riley X. Brady was supported by the Department of Energy's Computational Science Graduate Fellowship (DE-FG02-97ER25308), and particularly benefited from the fellowship's summer practicum at Los Alamos National Lab. Nicole S. Lovenduski and Riley X. Brady were further supported by the U.S. Department of Energy Biological and Environmental Research program (DE-SC0022243) and by the National Science Foundation (NSF-PLR 1543457; NSF-OCE 1924636; NSF-OCE 1752724; NSF-OCE 1558225). Mathew E. Maltrud and Phillip J. Wolfram were supported as part of the Energy Exascale Earth System Model (E3SM) project, funded by the U.S. Department of Energy, Office of Science, Office of Biological and Environmental Research. This research used resources provided by the Los Alamos National Laboratory Institutional Computing Program, which is supported by the U.S. Department of Energy National Nuclear Security Administration under Contract No. 89233218CNA000001. The Climate, Ocean and Sea Ice Modeling (COSIM) team at LANL provided invaluable feedback and support during the project.</t>
  </si>
  <si>
    <t>e2021GL095088</t>
  </si>
  <si>
    <t>10.1029/2021GL095088</t>
  </si>
  <si>
    <t>WF4WH</t>
  </si>
  <si>
    <t>WOS:000706306000055</t>
  </si>
  <si>
    <t>Campos, EJD; van Caspel, MC; Zenk, W; Morozov, EG; Frey, DI; Piola, AR; Meinen, CS; Sato, OT; Perez, RC; Dong, SF</t>
  </si>
  <si>
    <t>Campos, Edmo J. D.; van Caspel, Mathias C.; Zenk, Walter; Morozov, Eugene G.; Frey, Dmitry I.; Piola, Alberto R.; Meinen, Christopher S.; Sato, Olga T.; Perez, Renellys C.; Dong, Shenfu</t>
  </si>
  <si>
    <t>Warming Trend in Antarctic Bottom Water in the Vema Channel in the South Atlantic</t>
  </si>
  <si>
    <t>AABW Warming Trend; Vema Channel; South Atlantic</t>
  </si>
  <si>
    <t>ABYSSAL</t>
  </si>
  <si>
    <t>The excess heat absorbed from the atmosphere has increased the temperature in the upper layers of the ocean (&lt;2,000 m). In the abyss, infrequently repeated ship sections, deep Argo float measurements, and sparse moored observations have found signs of warming in the Southwest Atlantic, possibly linked to changes in the Weddell Sea. We present a new moored temperature time series sampled near the bottom in the Vema Channel, from February 2019 to August 2020. Together with historical data, the combined record confirms the warming of the abyssal waters, with an increase of 0.059 degrees C in potential temperature between January 1991 and August 2020, embedded within intense high-frequency variability. Moreover, the data suggest the possibility of an accelerated warming, with a change in the temperature trend from 0.0016 degrees C yr(-1), between the early 1990s and 2005, to 0.0026 degrees C yr(-1) afterwards.</t>
  </si>
  <si>
    <t>[Campos, Edmo J. D.; van Caspel, Mathias C.; Sato, Olga T.] Univ Sao Paulo, Oceanog Inst, Sao Paulo, Brazil; [Campos, Edmo J. D.] Amer Univ Sharjah, Coll Arts &amp; Sci, Sharjah, U Arab Emirates; [van Caspel, Mathias C.] Alfred Wegener Inst, Helmholtz Zent Polar &amp; Meeresforchung, Bremerhaven, Germany; [Zenk, Walter] GEOMAR Helmholtz Ctr Ocean Res, Kiel, Germany; [Morozov, Eugene G.; Frey, Dmitry I.] Shirshov Inst Oceanol, Moscow, Russia; [Piola, Alberto R.] Serv Hidrografia Naval, Buenos Aires, DF, Argentina; [Piola, Alberto R.] Univ Buenos Aires, Buenos Aires, DF, Argentina; [Meinen, Christopher S.; Perez, Renellys C.; Dong, Shenfu] NOAA, Atlant Oceanog &amp; Meteorol Lab, Miami, FL USA</t>
  </si>
  <si>
    <t>Universidade de Sao Paulo; American University of Sharjah; Helmholtz Association; Alfred Wegener Institute, Helmholtz Centre for Polar &amp; Marine Research; Helmholtz Association; GEOMAR Helmholtz Center for Ocean Research Kiel; Russian Academy of Sciences; Shirshov Institute of Oceanology; University of Buenos Aires; National Oceanic Atmospheric Admin (NOAA) - USA; Atlantic Oceanographic &amp; Meteorological Laboratory (AOML)</t>
  </si>
  <si>
    <t>Campos, EJD (corresponding author), Univ Sao Paulo, Oceanog Inst, Sao Paulo, Brazil.;Campos, EJD (corresponding author), Amer Univ Sharjah, Coll Arts &amp; Sci, Sharjah, U Arab Emirates.</t>
  </si>
  <si>
    <t>edmo@usp.br</t>
  </si>
  <si>
    <t>Piola, Alberto/HZI-5475-2023; Dong, Shenfu/I-4435-2013; Morozov, Eugene G/L-3023-2018; Perez, Renellys/D-1976-2012; Sato, Olga/G-3656-2013; Piola, Alberto/O-2280-2013; Meinen, Christopher/G-1902-2012; Campos, Edmo/G-6995-2012</t>
  </si>
  <si>
    <t>Dong, Shenfu/0000-0001-8247-8072; van Caspel, Mathias/0000-0002-8730-1636; Perez, Renellys/0000-0002-4401-3853; Sato, Olga/0000-0003-0751-4373; Frey, Dmitry/0000-0001-8141-9513; Piola, Alberto/0000-0002-5003-8926; Meinen, Christopher/0000-0002-8846-6002; Morozov, Eugene/0000-0002-0251-3454; Campos, Edmo/0000-0001-6399-5496</t>
  </si>
  <si>
    <t>Sao Paulo State Foundation for Research Support (FAPESP) [2017/09659-6]; University of SAo Paulo; Secretaria da ComissAo Interministerial para Recursos do Mar (SeCIRM); Petroleo Brasileiro S.A. (PETROBRAS); American University of Sharjah [FRG19-M-G67]; Brazilian Council for Scientific and Technological Development (CNPq) [302503/2019-6]; Deutsche Forschungsgemeinschaft, Bonn; Russian State Task [0128-2021-0002]; RSF [21-77-20004]; FAPESP [018/09823-3, 2019/07833-4]; Inter-American Institute for Global Change Research [GEO-1128040]; NOAA Global Ocean Monitoring and Observing program via the Southwest Atlantic MOC (SAM) project; NOAA Atlantic Oceanographic and Meteorological Laboratory; Russian Science Foundation [21-77-20004] Funding Source: Russian Science Foundation</t>
  </si>
  <si>
    <t>Sao Paulo State Foundation for Research Support (FAPESP)(Fundacao de Amparo a Pesquisa do Estado de Sao Paulo (FAPESP)); University of SAo Paulo; Secretaria da ComissAo Interministerial para Recursos do Mar (SeCIRM); Petroleo Brasileiro S.A. (PETROBRAS)(Fundacao de Amparo a Pesquisa do Amapa (FAPEAP)Petrobras); American University of Sharjah; Brazilian Council for Scientific and Technological Development (CNPq)(Conselho Nacional de Desenvolvimento Cientifico e Tecnologico (CNPQ)); Deutsche Forschungsgemeinschaft, Bonn(German Research Foundation (DFG)); Russian State Task; RSF(Russian Science Foundation (RSF)); FAPESP(Fundacao de Amparo a Pesquisa do Estado de Sao Paulo (FAPESP)); Inter-American Institute for Global Change Research; NOAA Global Ocean Monitoring and Observing program via the Southwest Atlantic MOC (SAM) project; NOAA Atlantic Oceanographic and Meteorological Laboratory(National Oceanic Atmospheric Admin (NOAA) - USA); Russian Science Foundation(Russian Science Foundation (RSF))</t>
  </si>
  <si>
    <t>We express our great appreciation to CMG Flavio, from SeCIRM and to the captains, officers, and crews of the R/V Alpha-Crucis, NOc Antares e OSS Macae. The SAMBAR mooring was entirely designed, assembled and deployed by a team led by Eng. Francisco (Chico) Vicentini and Dr. Luiz V. Nonnato. The recovery was conducted by a team led by Marcelo Toffoli, from Messen-Ocean. The SAMBAR Project is funded by the Sao Paulo State Foundation for Research Support (FAPESP, grant 2017/09659-6). Additional support is provided by the University of SAo Paulo, the Secretaria da ComissAo Interministerial para Recursos do Mar (SeCIRM), and Petroleo Brasileiro S.A. (PETROBRAS). E. J. D. Campos acknowledges logistical support from the American University of Sharjah, through grant FRG19-M-G67, and a research fellowship from the Brazilian Council for Scientific and Technological Development (CNPq, 302503/2019-6). The German contributions to the World Ocean Circulation Experiment (WOCE) and CLIVAR were supported by the Deutsche Forschungsgemeinschaft, Bonn. The work of E. G. Morozov and D. I. Frey was supported by the Russian State Task 0128-2021-0002 and RSF grant 21-77-20004. M. C. van Caspel was supported by FAPESP (Post-Doctoral grants 018/09823-3 and 2019/07833-4). Additional support to A. R. Piola and E. J. D. Campos was provided by the Inter-American Institute for Global Change Research grant CRN3070 (U.S. NSF grant GEO-1128040). C. S. Meinen, R. Perez and S. Dong acknowledge support from the NOAA Global Ocean Monitoring and Observing program via the Southwest Atlantic MOC (SAM) project, and from the NOAA Atlantic Oceanographic and Meteorological Laboratory.</t>
  </si>
  <si>
    <t>e2021GL094709</t>
  </si>
  <si>
    <t>10.1029/2021GL094709</t>
  </si>
  <si>
    <t>WOS:000706306000019</t>
  </si>
  <si>
    <t>Tilmes, S; Richter, JH; Kravitz, B; MacMartin, DG; Glanville, AS; Visioni, D; Kinnison, DE; Müller, R</t>
  </si>
  <si>
    <t>Tilmes, S.; Richter, J. H.; Kravitz, B.; MacMartin, D. G.; Glanville, A. S.; Visioni, D.; Kinnison, D. E.; Mueller, R.</t>
  </si>
  <si>
    <t>Sensitivity of Total Column Ozone to Stratospheric Sulfur Injection Strategies</t>
  </si>
  <si>
    <t>ozone hole; stratospheric aerosol interventions; geoengineering</t>
  </si>
  <si>
    <t>TRANSPORT; MODEL</t>
  </si>
  <si>
    <t>We explore the impact of different stratospheric sulfur injection strategies to counter greenhouse gas induced warming on total column ozone (TCO), including high and low altitude injections at four latitudes, equatorial injections, and using a configuration with higher vertical resolution, based on a state-of-the-art Earth system model. The experiments maintain global surface temperatures at 2020 conditions, while following the unmitigated future scenario. Within the first 10 years of the injection, we find an abrupt deepening of the Antarctic ozone hole by 8%-20% and changes up to +/- 5% for other regions and seasons. The ozone hole recovery is delayed by similar to 25 to over 55 years, with the fastest recovery for low-altitude injections and slowest for equatorial injections. Mid to high-latitude TCO increases by similar to 15% in Northern Hemisphere winter and spring between 2010-2019 and 2080-2089 due to both increasing greenhouse gases and increasing sulfur injections. Implications for ecosystems need to be investigated.</t>
  </si>
  <si>
    <t>[Tilmes, S.; Kinnison, D. E.] Natl Ctr Atmospher Res, Atmospher Chem Observat &amp; Modeling Lab, POB 3000, Boulder, CO 80307 USA; [Richter, J. H.; Glanville, A. S.] Natl Ctr Atmospher Res, Climate &amp; Global Dynam Lab, POB 3000, Boulder, CO 80307 USA; [Kravitz, B.] Indiana Univ, Dept Earth &amp; Atmospher Sci, Bloomington, IN USA; [Kravitz, B.] Pacific Northwest Natl Lab, Atmospher Sci &amp; Global Change Div, Richland, WA 99352 USA; [MacMartin, D. G.; Visioni, D.] Cornell Univ, Mech &amp; Aerosp Engn, Ithaca, NY USA; [Mueller, R.] Res Ctr Julich, Julich, Germany</t>
  </si>
  <si>
    <t>National Center Atmospheric Research (NCAR) - USA; National Center Atmospheric Research (NCAR) - USA; Indiana University System; Indiana University Bloomington; United States Department of Energy (DOE); Pacific Northwest National Laboratory; Cornell University; Helmholtz Association; Research Center Julich</t>
  </si>
  <si>
    <t>Tilmes, S (corresponding author), Natl Ctr Atmospher Res, Atmospher Chem Observat &amp; Modeling Lab, POB 3000, Boulder, CO 80307 USA.</t>
  </si>
  <si>
    <t>tilmes@ucar.edu</t>
  </si>
  <si>
    <t>Tilmes, Simone/JUV-6618-2023; MacMartin, Douglas/AAB-5314-2020; Müller, Rolf/ABA-8213-2021; Visioni, Daniele/O-7824-2016; MacMartin, Douglas/A-6333-2016; Kravitz, Ben/P-7925-2014</t>
  </si>
  <si>
    <t>Tilmes, Simone/0000-0002-6557-3569; Müller, Rolf/0000-0002-5024-9977; Visioni, Daniele/0000-0002-7342-2189; MacMartin, Douglas/0000-0003-1987-9417; Kinnison, Douglas/0000-0002-3418-0834; Kravitz, Ben/0000-0001-6318-1150</t>
  </si>
  <si>
    <t>National Science Foundation [CBET-1931641]; Indiana University Environmental Resilience Institute; US Department of Energy by Battelle Memorial Institute [DE-AC05-76RL01830]; National Center for Atmospheric Research; NSF [1852977]; Defense Advanced Research Projects Agency (DARPA)</t>
  </si>
  <si>
    <t>National Science Foundation(National Science Foundation (NSF)); Indiana University Environmental Resilience Institute; US Department of Energy by Battelle Memorial Institute(United States Department of Energy (DOE)); National Center for Atmospheric Research; NSF(National Science Foundation (NSF)); Defense Advanced Research Projects Agency (DARPA)(United States Department of DefenseDefense Advanced Research Projects Agency (DARPA))</t>
  </si>
  <si>
    <t>We thank Gary Strand and Ilana Stern, for publishing the model output on the NCAR Earth System Grid and Alice Bertini offering software support in producing diagnostics for model results (). Support for Ben Kravitz was provided in part by the National Science Foundation through agreement CBET-1931641, the Indiana University Environmental Resilience Institute, and the Prepared for Environmental Change Grand Challenge initiative. The Pacific Northwest National Laboratory is operated for the US Department of Energy by Battelle Memorial Institute under contract DE-AC05-76RL01830. The CESM project is supported primarily by the National Science Foundation. This material is based upon work supported by the National Center for Atmospheric Research, which is a major facility sponsored by the NSF under Cooperative Agreement No. 1852977. This research was developed with funding from the Defense Advanced Research Projects Agency (DARPA). The views, opinions, and/or findings expressed are those of the authors and should not be interpreted as representing the official views or policies of the Department of Defense or the U.S. Government.</t>
  </si>
  <si>
    <t>e2021GL094058</t>
  </si>
  <si>
    <t>10.1029/2021GL094058</t>
  </si>
  <si>
    <t>WOS:000706306000026</t>
  </si>
  <si>
    <t>Zhang, HLJ; Whalen, CB; Kumar, N; Purkey, SG</t>
  </si>
  <si>
    <t>Zhang, Helen J.; Whalen, Caitlin B.; Kumar, Nirnimesh; Purkey, Sarah G.</t>
  </si>
  <si>
    <t>Decreased Stratification in the Abyssal Southwest Pacific Basin and Implications for the Energy Budget</t>
  </si>
  <si>
    <t>INTERNAL TIDE GENERATION; ANTARCTIC BOTTOM WATER; SEA-LEVEL RISE; FINESCALE PARAMETERIZATIONS; OVERTURNING CIRCULATION; TURBULENT DISSIPATION; WESTERN-BOUNDARY; GLOBAL ABYSSAL; OCEAN; HEAT</t>
  </si>
  <si>
    <t>As the abyssal oceans warm, stratification is also expected to change in response. This change may impact mixing and vertical transport by altering the buoyancy flux, internal wave generation, and turbulent dissipation. In this study, repeated surveys of three hydrographic sections in the Southwest Pacific Basin between the 1990s and 2010s are used to estimate the change in buoyancy frequency N2. We find that below the theta=0.8 degrees C isotherm, N2 is on average reduced by a scaling factor of s=0.88 +/- 0.06, a 12% reduction, per decade that intensifies with depth. At Theta=0.63 degrees C, we observe the biggest change: s=0.71 +/- 0.07, or a 29% reduction per decade. Within the same period, the magnitude of vertical diffusive heat flux is also reduced by about 0.01Wm-2, although this estimate is sensitive to the choice of estimated diffusivity. Finally, implications of these results for the heat budget and global ocean circulation are qualitatively discussed.</t>
  </si>
  <si>
    <t>[Zhang, Helen J.; Purkey, Sarah G.] Univ Calif San Diego, Scripps Inst Oceanog, San Diego, CA 92103 USA; [Whalen, Caitlin B.] Univ Washington, Appl Phys Lab, Seattle, WA 98105 USA; [Kumar, Nirnimesh] Univ Washington, Civil &amp; Environm Engn, Seattle, WA 98195 USA</t>
  </si>
  <si>
    <t>University of California System; University of California San Diego; Scripps Institution of Oceanography; University of Washington; University of Washington Seattle; University of Washington; University of Washington Seattle</t>
  </si>
  <si>
    <t>Zhang, HLJ (corresponding author), Univ Calif San Diego, Scripps Inst Oceanog, San Diego, CA 92103 USA.</t>
  </si>
  <si>
    <t>jiz053@ucsd.edu</t>
  </si>
  <si>
    <t>Purkey, Sarah G/K-1983-2012</t>
  </si>
  <si>
    <t>Purkey, Sarah/0000-0002-1893-6224; Zhang, Helen/0000-0001-5965-5798; Whalen, Caitlin/0000-0002-4190-0457</t>
  </si>
  <si>
    <t>National Science Foundation [OCE-1923558]; University of Washington Royalty Research Fund; US GO-SHIP [NSF OCE-1437015]; CLIVAR and Carbon Hydrographic Data Office [NSF OCE 1829814, NOAA NA15OAR4320071]</t>
  </si>
  <si>
    <t>National Science Foundation(National Science Foundation (NSF)); University of Washington Royalty Research Fund(University of Washington); US GO-SHIP; CLIVAR and Carbon Hydrographic Data Office</t>
  </si>
  <si>
    <t>C. B. Whalen and H. J. Zhang were supported by the National Science Foundation Award OCE-1923558 and the University of Washington Royalty Research Fund. S. G. Purkey was supported by US GO-SHIP (NSF OCE-1437015) and the CLIVAR and Carbon Hydrographic Data Office (NSF OCE 1829814 and NOAA NA15OAR4320071). The authors are grateful for the PIs, cruise participants, and ship officers and crew who helped collect, calibrate, and process this data. They would like to thank the reviewers for their insightful comments that greatly improved the manuscript. This paper is dedicated in memory of N. Kumar, who has been a consistent source of support, inspiration, and mischief throughout this work. He will be dearly missed.</t>
  </si>
  <si>
    <t>e2021GL094322</t>
  </si>
  <si>
    <t>10.1029/2021GL094322</t>
  </si>
  <si>
    <t>WOS:000706306000009</t>
  </si>
  <si>
    <t>Wu, YX; Qi, D; Ouyang, ZX; Cao, L; Feely, RA; Lin, HM; Cai, WJ; Chen, LQ</t>
  </si>
  <si>
    <t>Wu, Yingxu; Qi, Di; Ouyang, Zhangxian; Cao, Lu; Feely, Richard A.; Lin, Hongmei; Cai, Wei-Jun; Chen, Liqi</t>
  </si>
  <si>
    <t>Contrasting Controls of Acidification Metrics Across Environmental Gradients in the North Pacific and the Adjunct Arctic Ocean: Insight From a Transregional Study</t>
  </si>
  <si>
    <t>Contrasting controls of ocean acidification metrics; Across environmental gradients; pH and aragonite saturation state; Temperature-dependence; Arctic Ocean</t>
  </si>
  <si>
    <t>DISSOLVED INORGANIC CARBON; GLOBAL SURFACE OCEAN; CO2 UPTAKE; SATURATION STATES; ANTHROPOGENIC CO2; SEA-ICE; PH; SEAWATER; ALKALINITY; SYSTEM</t>
  </si>
  <si>
    <t>The spatiotemporal variabilities and drivers of ocean acidification (OA) metrics, [H+], pH, and aragonite saturation state (omega(arag)) across environmental gradients remain poorly constrained. We use a novel high-precision measurement of underway pH to investigate the hemispheric-scale distributions of OA metrics from East Asia to the Arctic Ocean. While temperature and its induced air-sea gas exchange fundamentally control the OA metrics distributions, we show that biological activity exerts the most prominent but different modifications on pH and omega(arag) patterns. Strong photosynthesis counteracts the temperature-driven pH pattern but reinforces that of omega(arag). Ice melt-induced dilution in the Arctic Ocean additionally strengthens the omega(arag)-temperature relationship but insignificantly affects [H+] and pH. This study provides the first coherent assessment of comprehensive processes on OA metrics across large spatial regions, and highlights the potential of sea-ice melt in changing omega(arag) distribution, which should be included by Earth system models projecting future climate change.</t>
  </si>
  <si>
    <t>[Wu, Yingxu; Qi, Di] Jimei Univ, Polar &amp; Marine Res Inst, Xiamen, Peoples R China; [Wu, Yingxu; Qi, Di; Lin, Hongmei; Chen, Liqi] MNR, Inst Oceanog 3, Key Lab Global Change &amp; Marine Atmospher Chem, Minist Nat Resources MNR, Xiamen, Peoples R China; [Ouyang, Zhangxian; Cai, Wei-Jun] Univ Delaware, Sch Marine Sci &amp; Policy, Newark, DE USA; [Cao, Lu] Qilu Univ Technol, Natl Engn &amp; Technol Res Ctr Marine Monitoring Equ, Shandong Prov Key Lab Ocean Environm Monitoring T, Inst Oceanog Instrumentat,Shandong Acad Sci, Qingdao, Peoples R China; [Feely, Richard A.] NOAA, Pacific Marine Environm Lab, 7600 Sand Point Way Ne, Seattle, WA 98115 USA</t>
  </si>
  <si>
    <t>Jimei University; Ministry of Natural Resources of the People's Republic of China; Third Institute of Oceanography, Ministry of Natural Resources; University of Delaware; Qilu University of Technology; National Oceanic Atmospheric Admin (NOAA) - USA</t>
  </si>
  <si>
    <t>Qi, D (corresponding author), Jimei Univ, Polar &amp; Marine Res Inst, Xiamen, Peoples R China.;Qi, D (corresponding author), MNR, Inst Oceanog 3, Key Lab Global Change &amp; Marine Atmospher Chem, Minist Nat Resources MNR, Xiamen, Peoples R China.</t>
  </si>
  <si>
    <t>qidi60@qq.com</t>
  </si>
  <si>
    <t>Wu, Yingxu/HDO-0449-2022; Cai, Wei-Jun/C-1361-2013</t>
  </si>
  <si>
    <t>Qi, Di/0000-0003-4762-266X; Cai, Wei-Jun/0000-0003-3606-8325; Wu, Yingxu/0000-0002-7847-6215</t>
  </si>
  <si>
    <t>National Natural Science Foundation of China [41630969, 41941013]; National Key Research and Development Program of China [2019YFE0114800, 2019YFC1509101]; Key Deployment Project of Centre for Ocean Mega-Research of Science, CAS [COMS2020Q12]</t>
  </si>
  <si>
    <t>National Natural Science Foundation of China(National Natural Science Foundation of China (NSFC)); National Key Research and Development Program of China; Key Deployment Project of Centre for Ocean Mega-Research of Science, CAS</t>
  </si>
  <si>
    <t>The authors express our sincere gratitude to the crews of the ninth Chinese National Arctic Research Expedition on board R/V Xuelong for their supports as well as National Arctic and Antarctic Data Center from China. This work was funded by the National Natural Science Foundation of China (41630969, 41941013), the National Key Research and Development Program of China (2019YFE0114800, 2019YFC1509101), and Key Deployment Project of Centre for Ocean Mega-Research of Science, CAS (Grant No. COMS2020Q12).</t>
  </si>
  <si>
    <t>e2021GL094473</t>
  </si>
  <si>
    <t>10.1029/2021GL094473</t>
  </si>
  <si>
    <t>WOS:000706306000045</t>
  </si>
  <si>
    <t>Freitas, FS; Montone, RC; Machado, EC; Martins, CC</t>
  </si>
  <si>
    <t>Freitas, Felipe S.; Montone, Rosalinda C.; Machado, Eunice C.; Martins, Cesar C.</t>
  </si>
  <si>
    <t>Total phosphorus records in coastal Antarctic sediments: Burial and evidence of anthropogenic influence on recent input</t>
  </si>
  <si>
    <t>Organic matter; Phosphorus pollution index; Environmental changes; Admiralty Bay; Southern Ocean</t>
  </si>
  <si>
    <t>KING-GEORGE-ISLAND; SOUTH SHETLAND ISLANDS; ADMIRALTY BAY; MARINE-SEDIMENTS; ORGANIC-MATTER; PHYTOPLANKTON; STEROLS; SUMMER; CORES; SURFACE</t>
  </si>
  <si>
    <t>Total phosphorus (TP) records reflect variations in input and burial of organic matter (OM) in coastal and shelf sediments. At Antarctic regions, TP levels are often derived from natural sources; however, with emergent human pressure at these regions, anthropogenic sources of TP may play an important role. At the Antarctic Peninsula, Admiralty Bay attracts great scientific and touristic interest, especially during austral summer months, thus being vulnerable to human activities. Currently, only scarce spatial distributions of TP are available for this key region, whereas no vertical distributions have been determined. To fill this gap, we investigated short (&lt; 20 cm) sediment cores in ten areas along Admiralty Bay for TP contents. We produced the first TP vertical distributions and established site-specific background values (from 492 +/- 13 to 932 +/- 17 mu g g(-1)), which are related to hydrodynamics, sedimentology, and natural inputs of P. We observed a gradual surface TP enrichment at all sites, mainly due to input of fresh OM. Benefiting from our background values, we employ the Phosphorus Pollution Index (PPI) to assess possible human impacts. Generally, the increase of PPI suggests natural inputs of P. However, PPI &gt;= 1.3 found at the nearby Comandante Ferraz Research Station (Brazil) can be linked to recent (past 2-3 decades) treated sewage inputs in Martel Inlet. We suggest PPI as a proxy for preliminary assessments of anthropogenic impacts in coastal Antarctic regions experiencing increased human pressure.</t>
  </si>
  <si>
    <t>[Freitas, Felipe S.; Martins, Cesar C.] Univ Fed Parana, Ctr Estudos Mar, BR-83255976 Pontal Do Parana, PR, Brazil; [Freitas, Felipe S.] Univ Bristol, Sch Earth Sci, Bristol BS8 1RJ, Avon, England; [Montone, Rosalinda C.] Univ Sao Paulo, Inst Oceanog, BR-05508120 Sao Paulo, SP, Brazil; [Machado, Eunice C.] Univ Fed Rio Grande, Inst Oceanog, BR-96203900 Rio Grande, RS, Brazil</t>
  </si>
  <si>
    <t>Universidade Federal do Parana; University of Bristol; Universidade de Sao Paulo; Universidade Federal do Rio Grande</t>
  </si>
  <si>
    <t>Martins, CC (corresponding author), Univ Fed Parana, Ctr Estudos Mar, BR-83255976 Pontal Do Parana, PR, Brazil.</t>
  </si>
  <si>
    <t>ccmart@ufpr.br</t>
  </si>
  <si>
    <t>Montone, Rosalinda C/J-9110-2012</t>
  </si>
  <si>
    <t>Sales de Freitas, Felipe/0000-0001-8279-5772; de Castro Martins, Cesar/0000-0002-2515-5565</t>
  </si>
  <si>
    <t>Antarctic Brazilian Program (PROANTAR); Conselho Nacional de Desenvolvimento Cientifico e Tecnologico (CNPq) [557306/2005-1, 550014/2007-1, 442692/2018-8]; Coordenacao de Aperfeicoamento de Pessoal de Ensino Superior (CAPES); CNPq; CAPES; Brazilian Ministry of Science, Technology and Innovation</t>
  </si>
  <si>
    <t>Antarctic Brazilian Program (PROANTAR); Conselho Nacional de Desenvolvimento Cientifico e Tecnologico (CNPq)(Conselho Nacional de Desenvolvimento Cientifico e Tecnologico (CNPQ)); Coordenacao de Aperfeicoamento de Pessoal de Ensino Superior (CAPES)(Coordenacao de Aperfeicoamento de Pessoal de Nivel Superior (CAPES)); CNPq(Conselho Nacional de Desenvolvimento Cientifico e Tecnologico (CNPQ)); CAPES(Coordenacao de Aperfeicoamento de Pessoal de Nivel Superior (CAPES)); Brazilian Ministry of Science, Technology and Innovation</t>
  </si>
  <si>
    <t>The work was supported by the Antarctic Brazilian Program (PROANTAR), Conselho Nacional de Desenvolvimento Cientifico e Tecnologico (CNPq, 557306/2005-1, 550014/2007-1 and 442692/2018-8) and Coordenacao de Aperfeicoamento de Pessoal de Ensino Superior (CAPES). F.S. Freitas thanks IC Scholarship (PIBIC/CNPq) and funding from UKRI-NERC. The authors wish to thank the Brazilian Antarctic Station staff for their support during the sampling program. Finally, this work is part of CARBMET project (The multiple faces of organic CARBon and METals in the sub-Antarctic ecosystem) sponsored by CNPq, CAPES and Brazilian Ministry of Science, Technology and Innovation.</t>
  </si>
  <si>
    <t>10.1016/j.marchem.2021.104037</t>
  </si>
  <si>
    <t>WOS:000711163300002</t>
  </si>
  <si>
    <t>Lavergne, C; Celis-Plá, PSM; Chenu, A; Rodríguez-Rojas, F; Moenne, F; Díaz, MJ; Abello-Flores, MJ; Díaz, P; Garrido, I; Bruning, P; Verdugo, M; Lobos, MG; Sáez, CA</t>
  </si>
  <si>
    <t>Lavergne, Celine; Celis-Pla, Paula S. M.; Chenu, Audran; Rodriguez-Rojas, Fernanda; Moenne, Fabiola; Diaz, Maria Jose; Abello-Flores, Maria Jesus; Diaz, Patricia; Garrido, Ignacio; Bruning, Paulina; Verdugo, Marcelo; Lobos, M. Gabriela; Saez, Claudio A.</t>
  </si>
  <si>
    <t>Macroalgae metal-biomonitoring in Antarctica: Addressing the consequences of human presence in the white continent</t>
  </si>
  <si>
    <t>Anthropocene; Contamination; Intertidal; Subtidal; Ecophysiology</t>
  </si>
  <si>
    <t>KING GEORGE ISLAND; CHLOROPHYLL FLUORESCENCE; ADMIRALTY BAY; HEAVY-METALS; ECTOCARPUS-SILICULOSUS; COPPER; PHOTOSYNTHESIS; POLLUTION; ACCUMULATION; ORGANISMS</t>
  </si>
  <si>
    <t>Marine ecosystems in the Arctic and Antarctica were once thought pristine and away from important human influence. Today, it is known that global processes as atmospheric transport, local activities related with scientific research bases, military and touristic maritime traffic, among others, are a potential source of pollutants. Macroalgae have been recognized as reliable metal-biomonitoring organisms due to their accumulation capacity and physiological responses. Metal accumulation (Al, Cd, Cu, Fe, Pb, Zn, Se, and Hg) and photosynthetic parameters (associated with in vivo chlorophyll a fluorescence) were assessed in 77 samples from 13 different macroalgal species (Phaeophyta; Chlorophyta; Rhodophyta) from areas with high human influence, nearby research and sometimes military bases and a control area, King George Island, Antarctic Peninsula. Most metals in macroalgae followed a pattern influenced by rather algal lineage than site, with green seaweeds displaying trends of higher levels of metals as Al, Cu, Cr and Fe. Photosynthesis was also not affected by site, showing healthy organisms, especially in brown macroalgae, likely due to their great dimensions and morphological complexity. Finally, data did not demonstrate a relationship between metal accumulation and photosynthetic performance, evidencing low anthropogenic-derived impacts associated with metal excess in the area. Green macroalgae, especially Monostroma hariotti, are highlighted as reliable for further metal biomonitoring assessments. In the most ambitious to date seaweed biomonitoring effort conducted towards the Austral pole, this study improved by 91% the overall knowledge on metal accumulation in macroalgae from Antarctica, being the first report in species as Sarcopeltis antarctica and Plocamium cartilagineum. These findings may suggest that human short- and long-range metal influence on Antarctic coastal ecosystems still remains under control.</t>
  </si>
  <si>
    <t>[Lavergne, Celine; Celis-Pla, Paula S. M.; Rodriguez-Rojas, Fernanda; Moenne, Fabiola; Diaz, Maria Jose; Saez, Claudio A.] Univ Playa Ancha, Ctr Estudios Avanzados, Lab Aquat Environm Res LACER, HUB AMBIENTAL UPLA, Subida Leopoldo Carvallo 207, Valparaiso, Chile; [Chenu, Audran] Univ La Rochelle, CNRS, LIENSs, UMR 7266, 2 Rue Olympe Gouges, La Rochelle, France; [Abello-Flores, Maria Jesus] Univ Bremen, Fac Biol &amp; Chem, Bremen, Germany; [Abello-Flores, Maria Jesus] Helmholtz Zentrum Polar &amp; Meeresforsch, Alfred Wegener Inst, Bremerhaven, Germany; [Abello-Flores, Maria Jesus; Diaz, Patricia; Verdugo, Marcelo; Lobos, M. Gabriela] Univ Valparaiso, Fac Ciencias, Dept Quim &amp; Bioquim, Lab Quim Analit &amp; Ambiental, Valparaiso, Chile; [Garrido, Ignacio] Univ Austral Chile, Inst Ciencias Marinas &amp; Limnol, Lab Costero Recursos Acuaticos Calfuco, Valdivia, Chile; [Garrido, Ignacio; Bruning, Paulina] Laval Univ, Dept Biol, Quebec City, PQ, Canada; [Garrido, Ignacio; Bruning, Paulina] Laval Univ, Quebec Ocean Inst, Quebec City, PQ, Canada; [Saez, Claudio A.] Univ Alicante, Fac Ciencias, Dept Ciencias Mar &amp; Biol Aplicada, Alicante, Spain</t>
  </si>
  <si>
    <t>Universidad de Playa Ancha; La Rochelle Universite; Centre National de la Recherche Scientifique (CNRS); CNRS - Institute of Ecology &amp; Environment (INEE); University of Bremen; Helmholtz Association; Alfred Wegener Institute, Helmholtz Centre for Polar &amp; Marine Research; Universidad de Valparaiso; Universidad Austral de Chile; Laval University; Laval University; Universitat d'Alacant</t>
  </si>
  <si>
    <t>Sáez, CA (corresponding author), Univ Playa Ancha, Ctr Estudios Avanzados, Lab Aquat Environm Res LACER, HUB AMBIENTAL UPLA, Subida Leopoldo Carvallo 207, Valparaiso, Chile.</t>
  </si>
  <si>
    <t>claudio.saez@upla.cl</t>
  </si>
  <si>
    <t>Verdugo, Marcelo/U-9363-2018; Lavergne, Celine/B-4208-2015</t>
  </si>
  <si>
    <t>Verdugo, Marcelo/0000-0002-1537-0560; Lavergne, Celine/0000-0002-2002-8655; Rodriguez Rojas, Fernanda Jimena/0009-0006-1232-5891; Diaz Aguirre, Maria Jose/0000-0002-5493-0292; Bruning, Paulina/0000-0002-2064-719X; Saez, Claudio/0000-0002-5037-3484</t>
  </si>
  <si>
    <t>10.1016/j.envpol.2021.118365</t>
  </si>
  <si>
    <t>WN5CI</t>
  </si>
  <si>
    <t>WOS:000711785100003</t>
  </si>
  <si>
    <t>Fernandez, JCC; Gastaldi, M; Zapata-Hernández, G; Pardo, LM; Thompson, FL; Hajdu, E</t>
  </si>
  <si>
    <t>Fernandez, Julio C. C.; Gastaldi, Marianela; Zapata-Hernandez, German; Pardo, Luis M.; Thompson, Fabiano L.; Hajdu, Eduardo</t>
  </si>
  <si>
    <t>New species of Crella (Pytheas) Topsent, 1890 and Crellomima Rezvoi, 1925 (Crellidae, Poecilosclerida, Demospongiae) from Chilean shallow and Argentinean deep waters, with a synthesis on the known phylogenetic relationships of crellid sponges</t>
  </si>
  <si>
    <t>Heteroscleromorpha; San Ambrosio Island; Chiloe Island; Chilean fjords; Argentine Sea; deep sea</t>
  </si>
  <si>
    <t>SYSTEMATICS</t>
  </si>
  <si>
    <t>Here, we describe four new species of Crellidae Dendy, 1922 , discuss characters and relationships from published molecular phylogenies including crellid sponges. New species proposed are Crella (Pytheas) chiloensis Fernandez, Gastaldi, Pardo , Hajdu, sp. nov., from southern Chile (15 m depth), C. (P.) desventuradae Fernandez, Gastaldi, Zapata-Hernandez &amp; Hajdu, sp. nov., from Desventuradas Archipelago (10-20 m depth), Crella (P.) santacruzae Fernandez, Gastaldi, Thompson &amp; Hajdu, sp. nov., from deep waters off Argentina (750 m depth) and Crellomima sigmatifera Fernandez, Gastaldi &amp; Hajdu, sp. nov., from the Chilean fjords region (ca. 20 m depth). These new species are set apart from each other and from known species mainly due to aspects of their spiculation. Chelae microscleres and acanthostyles supply characters that might be used to infer phylogenetic relationships and to verify the monophyly of Crella Gray, 1867 and Crellidae, which has seemingly been contradicted by preliminary molecular data available in the systematics' literature. Our own interpretation of phylogenetic affinities, in the light of morphological characters from previous taxonomic studies, argues for a classification reassessment of materials (vouchers) included in these molecular phylogenies, especially in the case of Crella incrustans (Carter, 1885). We argue that currently available molecular phylogenetic outcomes for crellid sponges are not supportive of the polyphyly of Crella and Crellidae.</t>
  </si>
  <si>
    <t>[Fernandez, Julio C. C.; Gastaldi, Marianela; Hajdu, Eduardo] Univ Fed Rio de Janeiro, Lab Taxon Porifera TAXPO, Dept Invertebrados, Museu Nacl, Quinta Boa Vista S-N, BR-20940040 Rio De Janeiro, RJ, Brazil; [Gastaldi, Marianela] Univ Nacl Comahue, Escuela Super Ciencias Marinas, San Antonio Oeste, Rio Negro, Argentina; [Zapata-Hernandez, German] Univ Catolica Norte, Dept Biol Marina, Millennium Nucleus Ecol &amp; Sustainable Management, Larrondo 1281, Coquimbo, Chile; [Pardo, Luis M.] Univ Austral Chile, Inst Ciencias Marinas &amp; Limnol, Ctr Invest Dinam Ecosistemas Marinos Altas Latitu, POB 5090000, Valdivia, Chile; [Thompson, Fabiano L.] Univ Fed Rio, Inst Biol, Dept Genet, Lab Microbiol, Caixa Postal 68011, BR-21944970 Rio De Janeiro, Brazil</t>
  </si>
  <si>
    <t>Universidade Federal do Rio de Janeiro; Universidad Nacional del Comahue; Universidad Catolica del Norte; Universidad Austral de Chile</t>
  </si>
  <si>
    <t>Fernandez, JCC (corresponding author), Univ Fed Rio de Janeiro, Lab Taxon Porifera TAXPO, Dept Invertebrados, Museu Nacl, Quinta Boa Vista S-N, BR-20940040 Rio De Janeiro, RJ, Brazil.</t>
  </si>
  <si>
    <t>juliocesarbio@yahoo.com.br; marianelagastaldi@gmail.com; zapata.bm@gmail.com; luispardo@uach.cl; fabianothompson1@gmail.com; eduardo.hajdu@gmail.com</t>
  </si>
  <si>
    <t>Pardo, L M/A-3178-2008; Zapata-Hernández, Germán/AGZ-0874-2022</t>
  </si>
  <si>
    <t>Zapata-Hernández, Germán/0000-0003-3245-9118; Thompson, Fabiano/0000-0002-7562-1683; Pardo, Luis Miguel/0000-0002-8179-5057; Gastaldi, Marianela/0000-0002-2494-0166</t>
  </si>
  <si>
    <t>Coordination for Improvement of Higher Education Personnel (CAPES) [88887.3631122/2019-00]; Carlos Chagas Filho Foundation for Research Support in the State of Rio de Janeiro (FAPERJ) [E-26/202.361/2019, E-26/202.362/2019]; CNPq (PROANTAR, PROSUL, Universal, Research Productivity); FAPERJ (Scientist of Our State, Museu Nacional Emergency); CONICYT-PCHA/Doctorado Nacional [2015-21151249]; Chilean Millennium Initiative ESMOI; MINEDUC UCN-19101 [002]</t>
  </si>
  <si>
    <t>Coordination for Improvement of Higher Education Personnel (CAPES)(Coordenacao de Aperfeicoamento de Pessoal de Nivel Superior (CAPES)); Carlos Chagas Filho Foundation for Research Support in the State of Rio de Janeiro (FAPERJ)(Fundacao Carlos Chagas Filho de Amparo a Pesquisa do Estado do Rio De Janeiro (FAPERJ)); CNPq (PROANTAR, PROSUL, Universal, Research Productivity); FAPERJ (Scientist of Our State, Museu Nacional Emergency); CONICYT-PCHA/Doctorado Nacional; Chilean Millennium Initiative ESMOI; MINEDUC UCN-19101</t>
  </si>
  <si>
    <t>The authors thank Dr. Javier Sellanes and team (Universidad Catolica del Norte, Coquimbo, Chile) for granting access to the collection of Porifera where the material of Crella (P.) desventuradae sp. nov. was deposited. We are also grateful to the director of the Instituto de Ciencias Marinas y Limnologicas at the Universidad Austral de Chile (Valdivia, Chile) for access to samples of sponges (including Crella (P.) chiloensis sp. nov.) and laboratory facilities during our several visits to the university. Dr. Alejandro Bravo is specially thanked for his support during our many visits to the Universidad Austral de Chile. We are also grateful to Dr Verena Haussermann and Dr Gunther Forsterra (Directors of the Huinay Scientific Field Station, Huinay, Chile) for access to the laboratories of the station where part of this work started, for donation of sponge samples and their support during our many stays at the station. Amanda Garcez and Beatriz Cordeiro (Museu Nacional/UFRJ, Rio de Janeiro, Brazil) are thanked for technical support in SEM operation. JCCF thanks the Coordination for Improvement of Higher Education Personnel (CAPES) (grants PROANTAR no 88887.3631122/2019-00) and the Carlos Chagas Filho Foundation for Research Support in the State of Rio de Janeiro (FAPERJ) (grants FAPERJ NOTA 10 no E-26/202.361/2019 and n degrees E-26/202.362/2019) for Post-doctoral fellowships. EH is thankful to CNPq (PROANTAR, PROSUL, Universal, Research Productivity) and FAPERJ (Scientist of Our State, Museu Nacional Emergency) for grants and/or fellowships which enabled the establishment of scientific cooperation with Chilean colleagues for the study of Magellanic and Antarctic Porifera. GZ-H was supported by CONICYT-PCHA/Doctorado Nacional/2015-21151249, the Chilean Millennium Initiative ESMOI and Post-doctorado MINEDUC UCN-19101 No. 002.</t>
  </si>
  <si>
    <t>250F Marua Road Mt Wellington, AUCKLAND, ST LUKES 1023, NEW ZEALAND</t>
  </si>
  <si>
    <t>OCT 15</t>
  </si>
  <si>
    <t>10.11646/zootaxa.5052.3.3</t>
  </si>
  <si>
    <t>WI3XE</t>
  </si>
  <si>
    <t>WOS:000708296600003</t>
  </si>
  <si>
    <t>Livesey, NJ; Read, WG; Froidevaux, L; Lambert, A; Santee, ML; Schwartz, MJ; Millán, LF; Jarnot, RF; Wagner, PA; Hurst, DF; Walker, KA; Sheese, PE; Nedoluha, GE</t>
  </si>
  <si>
    <t>Livesey, Nathaniel J.; Read, William G.; Froidevaux, Lucien; Lambert, Alyn; Santee, Michelle L.; Schwartz, Michael J.; Millan, Luis F.; Jarnot, Robert F.; Wagner, Paul A.; Hurst, Dale F.; Walker, Kaley A.; Sheese, Patrick E.; Nedoluha, Gerald E.</t>
  </si>
  <si>
    <t>Investigation and amelioration of long-term instrumental drifts in water vapor and nitrous oxide measurements from the Aura Microwave Limb Sounder (MLS) and their implications for studies of variability and trends</t>
  </si>
  <si>
    <t>EOS MLS; SATELLITE; UNCERTAINTIES; TEMPERATURES; REANALYSIS; STABILITY; BOULDER; DECLINE; UPDATE; MODEL</t>
  </si>
  <si>
    <t>The Microwave Limb Sounder (MLS), launched on NASA's Aura spacecraft in 2004, measures vertical profiles of the abundances of key atmospheric species from the upper troposphere to the mesosphere with daily near-global coverage. We review the first 15 years of the record of H2O and N2O measurements from the MLS 190 GHz subsystem (along with other 190 GHz information), with a focus on their long-term stability, largely based on comparisons with measurements from other sensors. These comparisons generally show signs of an increasing drift in the MLS version 4 (v4) H2O record starting around 2010. Specifically, comparisons with v4.1 measurements from the Atmospheric Chemistry Experiment Fourier Transform Spectrometer (ACE-FTS) indicate a similar to 2 %-3% per decade drift over much of the stratosphere, increasing to as much as similar to 7% per decade around 46 hPa. Larger drifts, of around 7%-11% per decade, are seen in comparisons to balloon-borne frost point hygrometer measurements in the lower stratosphere. Microphysical calculations considering the formation of polar stratospheric clouds in the Antarctic winter stratosphere corroborate a drift in MLS v4 water vapor measurements in that region and season. In contrast, comparisons with the Sounding of the Atmosphere using Broadband Emission Radiometry (SABER) instrument on NASA's Thermosphere Iono-sphere Mesosphere Energetics and Dynamics (TIMED) mission, and with ground-based Water Vapor Millimeter-wave Spectrometer (WVMS) instruments, do not show statistically significant drifts. However, the uncertainty in these comparisons is large enough to encompass most of the drifts identified in other comparisons. In parallel, the MLS v4 N2O product is shown to be generally decreasing over the same period (when an increase in stratospheric N2O is expected, reflecting a secular growth in emissions), with a more pronounced drift in the lower stratosphere than that found for H2O. Comparisons to ACE-FTS and to MLS N2O observations in a different spectral region, with the latter available from 2004 to 2013, indicate an altitude-dependent drift, growing from 5% per decade or less in the mid-stratosphere to as much as 15% per decade in the lower stratosphere. Detailed investigations of the behavior of the MLS 190 GHz subsystem reveal a drift in its sideband fraction (the relative sensitivity of the 190 GHz receiver to the two different parts of the microwave spectrum that it observes). Our studies indicate that sideband fraction drift accounts for much of the observed changes in the MLS H2O product and some portion of the changes seen in N2O. The 190 GHz sideband fraction drift has been corrected in the new version 5 (v5) MLS algorithms, which have now been used to reprocess the entire MLS record. As a result of this correction, the MLS v5 H2O record shows no statistically significant drifts compared to ACE-FTS. However, statistically significant drifts remain between MLS v5 and frost point measurements, although they are reduced. Drifts in v5 N2O are about half the size of those in v4 but remain statistically significant. Scientists are advised to use MLS v5 data in all future studies. Quantification of inter-regional and seasonal to annual changes in MLS H2O and N2O will not be affected by the drift. However, caution is advised in studies using the MLS record to examine long-term (multiyear) variability and trends in either of these species, especially N2O; such studies should only be undertaken in consultation with the MLS team. Importantly, this drift does not affect any of the MLS observations made in other spectral regions such as O-3, HCl, CO, ClO, or temperature.</t>
  </si>
  <si>
    <t>[Livesey, Nathaniel J.; Read, William G.; Froidevaux, Lucien; Lambert, Alyn; Santee, Michelle L.; Schwartz, Michael J.; Millan, Luis F.; Jarnot, Robert F.; Wagner, Paul A.] CALTECH, Jet Prop Lab, 4800 Oak Grove Dr, Pasadena, CA 91125 USA; [Hurst, Dale F.] Univ Colorado, Cooperat Inst Res Environm Sci, Boulder, CO 80309 USA; [Hurst, Dale F.] NOAA, Global Monitoring Lab, Boulder, CO USA; [Walker, Kaley A.; Sheese, Patrick E.] Univ Toronto, Dept Phys, Toronto, ON, Canada; [Nedoluha, Gerald E.] Naval Res Lab, Remote Sensing Div, Washington, DC 20375 USA</t>
  </si>
  <si>
    <t>National Aeronautics &amp; Space Administration (NASA); NASA Jet Propulsion Laboratory (JPL); California Institute of Technology; University of Colorado System; University of Colorado Boulder; National Oceanic Atmospheric Admin (NOAA) - USA; University of Toronto; United States Department of Defense; United States Navy; Naval Research Laboratory</t>
  </si>
  <si>
    <t>Livesey, NJ (corresponding author), CALTECH, Jet Prop Lab, 4800 Oak Grove Dr, Pasadena, CA 91125 USA.</t>
  </si>
  <si>
    <t>nathaniel.j.livesey@jpl.nasa.gov</t>
  </si>
  <si>
    <t>read, william/AAL-1895-2021; Livesey, Nathaniel/AGQ-7257-2022; Santee, MIchelle/R-5762-2019; HURST, DALE/AAC-9948-2022; Schwartz, Michael J/F-5172-2016; Lambert, Alyn/I-8415-2014; Hurst, Dale/D-1554-2016</t>
  </si>
  <si>
    <t>HURST, DALE/0000-0002-6315-2322; Lambert, Alyn/0000-0003-3182-1824; Hurst, Dale/0000-0002-6315-2322</t>
  </si>
  <si>
    <t>National Aeronautics and Space Administration [80NM0018D0004]</t>
  </si>
  <si>
    <t>National Aeronautics and Space Administration(National Aeronautics &amp; Space Administration (NASA))</t>
  </si>
  <si>
    <t>This research has been supported by the National Aeronautics and Space Administration (grant no. 80NM0018D0004).</t>
  </si>
  <si>
    <t>10.5194/acp-21-15409-2021</t>
  </si>
  <si>
    <t>WJ6GD</t>
  </si>
  <si>
    <t>WOS:000709140400001</t>
  </si>
  <si>
    <t>Drury, AJ; Liebrand, D; Westerhold, T; Beddow, HM; Hodell, DA; Rohlfs, N; Wilkens, RH; Lyle, M; Bell, DB; Kroon, D; Pälike, H; Lourens, LJ</t>
  </si>
  <si>
    <t>Drury, Anna Joy; Liebrand, Diederik; Westerhold, Thomas; Beddow, Helen M.; Hodell, David A.; Rohlfs, Nina; Wilkens, Roy H.; Lyle, Mitchell; Bell, David B.; Kroon, Dick; Palike, Heiko; Lourens, Lucas J.</t>
  </si>
  <si>
    <t>Climate, cryosphere and carbon cycle controls on Southeast Atlantic orbital-scale carbonate deposition since the Oligocene (30-0 Ma)</t>
  </si>
  <si>
    <t>EASTERN EQUATORIAL PACIFIC; ANTARCTIC ICE-SHEET; PLIOCENE BIOGENIC BLOOM; LATE MIOCENE; ISOTOPE STRATIGRAPHY; VEGETATION CHANGE; TIBETAN PLATEAU; OXYGEN ISOTOPES; SITE U1334; OCEAN</t>
  </si>
  <si>
    <t>The evolution of the Cenozoic cryosphere from unipolar to bipolar over the past 30 million years (Myr) is broadly known. Highly resolved records of carbonate (CaCO3) content provide insight into the evolution of regional and global climate, cryosphere, and carbon cycle dynamics. Here, we generate the first Southeast Atlantic CaCO3 content record spanning the last 30 Myr, derived from X-ray fluorescence (XRF) ln(Ca / Fe) data collected at Ocean Drilling Program Site 1264 (Walvis Ridge, SE Atlantic Ocean). We present a comprehensive and continuous depth and age model for the entirety of Site 1264 (similar to 316 m; 30 Myr). This constitutes a key reference framework for future palaeoclimatic and palaeoceanographic studies at this location. We identify three phases with distinctly different orbital controls on Southeast Atlantic CaCO3 deposition, corresponding to major developments in climate, the cryosphere and the carbon cycle: (1) strong similar to 110 kyr eccentricity pacing prevails during Oligocene-Miocene global warmth (similar to 30-13 Ma), (2) increased eccentricity-modulated precession pacing appears after the middle Miocene Climate Transition (mMCT) (similar to 14-8 Ma), and (3) pervasive obliquity pacing appears in the late Miocene (similar to 7.7-3.3 Ma) following greater importance of high-latitude processes, such as increased glacial activity and high-latitude cooling. The lowest CaCO3 content (92 %-94 %) occurs between 18.5 and 14.5 Ma, potentially reflecting dissolution caused by widespread early Miocene warmth and preceding Antarctic deglaciation across the Miocene Climatic Optimum (similar to 17-14.5 Ma) by 1.5 Myr. The emergence of precession pacing of CaCO3 deposition at Site 1264 after similar to 14 Ma could signal a reorganisation of surface and/or deep-water circulation in this region following Antarctic reglaciation at the mMCT. The increased sensitivity to precession at Site 1264 between 14 and 13 Ma is associated with an increase in mass accumulation rates (MARs) and reflects increased regional CaCO3 productivity and/or recurrent influxes of cooler, less corrosive deep waters. The highest carbonate content (%CaCO3) and MARs indicate that the late Miocene-early Pliocene Biogenic Bloom (LMBB) occurs between similar to 7.8 and 3.3Ma at Site 1264; broadly contemporaneous with the LMBB in the equatorial Pacific Ocean. At Site 1264, the onset of the LMBB roughly coincides with appearance of strong obliquity pacing of %CaCO3, reflecting increased high-latitude forcing. The global expression of the LMBB may reflect increased nutrient input into the global ocean resulting from enhanced aeolian dust and/or glacial/chemical weathering fluxes, due to enhanced glacial activity and increased meridional temperature gradients. Regional variability in the timing and amplitude of the LMBB may be driven by regional differences in cooling, continental aridification and/or changes in ocean circulation in the late Miocene.</t>
  </si>
  <si>
    <t>[Drury, Anna Joy; Liebrand, Diederik; Westerhold, Thomas; Rohlfs, Nina; Palike, Heiko] Univ Bremen, MARUM Ctr Marine Environm Sci, Leobener Str 8, D-28359 Bremen, Germany; [Drury, Anna Joy] UCL, Dept Earth Sci, Gower St, London WC1E 6BT, England; [Beddow, Helen M.; Lourens, Lucas J.] Univ Utrecht, Dept Earth Sci, Fac Geosci, Utrecht, Netherlands; [Hodell, David A.] Univ Cambridge, Dept Earth Sci, Cambridge EH9 3FE, England; [Wilkens, Roy H.] Univ Hawaii, Sch Ocean &amp; Earth Sci &amp; Technol, Honolulu, HI 96822 USA; [Lyle, Mitchell] Oregon State Univ, Coll Earth Ocean &amp; Atmospher Sci, Corvallis, OR 97331 USA; [Bell, David B.; Kroon, Dick] Univ Edinburgh, Sch GeoSci, Edinburgh CB2 3EQ, Midlothian, Scotland</t>
  </si>
  <si>
    <t>University of Bremen; University of London; University College London; Utrecht University; University of Cambridge; University of Hawaii System; Oregon State University; University of Edinburgh</t>
  </si>
  <si>
    <t>Drury, AJ (corresponding author), Univ Bremen, MARUM Ctr Marine Environm Sci, Leobener Str 8, D-28359 Bremen, Germany.;Drury, AJ (corresponding author), UCL, Dept Earth Sci, Gower St, London WC1E 6BT, England.</t>
  </si>
  <si>
    <t>ajdrury@marum.de</t>
  </si>
  <si>
    <t>Westerhold, Thomas/D-4581-2011; Pälike, Heiko/A-6560-2008; Drury, Anna Joy/A-5237-2017</t>
  </si>
  <si>
    <t>Westerhold, Thomas/0000-0001-8151-4684; Pälike, Heiko/0000-0003-3386-0923; Drury, Anna Joy/0000-0001-6206-7284; Wilkens, Roy/0000-0002-4844-1046</t>
  </si>
  <si>
    <t>Deutsche Forschungsgemeinschaft [242225091, 408101468]; H2020 European Research Council [617462]; European Union's Horizon 2020 research and innovation programme under the Marie Sklodowska-Curie grant [796220]; National Science Foundation [OCE-1656960]; Cluster of Excellence The Ocean Floor - Earth's Uncharted Interface (Research Unit Recorder, DFG) [390741603]; Netherlands Earth System Science Centre (NESSC) [024.002.001]; Dutch Ministry of Education, Culture and Science (OCW) through NWO-ALW [865.10.001]; Marie Curie Actions (MSCA) [796220] Funding Source: Marie Curie Actions (MSCA)</t>
  </si>
  <si>
    <t>Deutsche Forschungsgemeinschaft(German Research Foundation (DFG)); H2020 European Research Council(Horizon 2020European Research Council (ERC)); European Union's Horizon 2020 research and innovation programme under the Marie Sklodowska-Curie grant(Marie Curie Actions); National Science Foundation(National Science Foundation (NSF)); Cluster of Excellence The Ocean Floor - Earth's Uncharted Interface (Research Unit Recorder, DFG)(German Research Foundation (DFG)); Netherlands Earth System Science Centre (NESSC); Dutch Ministry of Education, Culture and Science (OCW) through NWO-ALW; Marie Curie Actions (MSCA)(Marie Curie Actions)</t>
  </si>
  <si>
    <t>This research has been supported by the Deutsche Forschungsgemeinschaft (grant nos. 242225091 and 408101468), the H2020 European Research Council (grant no. 617462), European Union's Horizon 2020 research and innovation programme under the Marie Sklodowska-Curie grant (grant no. 796220), the National Science Foundation (grant no. OCE-1656960), the Cluster of Excellence The Ocean Floor - Earth's Uncharted Interface (Research Unit Recorder, DFG Grant Number 390741603), the Netherlands Earth System Science Centre (NESSC; gravitation grant no. 024.002.001), and the Dutch Ministry of Education, Culture and Science (OCW) through NWO-ALW grant (project no. 865.10.001).</t>
  </si>
  <si>
    <t>10.5194/cp-17-2091-2021</t>
  </si>
  <si>
    <t>WJ6OM</t>
  </si>
  <si>
    <t>WOS:000709162100001</t>
  </si>
  <si>
    <t>Modest, M; Irvine, L; Andrews-Goff, V; Gough, W; Johnston, D; Nowacek, D; Pallin, L; Read, A; Moore, RT; Friedlaender, A</t>
  </si>
  <si>
    <t>Modest, Michelle; Irvine, Ladd; Andrews-Goff, Virginia; Gough, William; Johnston, David; Nowacek, Douglas; Pallin, Logan; Read, Andrew; Moore, Reny Tyson; Friedlaender, Ari</t>
  </si>
  <si>
    <t>First description of migratory behavior of humpback whales from an Antarctic feeding ground to a tropical calving ground</t>
  </si>
  <si>
    <t>ANIMAL BIOTELEMETRY</t>
  </si>
  <si>
    <t>Humpback migration; Animal movement models; HSSM; Animal Ecology; Conservation; Humpback whales; Antarctica</t>
  </si>
  <si>
    <t>MEGAPTERA-NOVAEANGLIAE; DESTINATIONS; MOVEMENTS; PENINSULA; ECOSYSTEM; TRACKING; COASTAL; RECORD; SEX</t>
  </si>
  <si>
    <t>Background Despite exhibiting one of the longest migrations in the world, half of the humpback whale migratory cycle has remained unexamined. Until now, no study has provided a continuous description of humpback whale migratory behavior from a feeding ground to a calving ground. We present new information on satellite-derived offshore migratory movements of 16 Breeding Stock G humpback whales from Antarctic feeding grounds to South American calving grounds. Satellite locations were used to demonstrate migratory corridors, while the impact of departure date on migration speed was assessed using a linear regression. A Bayesian hierarchical state-space animal movement model (HSSM) was utilized to investigate the presence of Area Restricted Search (ARS) en route. Results 35,642 Argos locations from 16 tagged whales from 2012 to 2017 were collected. The 16 whales were tracked for a mean of 38.5 days of migration (range 10-151 days). The length of individually derived tracks ranged from 645 to 6381 km. Humpbacks were widely dispersed geographically during the initial and middle stages of their migration, but convened in two convergence regions near the southernmost point of Chile as well as Peru's Illescas Peninsula. The state-space model showed almost no instances of ARS along the migratory route. The linear regression assessing whether departure date affected migration speed showed suggestive but inconclusive support for a positive trend between the two variables. Results suggestive of stratification by sex and reproductive status were found for departure date and route choice. Conclusions This multi-year study sets a baseline against which the effects of climate change on humpback whales can be studied across years and conditions and provides an excellent starting point for the investigation into humpback whale migration.</t>
  </si>
  <si>
    <t>[Modest, Michelle; Pallin, Logan; Friedlaender, Ari] UC Santa Cruz, Dept Ecol &amp; Evolutionary Biol, Santa Cruz, CA 95064 USA; [Irvine, Ladd] Oregon State Univ, Hatfield Marine Sci Ctr, Marine Mammal Inst, Newport, OR USA; [Irvine, Ladd] Oregon State Univ, Hatfield Marine Sci Ctr, Dept Fisheries &amp; Wildlife, Newport, OR USA; [Andrews-Goff, Virginia] Australian Antarctic Div, Australian Marine Mammal Ctr, Kingston, Tas, Australia; [Gough, William] Stanford Univ, Hopkins Marine Stn, Dept Biol, Monterey, CA USA; [Johnston, David; Nowacek, Douglas; Read, Andrew] Duke Univ, Marine Lab, Beaufort, NC USA; [Moore, Reny Tyson] Chicago Zool Soc, Sarasota Dolphin Res Program, Sarasota, FL USA</t>
  </si>
  <si>
    <t>University of California System; University of California Santa Cruz; Oregon State University; Oregon State University; Australian Antarctic Division; Stanford University; Duke University</t>
  </si>
  <si>
    <t>Modest, M (corresponding author), UC Santa Cruz, Dept Ecol &amp; Evolutionary Biol, Santa Cruz, CA 95064 USA.</t>
  </si>
  <si>
    <t>michelle.modest@aya.yale.edu</t>
  </si>
  <si>
    <t>Andrews-Goff, Virginia/0000-0002-4609-7317; Johnston, David/0000-0003-2424-036X; Pallin, Logan/0000-0001-8024-9663</t>
  </si>
  <si>
    <t>Antarctic Wildlife Research Fund; NSF OPP National Science Foundation [ANT-0823101, 1250208, 1440435]; International Whaling Commission; Southern Ocean Research Partnership; Hogwarts Running Club; Directorate For Geosciences; Office of Polar Programs (OPP) [1250208] Funding Source: National Science Foundation</t>
  </si>
  <si>
    <t>Antarctic Wildlife Research Fund; NSF OPP National Science Foundation; International Whaling Commission; Southern Ocean Research Partnership; Hogwarts Running Club; Directorate For Geosciences; Office of Polar Programs (OPP)(National Science Foundation (NSF)NSF - Directorate for Geosciences (GEO))</t>
  </si>
  <si>
    <t>Research was supported by Antarctic Wildlife Research Fund, NSF OPP National Science Foundation ANT-0823101, 1250208, and 1440435, the International Whaling Commission, the Southern Ocean Research Partnership, and the Hogwarts Running Club.</t>
  </si>
  <si>
    <t>2050-3385</t>
  </si>
  <si>
    <t>ANIM BIOTELEM</t>
  </si>
  <si>
    <t>Anim. Biotelem.</t>
  </si>
  <si>
    <t>10.1186/s40317-021-00266-8</t>
  </si>
  <si>
    <t>Biodiversity Conservation; Ecology; Marine &amp; Freshwater Biology</t>
  </si>
  <si>
    <t>Biodiversity &amp; Conservation; Environmental Sciences &amp; Ecology; Marine &amp; Freshwater Biology</t>
  </si>
  <si>
    <t>WH3KA</t>
  </si>
  <si>
    <t>WOS:000707580000001</t>
  </si>
  <si>
    <t>Lowry, DP; Krapp, M; Golledge, NR; Alevropoulos-Borrill, A</t>
  </si>
  <si>
    <t>Lowry, Daniel P.; Krapp, Mario; Golledge, Nicholas R.; Alevropoulos-Borrill, Alanna</t>
  </si>
  <si>
    <t>The influence of emissions scenarios on future Antarctic ice loss is unlikely to emerge this century</t>
  </si>
  <si>
    <t>SEA-LEVEL RISE; MODEL INTERCOMPARISON PROJECT; BASAL MELT RATES; SHEET MODEL; WEST ANTARCTICA; THWAITES GLACIER; GROUNDING LINE; PISM-PIK; PHASE 6; OCEAN</t>
  </si>
  <si>
    <t>The Antarctic Ice Sheet's sea-level contribution in a high-emissions scenario is indistinguishable from that in a low-emissions scenario for the next century, but its long-term contribution depends on warming this century, according to ice sheet simulations and an emulator-based analysis. Of all the components of the global sea-level budget, the future contribution of the Antarctic Ice Sheet is the most uncertain in sea-level rise projections. Dynamic ice sheet model simulations show considerable overlap in the projected Antarctic Ice Sheet sea-level contribution under various greenhouse gas emissions scenarios and the timescale at which scenario dependence will emerge is unclear. With historically constrained ice sheet simulations and a statistical emulator, we demonstrate that a high-emissions signature of the Antarctic Ice Sheet sea-level contribution will not unambiguously emerge from the wide potential range of low-emission sea-level projections for over 100 years due to current limitations in our understanding in ice flow and sliding. However, the results also indicate that the total global warming that occurs over the 21st century controls the resulting long-term Antarctic Ice Sheet sea-level commitment, with multi-meter differences between the highest and lowest emissions scenarios in subsequent centuries.</t>
  </si>
  <si>
    <t>[Lowry, Daniel P.; Krapp, Mario] GNS Sci, Lower Hutt, New Zealand; [Lowry, Daniel P.; Krapp, Mario; Golledge, Nicholas R.; Alevropoulos-Borrill, Alanna] Victoria Univ Wellington, Antarctic Res Ctr, Wellington, New Zealand</t>
  </si>
  <si>
    <t>GNS Science - New Zealand; Victoria University Wellington</t>
  </si>
  <si>
    <t>Lowry, DP (corresponding author), GNS Sci, Lower Hutt, New Zealand.;Lowry, DP (corresponding author), Victoria Univ Wellington, Antarctic Res Ctr, Wellington, New Zealand.</t>
  </si>
  <si>
    <t>d.lowry@gns.cri.nz</t>
  </si>
  <si>
    <t>Krapp, Mario/AAB-9229-2020</t>
  </si>
  <si>
    <t>Krapp, Mario/0000-0002-2599-0683; Golledge, Nicholas/0000-0001-7676-8970</t>
  </si>
  <si>
    <t>New Zealand Ministry for Business, Innovation and Employment [RTUV1705, ANTA1801]; NASA [NNX17AG65G]; NSF [PLR-1603799, PLR-1644277]</t>
  </si>
  <si>
    <t>New Zealand Ministry for Business, Innovation and Employment(New Zealand Ministry of Business, Innovation and Employment (MBIE)); NASA(National Aeronautics &amp; Space Administration (NASA)); NSF(National Science Foundation (NSF))</t>
  </si>
  <si>
    <t>We thank three anonymous reviewers for their constructive comments. This work was supported by the New Zealand Ministry for Business, Innovation and Employment contracts RTUV1705 (NZSeaRise) and ANTA1801 (Antarctic Science Platform). We gratefully acknowledge the developers of PISM. The development of PISM was supported by NASA grant NNX17AG65G and NSF grants PLR-1603799 and PLR-1644277. We thank the Climate and Cryosphere (CliC) effort, which provided support for ISMIP6 through sponsoring of workshops, hosting the ISMIP6 website and wiki, and promoted ISMIP6. We acknowledge the World Climate Research Programme, which, through its Working Group on Coupled Modelling, coordinated and promoted CMIP5 and CMIP6. We thank the climate modeling groups for producing and making available their model output, the Earth System Grid Federation (ESGF) for archiving the CMIP data and providing access, the University at Buffalo for ISMIP6 data distribution and upload, and the multiple funding agencies who support CMIP5 and CMIP6 and ESGF. We thank the ISMIP6 steering committee, the ISMIP6 model selection group, and ISMIP6 data set preparation group for their continuous engagement in defining ISMIP6. This is ISMIP6 contribution no. 24.</t>
  </si>
  <si>
    <t>10.1038/s43247-021-00289-2</t>
  </si>
  <si>
    <t>WH3OJ</t>
  </si>
  <si>
    <t>WOS:000707591300001</t>
  </si>
  <si>
    <t>Di Franco, D; Linse, K; Griffiths, HJ; Brandt, A</t>
  </si>
  <si>
    <t>Di Franco, Davide; Linse, Katrin; Griffiths, Huw J.; Brandt, Angelika</t>
  </si>
  <si>
    <t>Abundance data of benthic peracarid crustaceans from the South Atlantic and Southern Ocean</t>
  </si>
  <si>
    <t>DATA IN BRIEF</t>
  </si>
  <si>
    <t>Crustacea; Peracarids; Benthos; Southern Ocean; Environmental variables; Weddell Sea; Depth; Abundance</t>
  </si>
  <si>
    <t>EPIBENTHIC-SLEDGE</t>
  </si>
  <si>
    <t>Peracarid data were collected in the Southern Ocean and South Atlantic Ocean. Sampling was performed during nine different expeditions on board of RRS James Clark Ross and RV Polarstern, using epibenthic sledges (EBS) at depth ranging between 160-6348 m at 109 locations. The correlation between environmental variables and peracarid abundance was investigated. Abundance data comprise a total of 128570 peracarids (52366 were amphipods, 28516 were cumaceans, 36142 isopods, 5676 mysidaceans and 5870 were tanaidaceans). The presented data are useful to investigate the composition and abundance patterns of peracarid orders at a wide depth range and spatial scale in the Southern Ocean. They can also be reused to compare their abundance with that of other taxa in broader ecological surveys. (C) 2021 The Authors. Published by Elsevier Inc.</t>
  </si>
  <si>
    <t>[Di Franco, Davide; Brandt, Angelika] Goethe Univ Frankfurt, Inst Ecol, Divers &amp; Evolut, Max von Laue Str 13, D-60438 Frankfurt, Germany; [Di Franco, Davide; Brandt, Angelika] Senckenberg Res Inst, Dept Marine Zool, Senckenberganlage 25, D-60325 Frankfurt, Germany; [Di Franco, Davide; Brandt, Angelika] Nat Hist Museum, Senckenberganlage 25, D-60325 Frankfurt, Germany; [Linse, Katrin; Griffiths, Huw J.] British Antarctic Survey, Madingley Rd, Cambridge CB3 0ET, England</t>
  </si>
  <si>
    <t>Goethe University Frankfurt; Senckenberg Gesellschaft fur Naturforschung (SGN); UK Research &amp; Innovation (UKRI); Natural Environment Research Council (NERC); NERC British Antarctic Survey</t>
  </si>
  <si>
    <t>Di Franco, D (corresponding author), Goethe Univ Frankfurt, Inst Ecol, Divers &amp; Evolut, Max von Laue Str 13, D-60438 Frankfurt, Germany.;Di Franco, D (corresponding author), Nat Hist Museum, Senckenberganlage 25, D-60325 Frankfurt, Germany.</t>
  </si>
  <si>
    <t>davide.di-franco@senckenberg.de</t>
  </si>
  <si>
    <t>Griffiths, Huw J/D-4234-2009</t>
  </si>
  <si>
    <t>Griffiths, Huw J/0000-0003-1764-223X; Brandt, Angelika/0000-0002-5807-1632; Linse, Katrin/0000-0003-3477-3047</t>
  </si>
  <si>
    <t>Deutsche Forschungsgemeinschaft (DFG) [Br1121/51-1]; Natural Environment Research Council (NERC) [NC-Science]; NERC [NE/R012296/1]</t>
  </si>
  <si>
    <t>Deutsche Forschungsgemeinschaft (DFG)(German Research Foundation (DFG)); Natural Environment Research Council (NERC) [NC-Science](UK Research &amp; Innovation (UKRI)Natural Environment Research Council (NERC)); NERC(UK Research &amp; Innovation (UKRI)Natural Environment Research Council (NERC))</t>
  </si>
  <si>
    <t>We would like to thank the captains and crews of RV Polarstern and RRS James Clark Ross and BAS AME stafffor their support and for the EBS deployments and maintenance during multiple expeditions as well as numerous student helpers for picking and sorting peracarid crustaceans from the samples. This work was supported and funded by the Deutsche Forschungsgemeinschaft (DFG; Br1121/51-1) in the framework of the project Larsen-C PEARL. Katrin Linse and Huw Griffiths are part of the British Antarctic Survey Polar Science for Planet Earth Programme. It was funded by The Natural Environment Research Council (NERC) [NC-Science], and included the funding for the RSS James Clark Ross expeditions JR275 and JR15005. The RSS James Clark Ross expedition JR17003a was funded by the NERC urgency grant NE/R012296/1.</t>
  </si>
  <si>
    <t>2352-3409</t>
  </si>
  <si>
    <t>DATA BRIEF</t>
  </si>
  <si>
    <t>Data Brief</t>
  </si>
  <si>
    <t>10.1016/j.dib.2021.107468</t>
  </si>
  <si>
    <t>YI4BN</t>
  </si>
  <si>
    <t>WOS:000743794900015</t>
  </si>
  <si>
    <t>Diaz, MA; Corbett, LB; Bierman, PR; Adams, BJ; Wall, DH; Hogg, ID; Fierer, N; Lyons, WB</t>
  </si>
  <si>
    <t>Diaz, Melisa A.; Corbett, Lee B.; Bierman, Paul R.; Adams, Byron J.; Wall, Diana H.; Hogg, Ian D.; Fierer, Noah; Lyons, W. Berry</t>
  </si>
  <si>
    <t>Relationship between meteoric 10Be and NO3- concentrations in soils along Shackleton Glacier, Antarctica</t>
  </si>
  <si>
    <t>EARTH SURFACE DYNAMICS</t>
  </si>
  <si>
    <t>CENTRAL TRANSANTARCTIC MOUNTAINS; MCMURDO DRY VALLEYS; ICE-SHEET; SIRIUS GROUP; VICTORIA LAND; REGION; RANGE; HISTORY; MARINE; GEOCHEMISTRY</t>
  </si>
  <si>
    <t>Outlet glaciers that flow through the Transantarctic Mountains (TAM) experienced changes in ice thickness greater than other coastal regions of Antarctica during glacial maxima. As a result, ice-free areas that are currently exposed may have been covered by ice at various points during the Cenozoic, complicating our understanding of ecological succession in TAM soils. Our knowledge of glacial extent on small spatial scales is limited for the TAM, and studies of soil exposure duration and disturbance, in particular, are rare. We collected surface soil samples and, in some places, depth profiles every 5 cm to refusal (up to 30 cm) from 11 ice-free areas along Shackleton Glacier, a major outlet glacier of the East Antarctic Ice Sheet. We explored the relationship between meteoric Be-10 and NO3- in these soils as a tool for understanding landscape disturbance and wetting history and as exposure proxies. Concentrations of meteoric Be-10 spanned more than an order of magnitude across the region (2:9 x 10(8) to 73 x 10(8) atoms g(-1)) and are among the highest measured in polar regions. The concentrations of NO3- were similarly variable and ranged from similar to 1 mu g g(-1) to 15 mg g(-1). In examining differences and similarities in the concentrations of Be-10 and NO3- with depth, we suggest that much of the southern portion of the Shackleton Glacier region has likely developed under a hyper-arid climate regime with minimal disturbance. Finally, we inferred exposure time using Be-10 concentrations. This analysis indicates that the soils we analyzed likely range from recent exposure (following the Last Glacial Maximum) to possibly &gt; 6 Myr. We suggest that further testing and interrogation of meteoric Be-10 and NO3- concentrations and relationships in soils can provide important information regarding landscape development, soil evolution processes, and inferred exposure durations of surfaces in the TAM.</t>
  </si>
  <si>
    <t>[Diaz, Melisa A.; Lyons, W. Berry] Ohio State Univ, Sch Earth Sci, Columbus, OH 43210 USA; [Diaz, Melisa A.; Lyons, W. Berry] Ohio State Univ, Byrd Polar &amp; Climate Res Ctr, Columbus, OH 43210 USA; [Corbett, Lee B.; Bierman, Paul R.] Univ Vermont, Rubenstein Sch Environm &amp; Nat Resources, Burlington, VT 05405 USA; [Adams, Byron J.] Brigham Young Univ, Monte L Bean Museum, Dept Biol, Evolutionary Ecol Lab, Provo, UT 84602 USA; [Wall, Diana H.] Colorado State Univ, Sch Global Environm Sustainabil, Dept Biol, Ft Collins, CO 80523 USA; [Hogg, Ian D.] Polar Knowledge Canada, Canadian High Arct Res Stn, Cambridge, NU, Canada; [Hogg, Ian D.] Univ Waikato, Sch Sci, Hamilton 3216, New Zealand; [Fierer, Noah] Univ Colorado, Cooperat Inst Res Environm Sci, Dept Ecol &amp; Evolutionary Biol, Boulder, CO 80309 USA</t>
  </si>
  <si>
    <t>University System of Ohio; Ohio State University; University System of Ohio; Ohio State University; University of Vermont; Brigham Young University; Colorado State University; University of Waikato; University of Colorado System; University of Colorado Boulder</t>
  </si>
  <si>
    <t>Diaz, MA (corresponding author), Ohio State Univ, Sch Earth Sci, Columbus, OH 43210 USA.;Diaz, MA (corresponding author), Ohio State Univ, Byrd Polar &amp; Climate Res Ctr, Columbus, OH 43210 USA.</t>
  </si>
  <si>
    <t>mdiaz@whoi.edu</t>
  </si>
  <si>
    <t>Wall, Diana H/F-5491-2011; Hogg, Ian D./HNS-7393-2023; Bierman, Paul/AAA-9466-2020</t>
  </si>
  <si>
    <t>Hogg, Ian D./0000-0002-6685-0089; Bierman, Paul/0000-0001-9627-4601; Wall, Diana H./0000-0002-9466-5235; Diaz, Melisa/0000-0001-6657-358X</t>
  </si>
  <si>
    <t>Office of Polar Programs [1341631, 1341629, 1341736]; National Science Foundation Divisions of Graduate Education and Earth Sciences [60041697, 1735676]; Directorate For Geosciences; Division Of Earth Sciences [1735676] Funding Source: National Science Foundation; Directorate For Geosciences; Office of Polar Programs (OPP) [1341631, 1341629] Funding Source: National Science Foundation; Directorate For Geosciences; Office of Polar Programs (OPP) [1341736] Funding Source: National Science Foundation</t>
  </si>
  <si>
    <t>Office of Polar Programs(National Science Foundation (NSF)NSF - Directorate for Geosciences (GEO)); National Science Foundation Divisions of Graduate Education and Earth Sciences(National Science Foundation (NSF)); Directorate For Geosciences; Division Of Earth Sciences(National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t>
  </si>
  <si>
    <t>This research has been supported by the Office of Polar Programs (grant nos. 1341631, 1341629, 1341736) and the National Science Foundation Divisions of Graduate Education and Earth Sciences (grant nos. 60041697 and 1735676).</t>
  </si>
  <si>
    <t>2196-6311</t>
  </si>
  <si>
    <t>2196-632X</t>
  </si>
  <si>
    <t>EARTH SURF DYNAM</t>
  </si>
  <si>
    <t>Earth Surf. Dyn.</t>
  </si>
  <si>
    <t>OCT 14</t>
  </si>
  <si>
    <t>10.5194/esurf-9-1363-2021</t>
  </si>
  <si>
    <t>WJ7GN</t>
  </si>
  <si>
    <t>WOS:000709209100001</t>
  </si>
  <si>
    <t>McCormack, SA; Melbourne-Thomas, J; Trebilco, R; Griffith, G; Hill, SL; Hoover, C; Johnston, NM; Marina, TI; Murphy, EJ; Pakhomov, EA; Pinkerton, M; Plaganyi, E; Saravia, LA; Subramaniam, RC; van de Putte, AP; Constable, AJ</t>
  </si>
  <si>
    <t>McCormack, Stacey A.; Melbourne-Thomas, Jessica; Trebilco, Rowan; Griffith, Gary; Hill, Simeon L.; Hoover, Carie; Johnston, Nadine M.; Marina, Tomas I.; Murphy, Eugene J.; Pakhomov, Evgeny A.; Pinkerton, Matt; Plaganyi, Eva; Saravia, Leonardo A.; Subramaniam, Roshni C.; Van de Putte, Anton P.; Constable, Andrew J.</t>
  </si>
  <si>
    <t>Southern Ocean Food Web Modelling: Progress, Prognoses, and Future Priorities for Research and Policy Makers</t>
  </si>
  <si>
    <t>ecosystem models; food web assessment; marine policy; Antarctic; ecosystem-based management</t>
  </si>
  <si>
    <t>TO-END MODELS; ANTARCTIC KRILL; ROSS SEA; CLIMATE-CHANGE; ELECTRONA-ANTARCTICA; ECOSYSTEM APPROACH; EUPHAUSIA-SUPERBA; MARINE ECOSYSTEM; FORAGE FISH; MANAGEMENT</t>
  </si>
  <si>
    <t>Globally important services are supported by Southern Ocean ecosystems, underpinned by the structure, function, and dynamics of complex interconnected and regionally distinctive food webs. These food webs vary in response to a combination of physical and chemical processes that alter productivity, species composition and the relative abundance and dynamics of organisms. Combined with regional and seasonal variability, climate-induced changes and human activities have and are expected to continue to drive important structural and functional changes to Southern Ocean food webs. However, our current understanding of food web structure, function, status, and trends is patchy in space and time, and methods for systematically assessing and comparing community-level responses to change within and across regional and temporal scales are not well developed. Insights gained from food web modelling studies-ranging from theoretical analyses of ecosystem resilience and adaptation, to qualitative and quantitative descriptions of the system-can assist in resolving patterns of energy flow and the ecological mechanisms that drive food web structure, function, and responses to drivers (such as fishing and climate change). This understanding is required to inform robust management strategies to conserve Southern Ocean food webs and the ecosystem services they underpin in the face of change. This paper synthesises the current state of knowledge regarding Southern Ocean pelagic food webs, highlighting the distinct regional food web characteristics, including key drivers of energy flow, dominant species, and network properties that may indicate system resilience. In particular, the insights, gaps, and potential integration of existing knowledge and Southern Ocean food web models are evaluated as a basis for developing integrated food web assessments that can be used to test the efficacy of alternative management and policy options. We discuss key limitations of existing models for assessing change resulting from various drivers, summarise priorities for model development and identify that significant progress could be made to support policy by advancing the development of food web models coupled to projected biogeochemical models, such as in Earth System models.</t>
  </si>
  <si>
    <t>[McCormack, Stacey A.; Subramaniam, Roshni C.] Univ Tasmania, Inst Marine &amp; Antarctic Studies, Hobart, Tas, Australia; [Melbourne-Thomas, Jessica; Trebilco, Rowan; Plaganyi, Eva] CSIRO, Oceans &amp; Atmosphere, Hobart, Tas, Australia; [Melbourne-Thomas, Jessica; Trebilco, Rowan; Plaganyi, Eva; Constable, Andrew J.] Univ Tasmania, Ctr Marine Socioecol, Hobart, Tas, Australia; [Griffith, Gary] Norwegian Polar Res Inst, Fram Ctr, Tromso, Norway; [Griffith, Gary] Princeton Univ, Levin Lab Ecol &amp; Evolutionary Biol, Princeton, NJ USA; [Hill, Simeon L.; Johnston, Nadine M.; Murphy, Eugene J.] British Antarctic Survey, Cambridge, England; [Hoover, Carie] Dalhousie Univ, Marine Affairs Program, Halifax, NS, Canada; [Marina, Tomas I.] Consejo Nacl Invest Cient &amp; Tecn, Ctr Austral Invest Cient CADIC, Ushuaia, Argentina; [Pakhomov, Evgeny A.] Univ British Columbia, Inst Oceans &amp; Fisheries, Earth Ocean &amp; Atmospher Sci Dept, Vancouver, BC, Canada; [Pakhomov, Evgeny A.] Hakai Inst, Heriot Bay, BC, Canada; [Pinkerton, Matt] Natl Inst Water &amp; Atmospher Res NIWA, Wellington, New Zealand; [Saravia, Leonardo A.] Univ Nacl Gen Sarmiento UNGS, Inst Ciencias, Buenos Aires, DF, Argentina; [Subramaniam, Roshni C.] Sydney Inst Marine Sci, Sydney, NSW, Australia; [Van de Putte, Anton P.] Royal Belgian Inst Nat Sci, OD Nat, Brussels, Belgium; [Van de Putte, Anton P.] Univ Libre Bruxelles, Marine Biol Lab, Brussels, Belgium; [Van de Putte, Anton P.] Katholieke Univ Leuven, Lab Biodivers &amp; Evolutionary Genom, Leuven, Belgium; [Constable, Andrew J.] Antarctic Climate &amp; Ecosyst, Cooperat Res Ctr, Hobart, Tas, Australia; [Constable, Andrew J.] Australian Antarctic Div, Dept Agr Water &amp; Environm, Kingston, Tas, Australia</t>
  </si>
  <si>
    <t>University of Tasmania; Commonwealth Scientific &amp; Industrial Research Organisation (CSIRO); University of Tasmania; Norwegian Polar Institute; Princeton University; UK Research &amp; Innovation (UKRI); Natural Environment Research Council (NERC); NERC British Antarctic Survey; Dalhousie University; Consejo Nacional de Investigaciones Cientificas y Tecnicas (CONICET); University of British Columbia; Hakai Institute; National Institute of Water &amp; Atmospheric Research (NIWA) - New Zealand; Sydney Institute of Marine Science; Royal Belgian Institute of Natural Sciences; Universite Libre de Bruxelles; KU Leuven; Antarctic Climate &amp; Ecosystems Cooperative Research Centre (ACE CRC); Australian Antarctic Division</t>
  </si>
  <si>
    <t>McCormack, SA (corresponding author), Univ Tasmania, Inst Marine &amp; Antarctic Studies, Hobart, Tas, Australia.</t>
  </si>
  <si>
    <t>stacey.mccormack@utas.edu.au</t>
  </si>
  <si>
    <t>Trebilco, Rowan/I-5311-2012; Marina, Tomas Ignacio/U-3460-2018; Melbourne-Thomas, Jess/N-2437-2019; Subramaniam, Roshni/ADZ-6878-2022; Saravia, Leonardo/AAM-3461-2021; Simeon, Hill L/B-2307-2008; murphy, eugene/GZL-1620-2022; Plaganyi, Eva E/C-5130-2011</t>
  </si>
  <si>
    <t>Trebilco, Rowan/0000-0001-9712-8016; Melbourne-Thomas, Jess/0000-0001-6585-876X; Saravia, Leonardo/0000-0002-7911-4398; Plaganyi, Eva E/0000-0002-4740-4200; Van de Putte, Anton/0000-0003-1336-5554; Johnston, Nadine M/0000-0003-2211-1492</t>
  </si>
  <si>
    <t>Antarctic Climate &amp; Ecosystems Cooperative Research Centre; PEW Charitable Trusts; MBIE [C01X1710, ANTA180]; New Zealand Ministry of Business, Innovation &amp; Employment (MBIE) [C01X1710] Funding Source: New Zealand Ministry of Business, Innovation &amp; Employment (MBIE)</t>
  </si>
  <si>
    <t>Antarctic Climate &amp; Ecosystems Cooperative Research Centre(Australian GovernmentDepartment of Industry, Innovation and ScienceCooperative Research Centres (CRC) Programme); PEW Charitable Trusts; MBIE(New Zealand Ministry of Business, Innovation and Employment (MBIE)); New Zealand Ministry of Business, Innovation &amp; Employment (MBIE)(New Zealand Ministry of Business, Innovation and Employment (MBIE))</t>
  </si>
  <si>
    <t>SM was supported by the Antarctic Climate &amp; Ecosystems Cooperative Research Centre and PEW Charitable Trusts. MP was supported by MBIE (C01X1710, ANTA180).</t>
  </si>
  <si>
    <t>10.3389/fevo.2021.624763</t>
  </si>
  <si>
    <t>WQ5AR</t>
  </si>
  <si>
    <t>WOS:000713829500001</t>
  </si>
  <si>
    <t>Wild, S; Eulaers, I; Covaci, A; Bossi, R; Hawker, D; Cropp, R; Southwell, C; Emmerson, L; Lepoint, G; Eisenmann, P; Nash, SB</t>
  </si>
  <si>
    <t>Wild, Seanan; Eulaers, Igor; Covaci, Adrian; Bossi, Rossana; Hawker, Darryl; Cropp, Roger; Southwell, Colin; Emmerson, Louise; Lepoint, Gilles; Eisenmann, Pascale; Nash, Susan Bengtson</t>
  </si>
  <si>
    <t>South polar skua (Catharacta maccormicki) as biovectors for long-range transport of persistent organic pollutants to Antarctica</t>
  </si>
  <si>
    <t>Southern ocean; Chemical exposure profiles; Migratory biota; Adelie penguin; Biological transport</t>
  </si>
  <si>
    <t>POLYBROMINATED DIPHENYL ETHERS; BROMINATED FLAME RETARDANTS; HEMISPHERE HUMPBACK WHALES; ADELIE PENGUINS; POLYCHLORINATED-BIPHENYLS; STABLE-ISOTOPES; FOOD-WEB; SEABIRDS; CONTAMINANTS; EXPOSURE</t>
  </si>
  <si>
    <t>Migratory bird species may serve as vectors of contaminants to Antarctica through the local deposition of guano, egg abandonment, or mortality. To further investigate this chemical input pathway, we examined the contaminant burdens and profiles of the migratory South polar skua (Catharacta maccormicki) and compared them to the endemic Adelie penguin (Pygoscelis adeliae). A range of persistent organic pollutants were targeted in muscle and guano to facilitate differentiation of likely exposure pathways. A total of 56 of 65 targeted analytes were detected in both species, but there were clear profile and magnitude differences between the species. The South polar skua and Adelie penguin muscle tissue burdens were dominated by p,p'-dichlorodiphenyldichlomethylene (mean 5600 ng g(-1) lw and 330 ng g(-1) lw respectively) and hexachlorobenzene (mean 2500 ng g(-1) lw and 570 ng g(-1) lw respectively), a chemical profile characteristic of the Antarctic and Southern Ocean region. Species profile differences, indicative of exposure at different latitudes, were observed for polychlorinated biphenyls (PCBs), with lower chlorinated congeners and deca-chlorinated PCB-209 detected in South polar Skua, but not in Adelie penguins. Notably, the more recently used perfluoroalkyl substances and the brominated flame retardants, hexabmmocyclododecane and tetrabromobisphenol A, were detected in both species. This finding suggests local exposure, given the predicted slow and limited long-range environmental transport capacity of these compounds to the eastern Antarctic sector.</t>
  </si>
  <si>
    <t>[Wild, Seanan; Eisenmann, Pascale; Nash, Susan Bengtson] Griffith Univ, Ctr Planetary Hlth &amp; Food Secur, Southern Ocean Persistent Organ Pollutants Progra, 170 Kessels Rd, Nathan, Qld 4111, Australia; [Eulaers, Igor] Aarhus Univ, Dept Biosci, Frederiksborgvej 399, DK-4000 Roskilde, Denmark; [Covaci, Adrian] Univ Antwerp, Toxicol Ctr, Univ Pl 1, B-2610 Antwerp, Belgium; [Hawker, Darryl; Cropp, Roger] Aarhus Univ, Dept Environm Sci, Frederiksborgvej 399, DK-4000 Roskilde, Denmark; [Hawker, Darryl; Cropp, Roger] Griffith Univ, Sch Environm &amp; Sci, 170 Kessels Rd, Nathan, Qld 4111, Australia; [Southwell, Colin; Emmerson, Louise] Australian Antarct Div AAD, Dept Agr Water &amp; Environm, Kingston, Tas 7050, Australia; [Lepoint, Gilles] Univ Liege, UR FOCUS, Gmare Ctr, Lab Oceanol, 3-15 Allee Chimiedu 6 Aout, B-4000 Liege, Belgium</t>
  </si>
  <si>
    <t>Griffith University; Aarhus University; University of Antwerp; Aarhus University; Griffith University; University of Liege</t>
  </si>
  <si>
    <t>Nash, SB (corresponding author), Griffith Univ, Ctr Planetary Hlth &amp; Food Secur, Southern Ocean Persistent Organ Pollutants Progra, 170 Kessels Rd, Nathan, Qld 4111, Australia.</t>
  </si>
  <si>
    <t>s.bengtsonnash@griffith.edu.au</t>
  </si>
  <si>
    <t>Cropp, Roger/C-1019-2008; Eulaers, Igor/AAJ-5912-2020; Bengtson Nash, Susan/GMX-4611-2022; Covaci, Adrian/A-9058-2008; Lepoint, Gilles/I-1130-2014</t>
  </si>
  <si>
    <t>Eulaers, Igor/0000-0002-7130-9932; Bengtson Nash, Susan/0000-0001-5928-0850; Covaci, Adrian/0000-0003-0527-1136; Lepoint, Gilles/0000-0003-4375-0357</t>
  </si>
  <si>
    <t>10.1016/j.envpol.2021.118358</t>
  </si>
  <si>
    <t>WN3PV</t>
  </si>
  <si>
    <t>WOS:000711684900001</t>
  </si>
  <si>
    <t>Carmody, H; Langlois, T; Mitchell, J; Navarro, M; Bosch, N; McLean, D; Monk, J; Lewis, P; Jackson, G</t>
  </si>
  <si>
    <t>Carmody, Harrison; Langlois, Tim; Mitchell, Jonathan; Navarro, Matthew; Bosch, Nestor; McLean, Dianne; Monk, Jacquomo; Lewis, Paul; Jackson, Gary</t>
  </si>
  <si>
    <t>Shark depredation in a commercial trolling fishery in sub-tropical Australia</t>
  </si>
  <si>
    <t>Depredation; Fishing effort; Shark behaviour; Fisheries management; Generalized additive mixed models; Spanish mackerel; Scomberomorus commerson</t>
  </si>
  <si>
    <t>CARCHARHINUS-LIMBATUS; BLACKTIP SHARK; FISHING GEAR; PROVISIONING ECOTOURISM; RECREATIONAL FISHERY; ODONTOCETE BYCATCH; LONGLINE FISHERIES; MOVEMENT PATTERNS; PELAGIC SHARKS; WHITE SHARKS</t>
  </si>
  <si>
    <t>Shark depredation, whereby hooked fish are partially or completely consumed before they can be retrieved, occurs globally in commercial and recreational fisheries. Depredation can damage fishing gear, injure sharks, cause additional mortality to targeted fish species and result in economic losses to fishers. Knowledge of the mechanisms behind depredation is limited. We used a 13 yr dataset of fishery-dependent commercial daily logbook data for the Mackerel Managed Fishery in Western Australia, which covers 15 degrees of latitude and 10 000 km of coastline, to quantify how fishing effort and environmental variables influence depredation. We found that shark depredation rates were relatively low in comparison with previous studies and varied across the 3 management zones of the fishery, with 1.7 % of hooked fish being depredated in the northern Zone 1, 2.5 % in the central Zone 2 and 5.7 % in the southern Zone 3. Generalized additive mixed models found that measures of commercial fishing activity and a proxy for recreational fishing effort (distance from town centre) were positively correlated with shark depredation across Zones 1 and 2. Depredation rates increased during the 13 yr period in Zones 2 and 3, and were higher at dawn and dusk, suggesting crepuscular feeding in Zone 1. This study provides one of the first quantitative assessments of shark depredation in a commercial fishery in Western Australia, and for a trolling fishery globally. The results demonstrate a correlation between fishing effort and depredation, suggesting greater fishing effort in a concentrated area may change shark behaviour, leading to high rates of depredation.</t>
  </si>
  <si>
    <t>[Carmody, Harrison; Langlois, Tim; Mitchell, Jonathan; Navarro, Matthew; Bosch, Nestor] Univ Western Australia, Sch Biol Sci, Perth, WA 6009, Australia; [Langlois, Tim; Mitchell, Jonathan; Navarro, Matthew; Bosch, Nestor; McLean, Dianne] Indian Ocean Marine Res Ctr, Oceans Inst, Perth, WA 6009, Australia; [Mitchell, Jonathan] Queensland Govt, Dept Agr &amp; Fisheries, Dutton Pk, Qld 4102, Australia; [McLean, Dianne] Indian Ocean Marine Res Ctr, Australian Inst Marine Sci Perth, Perth, WA 6009, Australia; [Monk, Jacquomo] Univ Tasmania, Inst Marine &amp; Antarctic Studies, Hobart, Tas 2001, Australia; [Lewis, Paul; Jackson, Gary] Govt Western Australia, Dept Primary Ind &amp; Reg Dev, Western Australia Fisheries &amp; Marine Res Labs, Hillarys, WA 6025, Australia</t>
  </si>
  <si>
    <t>University of Western Australia; University of Western Australia; University of Western Australia; University of Tasmania</t>
  </si>
  <si>
    <t>Carmody, H (corresponding author), Univ Western Australia, Sch Biol Sci, Perth, WA 6009, Australia.</t>
  </si>
  <si>
    <t>harrison.carmody1996@gmail.com</t>
  </si>
  <si>
    <t>Navarro, Matt/IAP-1249-2023; Guerra, Néstor Echedey Bosch/AAI-6774-2020; McLean, Dianne/H-2449-2012</t>
  </si>
  <si>
    <t>Guerra, Néstor Echedey Bosch/0000-0003-0421-8456; Navarro, Matthew/0000-0003-2778-5322; McLean, Dianne/0000-0002-0306-8348</t>
  </si>
  <si>
    <t>School of Biological Sciences</t>
  </si>
  <si>
    <t>School of Biological Sciences(UK Research &amp; Innovation (UKRI)Biotechnology and Biological Sciences Research Council (BBSRC))</t>
  </si>
  <si>
    <t>We thank the commercial mackerel fishers for their time and knowledge which helped give us a far greater understanding of their fishery. Further thanks to all anonymous reviewers and editors, whose comprehensive comments significantly improved the quality of the manuscript. We also thank the staff at the Department of Primary Industries and Regional Development, and Steve Taylor for his assistance in drafting the questionnaire. Thanks to everyone in the Marine Ecology Group at the University of Western Australia, especially Brooke Gibbons, Todd Bond and Charlotte Mara-Petersen. Thanks to the School of Biological Sciences for Masters project funding.</t>
  </si>
  <si>
    <t>10.3354/meps13847</t>
  </si>
  <si>
    <t>WR3YQ</t>
  </si>
  <si>
    <t>WOS:000714439800002</t>
  </si>
  <si>
    <t>Baines, M; Kelly, N; Reichelt, M; Lacey, C; Pinder, S; Fielding, S; Murphy, E; Trathan, P; Biuw, M; Lindstrom, U; Krafft, BA; Jackson, JA</t>
  </si>
  <si>
    <t>Baines, Mick; Kelly, Natalie; Reichelt, Maren; Lacey, Claire; Pinder, Simon; Fielding, Sophie; Murphy, Eugene; Trathan, Phil; Biuw, Martin; Lindstrom, Ulf; Krafft, Bjorn A.; Jackson, Jennifer A.</t>
  </si>
  <si>
    <t>Population abundance of recovering humpback whales Megaptera novaeangliae and other baleen whales in the Scotia Arc, South Atlantic</t>
  </si>
  <si>
    <t>Humpback whale; Baleen whale; Abundance; Krill consumption; South Georgia; South Sandwich Islands</t>
  </si>
  <si>
    <t>KRILL EUPHAUSIA-SUPERBA; ANTARCTIC KRILL; BLUE WHALES; EUBALAENA-AUSTRALIS; MANAGING FISHERIES; RELATIVE ABUNDANCE; ECOSYSTEM APPROACH; SPATIAL MODELS; ORKNEY ISLANDS; MINKE WHALES</t>
  </si>
  <si>
    <t>Following the cessation of whaling, South Atlantic populations of humpback Megaptera novaeangliae and some other baleen whale species are recovering, but there has been limited monitoring of their recovery in the Scotia Arc, a former whaling epicentre and a hotspot for Antarctic krill Euphausia superba. To inform the management of krill fisheries, up-to-date assessment of whale biomass and prey consumption is essential. Using a model-based approach, we provide the first estimates of whale abundance and krill consumption for South Georgia and the South Sandwich Islands and total abundance of humpback whales across their southwestern Atlantic feeding grounds, using data collected in 2019. Humpback whale abundance was estimated at 24 543 (coefficient of variation, CV = 0.26; 95 % CI = 14 863-40 528), similar to that measured in Brazil on the main wintering ground for this population. The abundance of baleen whales in South Georgia and the South Sandwich Islands, including those not identified to species level, was estimated at 43 824 (CV = 0.15, 95 % CI = 33 509-59 077). Based on the proportion of humpback whales identified during the surveys (83 %), the majority of these are likely to be humpback whales. Annual krill consumption by baleen whales was estimated to be in the range 4.8 to 7.2 million tons, representing 7 to 10% of the estimated krill biomass in the region. However, there is a need to better understand feeding rates in baleen whales, and further research into this field should be a priority to improve the accuracy and precision of prey consumption rate estimation.</t>
  </si>
  <si>
    <t>[Baines, Mick; Reichelt, Maren] Wildscope, Cadiz 11380, Spain; [Kelly, Natalie] Australian Antarctic Div, Dept Agr Water &amp; Environm, Kingston, Tas 7050, Australia; [Lacey, Claire] Univ St Andrews, Scottish Ocean Inst, SMRU, St Andrews KY16 8LB, Fife, Scotland; [Lacey, Claire] Univ Hawaii Manoa, Hawaii Inst Marine Biol, Marine Mammal Res Program, Honolulu, HI 96744 USA; [Fielding, Sophie; Murphy, Eugene; Trathan, Phil; Jackson, Jennifer A.] British Antarctic Survey, NERC, Cambridge CB3 0ET, England; [Biuw, Martin; Lindstrom, Ulf] Framsenteret, Inst Marine Res, N-9296 Tromso, Norway; [Lindstrom, Ulf] UiT Norges Arktiske Univ, N-9037 Tromso, Norway; [Krafft, Bjorn A.] Inst Marine Res, N-5817 Bergen, Norway</t>
  </si>
  <si>
    <t>Australian Antarctic Division; University of St Andrews; University of Hawaii System; University of Hawaii Manoa; UK Research &amp; Innovation (UKRI); Natural Environment Research Council (NERC); NERC British Antarctic Survey; Institute of Marine Research - Norway; UiT The Arctic University of Tromso; Institute of Marine Research - Norway</t>
  </si>
  <si>
    <t>Baines, M (corresponding author), Wildscope, Cadiz 11380, Spain.</t>
  </si>
  <si>
    <t>mickbaines@gmail.com</t>
  </si>
  <si>
    <t>Jackson, Jennifer A/E-7997-2013; Fielding, Sophie/E-5137-2012; Kelly, Natalie/B-3481-2010; murphy, eugene/GZL-1620-2022</t>
  </si>
  <si>
    <t>Kelly, Nat/0000-0002-9664-354X; Baines, Mick/0000-0002-6728-2941; Jackson, Jennifer/0000-0003-4158-1924; Biuw, Martin/0000-0001-8051-3399; Lacey, Claire/0000-0003-0541-8193</t>
  </si>
  <si>
    <t>Natural Environment Research Council; Foreign, Commonwealth and Development Office; South Georgia Heritage Trust; Darwin PLUS award [DPLUS057]; Norwegian Ministry of Trade, Industry and Fisheries [15208]; Institute of Marine Research (IMR); IMR project Krill [14246]; Association of Responsible Krill Harvesting Companies (ARK); Aker Biomarine AS; NFD [15208]; IMR project Krill; NERC [bas0100035] Funding Source: UKRI</t>
  </si>
  <si>
    <t>Natural Environment Research Council(UK Research &amp; Innovation (UKRI)Natural Environment Research Council (NERC)); Foreign, Commonwealth and Development Office; South Georgia Heritage Trust; Darwin PLUS award; Norwegian Ministry of Trade, Industry and Fisheries; Institute of Marine Research (IMR); IMR project Krill; Association of Responsible Krill Harvesting Companies (ARK); Aker Biomarine AS; NFD; IMR project Krill; NERC(UK Research &amp; Innovation (UKRI)Natural Environment Research Council (NERC))</t>
  </si>
  <si>
    <t>This study forms part of the ecosystems component of the British Antarctic Survey, Polar Science for Planet Earth Programme, funded by the Natural Environment Research Council. This work received funding support from the Foreign, Commonwealth and Development Office, as part of the Overseas Territories Blue Belt Programme, the South Georgia Heritage Trust and from Darwin PLUS award DPLUS057. We thank the Government of South Georgia and the South Sandwich Islands and the captain and crew of the RRS 'Discovery' for providing support for this expedition. Thanks to Laura Gerrish for mapping support. C.L.'s contribution to this paper represents HIMB and SOEST contribution numbers 1861 and 11377, respectively. The data collected from the RV 'Kronprins Haakon' work was supported by the Norwegian Ministry of Trade, Industry and Fisheries (NFD, via project number 15208), the Institute of Marine Research (IMR) and the IMR project Krill (project number 14246). The data collected from the FV `Cabo de Hornos' was financed by the Association of Responsible Krill Harvesting Companies (ARK, www.ark-krill.org), Aker Biomarine AS (www.akerbiomarine.com), NFD via project number 15208 and the IMR project Krill. Also, officers, crew and scientific personnel onboard these vessels are thanked for carrying out the surveying.</t>
  </si>
  <si>
    <t>10.3354/meps13849</t>
  </si>
  <si>
    <t>WOS:000714439800005</t>
  </si>
  <si>
    <t>Amélineau, F; Merkel, B; Tarroux, A; Descamps, S; Anker-Nilssen, T; Bjornstad, O; Bråthen, VS; Chastel, O; Christensen-Dalsgaard, S; Danielsen, J; Daunt, F; Dehnhard, N; Ekker, M; Erikstad, KE; Ezhov, A; Fauchald, P; Gavrilo, M; Hallgrimsson, GT; Hansen, ES; Harris, MP; Helberg, M; Helgason, HH; Johansen, MK; Jónsson, JE; Kolbeinsson, Y; Krasnov, Y; Langset, M; Lorentsen, SH; Lorentzen, E; Melnikov, MV; Moe, B; Newell, MA; Olsen, B; Reiertsen, T; Systad, GH; Thompson, P; Thorarinsson, TL; Tolmacheva, E; Wanless, S; Wojczulanis-Jakubas, K; Åström, J; Strom, H</t>
  </si>
  <si>
    <t>Amelineau, F.; Merkel, B.; Tarroux, A.; Descamps, S.; Anker-Nilssen, T.; Bjornstad, O.; Brathen, V. S.; Chastel, O.; Christensen-Dalsgaard, S.; Danielsen, J.; Daunt, F.; Dehnhard, N.; Ekker, M.; Erikstad, K. E.; Ezhov, A.; Fauchald, P.; Gavrilo, M.; Hallgrimsson, G. T.; Hansen, E. S.; Harris, M. P.; Helberg, M.; Helgason, H. H.; Johansen, M. K.; Jonsson, J. E.; Kolbeinsson, Y.; Krasnov, Y.; Langset, M.; Lorentsen, S. H.; Lorentzen, E.; Melnikov, M., V; Moe, B.; Newell, M. A.; Olsen, B.; Reiertsen, T.; Systad, G. H.; Thompson, P.; Thorarinsson, T. L.; Tolmacheva, E.; Wanless, S.; Wojczulanis-Jakubas, K.; Astrom, J.; Strom, H.</t>
  </si>
  <si>
    <t>Six pelagic seabird species of the North Atlantic engage in a fly-and-forage strategy during their migratory movements</t>
  </si>
  <si>
    <t>Light-level geolocation; Non-breeding movements; Migration strategies; Dovekies; Common murres; Thick-billed murres</t>
  </si>
  <si>
    <t>BREEDING MOVEMENTS; ACTIVITY PATTERNS; WINTERING AREAS; HABITAT USE; FLIGHT; OCEAN; TRACKING; REVEALS; FLEXIBILITY; PERFORMANCE</t>
  </si>
  <si>
    <t>Bird migration is commonly defined as a seasonal movement between breeding and non-breeding grounds. It generally involves relatively straight and directed large-scale movements, with a latitudinal change, and specific daily activity patterns comprising less or no foraging and more traveling time. Our main objective was to describe how this general definition applies to seabirds. We investigated migration characteristics of 6 pelagic seabird species (little auk Alle alle, Atlantic puffin Fratercula arctica, common guillemot Uria aalge, Brunnich's guillemot U. lomvia, black-legged kittiwake Rissa tridactyla and northern fulmars Fulmarus glacialis). We analysed an extensive geolocator positional and saltwater immersion dataset from 29 colonies in the North-East Atlantic and across several years (2008-2019). We used a novel method to identify active migration periods based on segmentation of time series of track characteristics (latitude, longitude, net-squared displacement). Additionally, we used the saltwater immersion data of geolocators to infer bird activity. We found that the 6 species had, on average, 3 to 4 migration periods and 2 to 3 distinct stationary areas during the non-breeding season. On average, seabirds spent the winter at lower latitudes than their breeding colonies and followed specific migration routes rather than non-directionally dispersing from their colonies. Differences in daily activity patterns were small between migratory and stationary periods, suggesting that all species continued to forage and rest while migrating, engaging in a 'fly-and-forage' migratory strategy. We thereby demonstrate the importance of habitats visited during seabird migrations as those that are not just flown over, but which may be important for re-fuelling.</t>
  </si>
  <si>
    <t>[Amelineau, F.; Merkel, B.; Descamps, S.; Helgason, H. H.; Johansen, M. K.; Lorentzen, E.; Strom, H.] Norwegian Polar Res Inst, Fram Ctr, N-9296 Tromso, Norway; [Tarroux, A.; Erikstad, K. E.; Fauchald, P.; Reiertsen, T.] Norwegian Inst Nat Res, Fram Ctr, N-9296 Tromso, Norway; [Anker-Nilssen, T.; Brathen, V. S.; Dehnhard, N.; Langset, M.; Lorentsen, S. H.; Moe, B.; Astrom, J.] Norwegian Inst Nat Res, N-7485 Trondheim, Norway; [Bjornstad, O.] Karmoy Ringmerkingsgrp, N-4280 Skudeneshavn, Norway; [Chastel, O.; Christensen-Dalsgaard, S.] Univ La Rochelle, Ctr Etud Biol Chize, UMR7372, CNRS, F-79360 Villiers En Bois, France; [Danielsen, J.; Olsen, B.] Faroe Marine Res Inst, FR-100 Torshavn, Faroe Islands; [Daunt, F.; Harris, M. P.; Newell, M. A.; Wanless, S.] UK Ctr Ecol &amp; Hydrol, Penicuik EH26 0QB, Midlothian, Scotland; [Ekker, M.] Norwegian Environm Agcy, N-7485 Trondheim, Norway; [Ezhov, A.; Krasnov, Y.] Murmansk Marine Biol Inst, Murmansk 183010, Russia; [Gavrilo, M.] Natl Pk Russian Arctic, Arkhangelsk 163069, Russia; [Gavrilo, M.] Assoc Maritime Heritage, St Petersburg 199106, Russia; [Hallgrimsson, G. T.] Univ Iceland, Fac Life &amp; Environm Sci, IS-102 Reykjavik, Iceland; [Hansen, E. S.] South Iceland Nat Res Ctr, IS-900 Vestmannaeyjar, Iceland; [Helberg, M.] Ostfold Univ Coll, N-1757 Halden, Norway; [Jonsson, J. E.] Univ Icelands Res Ctr Snaefellsnes, IS-340 Stykkisholmur, Iceland; [Kolbeinsson, Y.; Thorarinsson, T. L.] Northeast Iceland Nat Res Ctr, IS-640 Husavik, Iceland; [Melnikov, M., V] Lipetsk State Pedag Univ, Lipetsk 398020, Russia; [Systad, G. H.] Norwegian Inst Nat Res, N-5006 Bergen, Norway; [Thompson, P.] Univ Aberdeen, Sch Biol Sci, Lighthouse Field Stn, Aberdeen IV11 8YL, Scotland; [Tolmacheva, E.] Kandalaksha State Nat Reserve, Kandalaksha 184042, Russia; [Wojczulanis-Jakubas, K.] Univ Gdansk, PL-80309 Gdansk, Poland; [Merkel, B.] Fram Ctr, Akvaplan Niva, N-9296 Tromso, Norway; [Gavrilo, M.] Arctic &amp; Antarctic Res Inst, St Petersburg 198397, Russia; [Helgason, H. H.] East Iceland Nat Res Ctr, IS-740 Neskaupstaour, Iceland</t>
  </si>
  <si>
    <t>Norwegian Polar Institute; Norwegian Institute Nature Research; Norwegian Institute Nature Research; Centre National de la Recherche Scientifique (CNRS); CNRS - Institute of Ecology &amp; Environment (INEE); La Rochelle Universite; Faroe Marine Research Institute (FAMRI); UK Centre for Ecology &amp; Hydrology (UKCEH); Russian Academy of Sciences; University of Iceland; Ostfold University College; Norwegian Institute Nature Research; University of Aberdeen; Fahrenheit Universities; University of Gdansk; Akvaplan-niva; Arctic &amp; Antarctic Research Institute</t>
  </si>
  <si>
    <t>Amélineau, F (corresponding author), Norwegian Polar Res Inst, Fram Ctr, N-9296 Tromso, Norway.</t>
  </si>
  <si>
    <t>francoise.amelineau@gmail.com</t>
  </si>
  <si>
    <t>Dehnhard, Nina/H-6160-2016; Daunt, Francis/K-6688-2012; Jónsson, Jón Einar/K-7482-2015; Systad, Geir Helge Rødli/IAR-4562-2023; Åström, Jens/I-6746-2012; Hallgrimsson, Gunnar Thor T/M-3105-2015; Hansen, Erpur Snær/V-1858-2018; Wojczulanis-Jakubas, Katarzyna/AAO-4126-2021; Gavrilo, Maria V/R-7091-2016; Anker-Nilssen, Tycho/AAB-7666-2022</t>
  </si>
  <si>
    <t>Dehnhard, Nina/0000-0002-4182-2698; Jónsson, Jón Einar/0000-0003-1198-786X; Hansen, Erpur Snær/0000-0001-6899-2817; Wojczulanis-Jakubas, Katarzyna/0000-0001-6230-0509; Gavrilo, Maria V/0000-0002-3500-9617; Anker-Nilssen, Tycho/0000-0002-1030-5524; Astrom, Jens/0000-0002-6114-0440; Amelineau, Francoise/0000-0001-9723-5858; Danielsen, Johannis/0000-0002-9775-4786; Alexey, Ezhov/0000-0001-6110-1153; Thorarinsson, Thorkell Lindberg/0000-0002-1638-2555; Hallgrimsson, Gunnar Thor/0000-0002-3697-9148; Lorentsen, Svein-Hakon/0000-0002-7867-0034</t>
  </si>
  <si>
    <t>Norwegian Ministry for Climate and the Environment; Norwegian Ministry of Foreign Affairs; Norwegian Oil and Gas Association; SEATRACK project; SEAPOP program [192141]; French Polar Institute (IPEV project) [330]; Natural Environment Research Council [NE/R016429/1]; NERC [NE/R016429/1] Funding Source: UKRI</t>
  </si>
  <si>
    <t>Norwegian Ministry for Climate and the Environment; Norwegian Ministry of Foreign Affairs; Norwegian Oil and Gas Association; SEATRACK project; SEAPOP program; French Polar Institute (IPEV project); Natural Environment Research Council(UK Research &amp; Innovation (UKRI)Natural Environment Research Council (NERC)); NERC(UK Research &amp; Innovation (UKRI)Natural Environment Research Council (NERC))</t>
  </si>
  <si>
    <t>We thank all the fieldworkers for their hard work collecting data. Funding for this study was provided by the Norwegian Ministry for Climate and the Environment, the Norwegian Ministry of Foreign Affairs and the Norwegian Oil and Gas Association along with 8 oil companies through the SEATRACK project (www.seapop.no/en/seatrack).Fieldwork in Norwegian colonies (incl. Svalbard and Jan Mayen) was supported by the SEAPOP program (www.seapop.no, grant no. 192141). The French Polar Institute (IPEV project 330 to O.C.) supported field operation for Kongsfjord kittiwakes. The work on the Isle of May was also supported by the Natural Environment Research Council (Award NE/R016429/1 as part of the UK-SCaPE programme delivering National Capability). We thank Maria Bogdanova for field support and data processing. Finally, we thank 3 anonymous reviewers for their help improving the first version of the manuscript.</t>
  </si>
  <si>
    <t>10.3354/meps13872</t>
  </si>
  <si>
    <t>WOS:000714439800008</t>
  </si>
  <si>
    <t>Moe, B; Daunt, F; Bråthen, VS; Barrett, RT; Ballesteros, M; Bjornstad, O; Bogdanova, M; Dehnhard, N; Erikstad, KE; Follestad, A; Gíslason, S; Hallgrimsson, GT; Lorentsen, SH; Newell, M; Petersen, A; Phillips, RA; Ragnarsdóttir, SB; Reiertsen, TK; Åström, J; Wanless, S; Anker-Nilssen, T</t>
  </si>
  <si>
    <t>Moe, Borge; Daunt, Francis; Brathen, Vegard Sandoy; Barrett, Robert T.; Ballesteros, Manuel; Bjornstad, Oskar; Bogdanova, Maria, I; Dehnhard, Nina; Erikstad, Kjell Einar; Follestad, Arne; Gislason, Sindri; Hallgrimsson, Gunnar Thor; Lorentsen, Svein-Hakon; Newell, Mark; Petersen, Aevar; Phillips, Richard A.; Ragnarsdottir, Sunna Bjork; Reiertsen, Tone Kristin; Astrom, Jens; Wanless, Sarah; Anker-Nilssen, Tycho</t>
  </si>
  <si>
    <t>Twilight foraging enables European shags to survive the winter across their latitudinal range</t>
  </si>
  <si>
    <t>Winter ecology; Phalacrocorax aristotelis; Partial migration; Latitudinal gradient; Foraging effort; Geolocation; Data logger</t>
  </si>
  <si>
    <t>CORMORANTS PHALACROCORAX-CARBO; GREAT CORMORANTS; TRACKING REVEALS; STRATEGIES; ARISTOTELIS; MIGRATION; SEABIRD; FLEXIBILITY; PERFORMANCE; MOVEMENTS</t>
  </si>
  <si>
    <t>Species breeding at high latitudes face a significant challenge of surviving the winter. Such conditions are particularly severe for diurnal marine endotherms such as seabirds. A critical question is therefore what behavioural strategies such species adopt to maximise survival probability. We tested 3 hypotheses: (1) they migrate to lower latitudes to exploit longer day length ('sun-chasing'), (2) they forage at night ('night-feeding'), or (3) they target high-quality food patches to minimise foraging time ('feasting'). We studied the winter migration and foraging strategies of European shags Phalacrocorax aristotelis from 6 colonies across a latitudinal gradient from temperate regions to north of the Arctic Circle using geolocators deployed over 11 winters. We found evidence for 'sun-chasing', whereby average southerly movements were greatest from colonies at higher latitudes. However, a proportion of individuals from higher latitudes remained resident in winter and, in the absence of daylight, they foraged during twilight and only very occasionally during the night. At lower latitudes, there was little evidence that individuals migrated south, nocturnal feeding was absent, and twilight feeding was infrequent, suggesting that there was sufficient daylight in winter. There was no evidence that winter foraging time was lowest at higher latitudes, as predicted by the 'feasting' hypothesis. Our results suggest that shags adopt different behavioural strategies to survive the winter across their latitudinal range, dictated by the differing light constraints. Our study highlights the value of multi-colony studies in testing key hypotheses to explain population persistence in seabird species that occur over large latitudinal ranges.</t>
  </si>
  <si>
    <t>[Moe, Borge; Brathen, Vegard Sandoy; Dehnhard, Nina; Follestad, Arne; Lorentsen, Svein-Hakon; Astrom, Jens; Anker-Nilssen, Tycho] Norwegian Inst Nat Res NINA, POB 5685 Torgarden, N-7485 Trondheim, Norway; [Moe, Borge] Norwegian Univ Sci &amp; Technol, Dept Biol, N-7491 Trondheim, Norway; [Daunt, Francis; Bogdanova, Maria, I; Newell, Mark; Wanless, Sarah] UK Ctr Ecol &amp; Hydrol, Bush Estate, Penicuik EH26 0QB, Midlothian, Scotland; [Barrett, Robert T.] Tromso Univ Museum, Dept Nat Sci, N-9037 Tromso, Norway; [Ballesteros, Manuel; Erikstad, Kjell Einar; Reiertsen, Tone Kristin] Norwegian Inst Nat Res NINA, FRAM High North Res Ctr Climate &amp; Environm, POB 6606 Langnes, N-9296 Tromso, Norway; [Bjornstad, Oskar] Grodheimvegen 18, N-4280 Skudeneshavn, Norway; [Erikstad, Kjell Einar] Norwegian Univ Sci &amp; Technol, Ctr Biodivers Dynam, Dept Biol, N-7491 Trondheim, Norway; [Gislason, Sindri; Ragnarsdottir, Sunna Bjork] Southwest Iceland Nat Res Ctr SINRC, IS-245 Sudurnesjabaer, Iceland; [Hallgrimsson, Gunnar Thor] Univ Iceland, Dept Life &amp; Environm Sci, IS-102 Reykjavik, Iceland; [Petersen, Aevar] Brautarland 2, IS-108 Reykjavik, Iceland; [Phillips, Richard A.] NERC, British Antarctic Survey, Cambridge CB3 0ET, England; [Ragnarsdottir, Sunna Bjork] Iceland Inst Nat Hist, IS-600 Borgum, Akureyri, Iceland</t>
  </si>
  <si>
    <t>Norwegian Institute Nature Research; Norwegian University of Science &amp; Technology (NTNU); UK Centre for Ecology &amp; Hydrology (UKCEH); UiT The Arctic University of Tromso; Norwegian Institute Nature Research; Norwegian University of Science &amp; Technology (NTNU); University of Iceland; UK Research &amp; Innovation (UKRI); Natural Environment Research Council (NERC); NERC British Antarctic Survey</t>
  </si>
  <si>
    <t>Moe, B (corresponding author), Norwegian Inst Nat Res NINA, POB 5685 Torgarden, N-7485 Trondheim, Norway.;Moe, B (corresponding author), Norwegian Univ Sci &amp; Technol, Dept Biol, N-7491 Trondheim, Norway.</t>
  </si>
  <si>
    <t>borge.moe@nina.no</t>
  </si>
  <si>
    <t>Hallgrimsson, Gunnar Thor T/M-3105-2015; Åström, Jens/I-6746-2012; Daunt, Francis/K-6688-2012; Moe, Børge/P-2946-2015; Dehnhard, Nina/H-6160-2016; Anker-Nilssen, Tycho/AAB-7666-2022</t>
  </si>
  <si>
    <t>Dehnhard, Nina/0000-0002-4182-2698; Anker-Nilssen, Tycho/0000-0002-1030-5524; Gislason, Sindri/0000-0002-6325-672X; Astrom, Jens/0000-0002-6114-0440; Lorentsen, Svein-Hakon/0000-0002-7867-0034; Hallgrimsson, Gunnar Thor/0000-0002-3697-9148</t>
  </si>
  <si>
    <t>Norwegian Ministry of Climate and Environment; Norwegian Ministry of Foreign Affairs; Norwegian Oil and Gas Association; Norwegian Ministry of Climate and Environment through the Norwegian Environment Agency; Norwegian Ministry of Petroleum and Energy through the Norwegian Research Council [192141]; NERC [NE/R016429/1]; Fram Centre flagship 'Climate Change in Fjord and Coast' [232019]; NERC [NE/R016429/1, bas0100035] Funding Source: UKRI</t>
  </si>
  <si>
    <t>Norwegian Ministry of Climate and Environment; Norwegian Ministry of Foreign Affairs; Norwegian Oil and Gas Association; Norwegian Ministry of Climate and Environment through the Norwegian Environment Agency; Norwegian Ministry of Petroleum and Energy through the Norwegian Research Council(Research Council of Norway); NERC(UK Research &amp; Innovation (UKRI)Natural Environment Research Council (NERC)); Fram Centre flagship 'Climate Change in Fjord and Coast'; NERC(UK Research &amp; Innovation (UKRI)Natural Environment Research Council (NERC))</t>
  </si>
  <si>
    <t>This work is part of SEATRACK (https://seapop.no/en/seatrack/) and was funded by the Norwegian Ministry of Climate and Environment, the Norwegian Ministry of Foreign Affairs and the Norwegian Oil and Gas Association along with 8 oil companies. The Norwegian part of the study was also part of SEAPOP, which is financed by the Norwegian Ministry of Climate and Environment through the Norwegian Environment Agency, the Norwegian Ministry of Petroleum and Energy through the Norwegian Research Council (grant no. 192141) and the Norwegian Oil and Gas Association. This work was also supported by NERC funding for UK National Capability including award number NE/R016429/1 as part of the UKSCaPE programme. We thank NatureScot for permission to work on the Isle of May National Nature Reserve. This work was also supported by a grant (232019) from the Fram Centre flagship `Climate Change in Fjord and Coast' to B.M. We are grateful to all field workers involved in collecting the data in all the colonies. Norwegian Food Safety Authority provided permissions to deploy loggers in Norway.</t>
  </si>
  <si>
    <t>10.3354/meps13697</t>
  </si>
  <si>
    <t>WOS:000714439800009</t>
  </si>
  <si>
    <t>Ezhov, AV; Gavrilo, MV; Krasnov, YV; Brathen, VS; Moe, B; Baranskaya, AV; Strom, H</t>
  </si>
  <si>
    <t>Ezhov, A., V; Gavrilo, M., V; Krasnov, Y., V; Brathen, V. S.; Moe, B.; Baranskaya, A., V; Strom, H.</t>
  </si>
  <si>
    <t>Transpolar and bi-directional migration strategies of black-legged kittiwakes Rissa tridactyla from a colony in Novaya Zemlya, Barents Sea, Russia</t>
  </si>
  <si>
    <t>Black-legged kittiwakes; Migration strategies; Geolocator; Transpolar migration; Wintering grounds; Novaya Zemlya; Pacific Ocean; Atlantic Ocean</t>
  </si>
  <si>
    <t>POPULATION GENETIC-STRUCTURE; MURRE URIA-LOMVIA; LAPTEV SEA; TRACKING; OCEAN; CONSERVATION; PATTERNS; REVEALS; SEABIRD; SHELF</t>
  </si>
  <si>
    <t>Atlantic black-legged kittiwakes Rissa tridactyla tridactyla breeding in the Barents Sea have long been considered to winter in the North Atlantic region. Here, we present the first evidence of bi-directional and transpolar migrations of kittiwakes breeding in the south-eastern Barents Sea. Using geolocators, we revealed previously unknown migration patterns of kittiwakes that breed at Yuzhny (Southern) Island of the Novaya Zemlya Archipelago. Of 27 studied individuals, 21 migrated to the North Atlantic, while 6 (22%) wintered in the North Pacific. Two birds repeated an eastward migration over 3 subsequent years, and 3 kittiwakes did so over 2 years. We hypothesize that such bi-directional migration strategies can reflect the history of the kittiwakes' colonization of the eastern Barents Sea, where North Pacific birds may have colonized Novaya Zemlya from the east and maintained their traditional wintering grounds in the Pacific. However, we also expect that the exchange of Atlantic and Pacific (Rissa t. pollicaris) kittiwakes will increase as the sea ice barrier shrinks in the following decades, potentially having a great impact on these 2 subspecies.</t>
  </si>
  <si>
    <t>[Ezhov, A., V; Krasnov, Y., V] Murmansk Marine Biol Inst, Murmansk 183010, Russia; [Gavrilo, M., V] Lieutenant Schmidt Emb, Icebreaker Krassin, Assoc Maritime Heritage, 23 Line, St Petersburg 199106, Russia; [Gavrilo, M., V] Arctic &amp; Antarctic Res Inst, St Petersburg 198397, Russia; [Brathen, V. S.; Moe, B.] Norwegian Inst Nat Res, N-7034 Trondheim, Norway; [Moe, B.] Norwegian Univ Sci &amp; Technol, N-7491 Trondheim, Norway; [Baranskaya, A., V] Lomonosov Moscow State Univ, Moscow 119991, Russia; [Baranskaya, A., V] Russian Acad Sci, Inst Geog, Lab Environm Paleoarch, Moscow 119017, Russia; [Strom, H.] Norwegian Polar Res Inst, Fram Ctr, N-9296 Tromso, Norway</t>
  </si>
  <si>
    <t>Russian Academy of Sciences; Arctic &amp; Antarctic Research Institute; Norwegian Institute Nature Research; Norwegian University of Science &amp; Technology (NTNU); Lomonosov Moscow State University; Russian Academy of Sciences; Institute of Geography, Russian Academy of Sciences; Norwegian Polar Institute</t>
  </si>
  <si>
    <t>Ezhov, AV (corresponding author), Murmansk Marine Biol Inst, Murmansk 183010, Russia.</t>
  </si>
  <si>
    <t>mr.haliaeetus51@mail.ru</t>
  </si>
  <si>
    <t>Gavrilo, Maria V/R-7091-2016; Baranskaya, Alisa/L-8701-2015</t>
  </si>
  <si>
    <t>Gavrilo, Maria V/0000-0002-3500-9617; Baranskaya, Alisa/0000-0001-8392-1638; Alexey, Ezhov/0000-0001-6110-1153</t>
  </si>
  <si>
    <t>SEATRACK program [0228-2019-0004]; RFBR [20-35-70002]</t>
  </si>
  <si>
    <t>SEATRACK program; RFBR(Russian Foundation for Basic Research (RFBR))</t>
  </si>
  <si>
    <t>This research was funded by the SEATRACK program (www.seapop.no/en/seatrack/).We thank all the field workers and crew members that helped in collecting the data, in particular Oleg Bushuev; special thanks to the crew of SY `Alter Ego' and `Open Ocean: Arctic Archipelagos' expeditions leader Alexander Chichaev, who made work at this remote and difficult-to-access site possible. A.V.E. and Y.V.K. were also supported by the project No 0228-2019-0004 `Ornithofauna of the northern seas: peculiarities of the nonbreeding season' within the framework of the MMBI research plan and the state order for 2019-2021, and A.V.B. was supported by the RFBR grant 20-35-70002. We are grateful to Robert T. Barrett for language assistance and valuable comments which helped to considerably improve the manuscript.</t>
  </si>
  <si>
    <t>10.3354/meps13889</t>
  </si>
  <si>
    <t>WOS:000714439800012</t>
  </si>
  <si>
    <t>Fauchald, P; Tarroux, A; Amélineau, F; Bråthen, VS; Descamps, S; Ekker, M; Helgason, HH; Johansen, MK; Merkel, B; Moe, B; Åström, J; Anker-Nilssen, T; Bjornstad, O; Chastel, O; Christensen-Dalsgaard, S; Danielsen, J; Daunt, F; Dehnhard, N; Erikstad, KE; Ezhov, A; Gavrilo, M; Hallgrimsson, GT; Hansen, ES; Harris, M; Helberg, M; Jónsson, JE; Kolbeinsson, Y; Krasnov, Y; Langset, M; Lorentsen, SH; Lorentzen, E; Newell, M; Olsen, B; Reiertsen, TK; Systad, GH; Thompson, P; Thórarinsson, TL; Wanless, S; Wojczulanis-Jakubas, K; Strom, H</t>
  </si>
  <si>
    <t>Fauchald, Per; Tarroux, Arnaud; Amelineau, Francoise; Brathen, Vegard Sandell; Descamps, Sebastien; Ekker, Morten; Helgason, Halfdan Helgi; Johansen, Malin Kjellstadli; Merkel, Benjamin; Moe, Berge; Astrom, Jens; Anker-Nilssen, Tycho; Bjornstad, Oskar; Chastel, Olivier; Christensen-Dalsgaard, Signe; Danielsen, Johannis; Daunt, Francis; Dehnhard, Nina; Erikstad, Kjell Einar; Ezhov, Alexey; Gavrilo, Maria; Hallgrimsson, Gunnar Thor; Hansen, Erpur Snaer; Harris, Mike; Helberg, Morten; Jonsson, Jon Einar; Kolbeinsson, Yann; Krasnov, Yuri; Langset, Magdalene; Lorentsen, Svein-Hakon; Lorentzen, Erlend; Newell, Mark; Olsen, Bergur; Reiertsen, Tone Kristin; Systad, Geir Helge; Thompson, Paul; Thorarinsson, Thorkell Lindberg; Wanless, Sarah; Wojczulanis-Jakubas, Katarzyna; Strom, Hallvard</t>
  </si>
  <si>
    <t>Year-round distribution of Northeast Atlantic seabird populations: applications for population management and marine spatial planning</t>
  </si>
  <si>
    <t>Fulmarus glacialis; Rissa tridactyla; Uria aalge; Uria lomvia; Alle alle; Fratercula arctica; Marine spatial planning; SEATRACK</t>
  </si>
  <si>
    <t>SPECIES DISTRIBUTION; DISTRIBUTION MODELS; TRACKING SEABIRDS; PROTECTED AREAS; HABITAT USE; SPACE; PERFORMANCE; MIGRATION; PREY; PREDATORS</t>
  </si>
  <si>
    <t>Tracking data of marine predators are increasingly used in marine spatial management. We developed a spatial data set with estimates of the monthly distribution of 6 pelagic seabird species breeding in the Northeast Atlantic. The data set was based on year-round global location sensor (GLS) tracking data of 2356 adult seabirds from 2006-2019 from a network of seabird colonies, data describing the physical environment and data on seabird population sizes. Tracking and environmental data were combined in monthly species distribution models (SDMs). Cross-validations were used to assess the transferability of models between years and breeding locations. The analyses showed that birds from colonies close to each other (&lt;500 km apart) used the same nonbreeding habitats, while birds from distant colonies (&gt;1000 km) used colony-specific and, in many cases, non-overlapping habitats. Based on these results, the SDM from the nearest model colony was used to predict the distribution of all seabird colonies lying within a species-specific cut-off distance (400-500 km). Uncertainties in the predictions were estimated by cluster bootstrap sampling. The resulting data set consisted of 4692 map layers, each layer predicting the densities of birds from a given species, colony and month across the North Atlantic. This data set represents the annual distribution of 23.5 million adult pelagic seabirds, or 87 % of the Northeast Atlantic breeding population of the study species. We show how the data set can be used in population and spatial management applications, including the detection of population-specific non-breeding habitats and identifying populations influenced by marine protected areas.</t>
  </si>
  <si>
    <t>[Fauchald, Per; Tarroux, Arnaud; Erikstad, Kjell Einar; Reiertsen, Tone Kristin] Norwegian Inst Nat Res, Fram Ctr, N-9296 Tromso, Norway; [Amelineau, Francoise; Descamps, Sebastien; Helgason, Halfdan Helgi; Johansen, Malin Kjellstadli; Merkel, Benjamin; Lorentzen, Erlend; Strom, Hallvard] Norwegian Polar Res Inst, Fram Ctr, N-9296 Tromso, Norway; [Brathen, Vegard Sandell; Moe, Berge; Astrom, Jens; Anker-Nilssen, Tycho; Christensen-Dalsgaard, Signe; Dehnhard, Nina; Langset, Magdalene; Lorentsen, Svein-Hakon] Norwegian Inst Nat Res, N-7485 Trondheim, Norway; [Ekker, Morten] Norwegian Environm Agcy, N-7485 Trondheim, Norway; [Merkel, Benjamin] Akvaplan Niva AS, Fram Ctr, N-9296 Tromso, Norway; [Bjornstad, Oskar] Karmoy Ringmerkingsgrp, N-4280 Skudeneshavn, Norway; [Chastel, Olivier] Univ La Rochelle, CNRS, UMR 7372, Ctr Etud Biol Chize CEBC, La Rochelle, France; [Danielsen, Johannis; Olsen, Bergur] Faroe Marine Res Inst, DK-110 Torshavn, Faroe Islands, Denmark; [Daunt, Francis; Harris, Mike; Newell, Mark; Wanless, Sarah] UK Ctr Ecol &amp; Hydrol, Bush Estate, Penicuik EH26 0QB, Midlothian, Scotland; [Ezhov, Alexey; Krasnov, Yuri] Russian Acad Sci RAS, Murmansk Marine Biol Inst, Murmansk 183010, Russia; [Gavrilo, Maria] Natl Pk Russian Arctic, Arkhangelsk 163000, Russia; [Gavrilo, Maria] Associal Maritime Heritage, IcebreakerKrassin, St Petersburg 199106, Russia; [Hallgrimsson, Gunnar Thor] Univ Iceland, Fac Life &amp; Environm Sci, IS-102 Reykjavik, Iceland; [Hansen, Erpur Snaer] South Iceland Nat Res Ctr, IS-900 Vestmannaeyjar, Iceland; [Helberg, Morten] Ostfold Univ Coll, N-1757 Halden, Norway; [Jonsson, Jon Einar] Univ Icelands, Res Ctr Snaefellsnes, IS-340 Stykkisholmur, Iceland; [Kolbeinsson, Yann; Thorarinsson, Thorkell Lindberg] Northeast Iceland Nat Res Ctr, IS-640 Husavik, Iceland; [Systad, Geir Helge] Norwegian Inst Nat Res, N-5006 Bergen, Norway; [Thompson, Paul] Univ Aberdeen, Sch Biol Sci, Lighthouse Field Stn, Aberdeen IV11 8LU, Scotland; [Wojczulanis-Jakubas, Katarzyna] Univ Gdansk, Dept Vertebrate Ecol &amp; Zool, PL-80308 Gdansk, Poland; [Helgason, Halfdan Helgi] East Iceland Nat Res Ctr, IS-740 Neskaupstaour, Iceland; [Gavrilo, Maria] Arctic &amp; Antarctic Res Inst, St Petersburg 199397, Russia</t>
  </si>
  <si>
    <t>Norwegian Institute Nature Research; Norwegian Polar Institute; Norwegian Institute Nature Research; Akvaplan-niva; Centre National de la Recherche Scientifique (CNRS); CNRS - Institute of Ecology &amp; Environment (INEE); La Rochelle Universite; Faroe Marine Research Institute (FAMRI); UK Centre for Ecology &amp; Hydrology (UKCEH); Russian Academy of Sciences; University of Iceland; Ostfold University College; Norwegian Institute Nature Research; University of Aberdeen; Fahrenheit Universities; University of Gdansk; Arctic &amp; Antarctic Research Institute</t>
  </si>
  <si>
    <t>Fauchald, P (corresponding author), Norwegian Inst Nat Res, Fram Ctr, N-9296 Tromso, Norway.</t>
  </si>
  <si>
    <t>per.fauchald@nina.no</t>
  </si>
  <si>
    <t>Daunt, Francis/K-6688-2012; Hallgrimsson, Gunnar Thor T/M-3105-2015; Systad, Geir Helge Rødli/IAR-4562-2023; Jónsson, Jón Einar/K-7482-2015; Dehnhard, Nina/H-6160-2016; Wojczulanis-Jakubas, Katarzyna/AAO-4126-2021; Anker-Nilssen, Tycho/AAB-7666-2022; Åström, Jens/I-6746-2012; Gavrilo, Maria V/R-7091-2016; Hansen, Erpur Snær/V-1858-2018</t>
  </si>
  <si>
    <t>Jónsson, Jón Einar/0000-0003-1198-786X; Dehnhard, Nina/0000-0002-4182-2698; Wojczulanis-Jakubas, Katarzyna/0000-0001-6230-0509; Anker-Nilssen, Tycho/0000-0002-1030-5524; Gavrilo, Maria V/0000-0002-3500-9617; Hansen, Erpur Snær/0000-0001-6899-2817; Alexey, Ezhov/0000-0001-6110-1153; Thorarinsson, Thorkell Lindberg/0000-0002-1638-2555; Hallgrimsson, Gunnar Thor/0000-0002-3697-9148; Astrom, Jens/0000-0002-6114-0440; Danielsen, Johannis/0000-0002-9775-4786; Lorentsen, Svein-Hakon/0000-0002-7867-0034</t>
  </si>
  <si>
    <t>Norwegian Ministry for Climate and the Environment; Norwegian Ministry of Foreign Affairs; Norwegian Oil and Gas Association; SEAPOP program [192141]; French Polar Institute Paul Emile Victor [330]; Ornithofauna of the northern seas: peculiarities of the nonbreeding season [0228-20190004]; Natural Environment Research Council [NE/R016429/1]; Veioikortasjoour; NERC [NE/R016429/1] Funding Source: UKRI</t>
  </si>
  <si>
    <t>Norwegian Ministry for Climate and the Environment; Norwegian Ministry of Foreign Affairs; Norwegian Oil and Gas Association; SEAPOP program; French Polar Institute Paul Emile Victor; Ornithofauna of the northern seas: peculiarities of the nonbreeding season; Natural Environment Research Council(UK Research &amp; Innovation (UKRI)Natural Environment Research Council (NERC)); Veioikortasjoour; NERC(UK Research &amp; Innovation (UKRI)Natural Environment Research Council (NERC))</t>
  </si>
  <si>
    <t>We thank all the fieldworkers for their hard work collecting data. Funding for this study was provided by the Norwegian Ministry for Climate and the Environment, the Norwegian Ministry of Foreign Affairs and the Norwegian Oil and Gas Association along with 8 oil companies through the SEATRACK project (www.seapop.no/en/seatrack).Fieldwork in Norwegian colonies (incl. Svalbard and Jan Mayen) was supported by the SEAPOP program (www.seapop.no grant number 192141). The French Polar Institute Paul Emile Victor funded the ORNITHO-ENDOCRINO program (IPEV program 330 to O.C.) on Kongsfjord kittiwakes. Russian field operations were enabled by the crew on SY `Alter Ego' and Open Ocean project team. A.V.E. and Y.V.K. were supported by project No 0228-20190004 `Ornithofauna of the northern seas: peculiarities of the nonbreeding season' with the framework of MMBI research plan and the state order for 2019-2021. The work on the Isle of May was supported by the Natural Environment Research Council (Award NE/R016429/1 as part of the UKSCaPE programme delivering National Capability). E.S.H. was supported by Veioikortasjoour.</t>
  </si>
  <si>
    <t>10.3354/meps13854</t>
  </si>
  <si>
    <t>WOS:000714439800017</t>
  </si>
  <si>
    <t>Ashley, KE; Crosta, X; Etourneau, J; Campagne, P; Gilchrist, H; Ibraheem, U; Greene, SE; Schmidt, S; Eley, Y; Massé, G; Bendle, J</t>
  </si>
  <si>
    <t>Ashley, Kate E.; Crosta, Xavier; Etourneau, Johan; Campagne, Philippine; Gilchrist, Harry; Ibraheem, Uthmaan; Greene, Sarah E.; Schmidt, Sabine; Eley, Yvette; Masse, Guillaume; Bendle, James</t>
  </si>
  <si>
    <t>Exploring the use of compound-specific carbon isotopes as a palaeoproductivity proxy off the coast of Adelie Land, East Antarctica</t>
  </si>
  <si>
    <t>ISOPRENOID HBI ALKENES; MERTZ GLACIER REGION; SEA-ICE; FATTY-ACIDS; SOUTHERN-OCEAN; ROSS SEA; EARLY DIAGENESIS; ORGANIC-MATTER; PRYDZ BAY; PRIMARY PRODUCTIVITY</t>
  </si>
  <si>
    <t>The Antarctic coastal zone is an area of high primary productivity, particularly within coastal polynyas, where large phytoplankton blooms and drawdown of CO2 occur. Reconstruction of historical primary productivity changes and the associated driving factors could provide baseline insights on the role of these areas as sinks for atmospheric CO2, especially in the context of projected changes in coastal Antarctic sea ice. Here we investigate the potential for using carbon isotopes (delta C-13) of fatty acids in marine sediments as a proxy for primary productivity. We use a highly resolved sediment core from off the coast of Adelie Land spanning the last similar to 400 years and monitor changes in the concentrations and delta C-13 of fatty acids along with other proxy data from the same core. We discuss the different possible drivers of their variability and argue that C24 fatty acid delta C-13 predominantly reflects phytoplankton productivity in open-water environments, while C-18 fatty acid delta C-13 reflects productivity in the marginal ice zone. These new proxies have implications for better understanding carbon cycle dynamics in the Antarctica coastal zone in future palaeoclimate studies.</t>
  </si>
  <si>
    <t>[Ashley, Kate E.; Gilchrist, Harry; Ibraheem, Uthmaan; Greene, Sarah E.; Eley, Yvette; Bendle, James] Univ Birmingham, Sch Geog Earth &amp; Environm Sci, Birmingham B15 2TT, W Midlands, England; [Crosta, Xavier; Etourneau, Johan; Campagne, Philippine; Schmidt, Sabine] Univ Bordeaux, CNRS, UMR 5805, EPOC, F-33615 Pessac, France; [Etourneau, Johan] PSL Res Univ, EPHE, F-75014 Paris, France; [Campagne, Philippine; Masse, Guillaume] Univ Paris 06, CNRS, UMR 7159, LOCEAN,UPCM,IRD,MNHN, 4 Pl Jussieu, F-75252 Paris, France; [Masse, Guillaume] Univ Laval, CNRS, UMI 3376, TAKUVIK,UL, 1045 Ave Med, Quebec City, PQ G1V 0A6, Canada</t>
  </si>
  <si>
    <t>University of Birmingham; Universite de Bordeaux; Centre National de la Recherche Scientifique (CNRS); CNRS - National Institute for Earth Sciences &amp; Astronomy (INSU); Universite PSL; Ecole Pratique des Hautes Etudes (EPHE); Centre National de la Recherche Scientifique (CNRS); CNRS - National Institute for Earth Sciences &amp; Astronomy (INSU); Sorbonne Universite; Institut de Recherche pour le Developpement (IRD); Museum National d'Histoire Naturelle (MNHN); Laval University</t>
  </si>
  <si>
    <t>Bendle, J (corresponding author), Univ Birmingham, Sch Geog Earth &amp; Environm Sci, Birmingham B15 2TT, W Midlands, England.</t>
  </si>
  <si>
    <t>j.bendle@bham.ac.uk</t>
  </si>
  <si>
    <t>Schmidt, Sabine/G-1193-2013; campagne, philippine/G-3444-2017</t>
  </si>
  <si>
    <t>Schmidt, Sabine/0000-0002-5985-9747; Greene, Sarah/0000-0002-3025-9043; Eley, Yvette/0000-0001-5434-6830</t>
  </si>
  <si>
    <t>French Institut Paul Emile Victor (IPEV); Natural Environment Research Council [NE/L002493/1]; NERC [NE/L011050]; European Commission Seventh Framework Programme (ICEPROXY) [203441]; ANR CLIMICE project; CNRS (Centre National de la Recherche Scientifique); FRQNT (Fonds de recherche du Quebec - Nature et technologies); NERC [NE/L011050/2] Funding Source: UKRI</t>
  </si>
  <si>
    <t>French Institut Paul Emile Victor (IPEV); Natural Environment Research Council(UK Research &amp; Innovation (UKRI)Natural Environment Research Council (NERC)); NERC(UK Research &amp; Innovation (UKRI)Natural Environment Research Council (NERC)); European Commission Seventh Framework Programme (ICEPROXY); ANR CLIMICE project(Agence Nationale de la Recherche (ANR)); CNRS (Centre National de la Recherche Scientifique)(Centre National de la Recherche Scientifique (CNRS)); FRQNT (Fonds de recherche du Quebec - Nature et technologies); NERC(UK Research &amp; Innovation (UKRI)Natural Environment Research Council (NERC))</t>
  </si>
  <si>
    <t>Core DTGC2011 was recovered during the expedition ALBION 2011 on board the R/V Astrolabe with the logistical support of the French Institut Paul Emile Victor (IPEV). The Natural Environment Research Council funded Kate E. Ashley (CENTA PhD NE/L002493/1). Sarah E. Greene was supported by NERC grant NE/L011050 while working on this paper. This research was also funded by the European Commission Seventh Framework Programme (ICEPROXY (ERC StG grant no. 203441)) and the ANR CLIMICE project. The CNRS (Centre National de la Recherche Scientifique) and the FRQNT (Fonds de recherche du Quebec - Nature et technologies) provided Philippine Campagne with a fellowship.</t>
  </si>
  <si>
    <t>10.5194/bg-18-5555-2021</t>
  </si>
  <si>
    <t>WJ6KJ</t>
  </si>
  <si>
    <t>WOS:000709151400001</t>
  </si>
  <si>
    <t>Johnson, JS; Roberts, SJ; Rood, DH; Pollard, D; Schaefer, JM; Whitehouse, PL; Ireland, LC; Lamp, JL; Goehring, BM; Rand, C; Smith, JA</t>
  </si>
  <si>
    <t>Johnson, Joanne S.; Roberts, Stephen J.; Rood, Dylan H.; Pollard, David; Schaefer, Joerg M.; Whitehouse, Pippa L.; Ireland, Louise C.; Lamp, Jennifer L.; Goehring, Brent M.; Rand, Cari; Smith, James A.</t>
  </si>
  <si>
    <t>Deglaciation of Pope Glacier implies widespread early Holocene ice sheet thinning in the Amundsen Sea sector of Antarctica (vol 548, 116501, 2020)</t>
  </si>
  <si>
    <t>[Johnson, Joanne S.; Roberts, Stephen J.; Ireland, Louise C.; Smith, James A.] British Antarctic Survey, Madingley Rd, Cambridge CB3 0ET, England; [Rood, Dylan H.] Imperial Coll London, Dept Earth Sci &amp; Engn, London SW7 2AZ, England; [Pollard, David] Penn State Univ, Earth &amp; Environm Syst Inst, University Pk, PA 16802 USA; [Schaefer, Joerg M.; Lamp, Jennifer L.] Columbia Univ, Lamont Doherty Earth Observ, Route 9W, Palisades, NY 10964 USA; [Whitehouse, Pippa L.] Univ Durham, Dept Geog, Durham, England; [Goehring, Brent M.; Rand, Cari] Tulane Univ, Dept Earth &amp; Environm Sci, New Orleans, LA 70118 USA</t>
  </si>
  <si>
    <t>UK Research &amp; Innovation (UKRI); Natural Environment Research Council (NERC); NERC British Antarctic Survey; Imperial College London; Pennsylvania Commonwealth System of Higher Education (PCSHE); Pennsylvania State University; Pennsylvania State University - University Park; Columbia University; Durham University; Tulane University</t>
  </si>
  <si>
    <t>Johnson, JS (corresponding author), British Antarctic Survey, Madingley Rd, Cambridge CB3 0ET, England.</t>
  </si>
  <si>
    <t>jsj@bas.ac.uk</t>
  </si>
  <si>
    <t>10.1016/j.epsl.2021.117221</t>
  </si>
  <si>
    <t>WK0UT</t>
  </si>
  <si>
    <t>WOS:000709450900015</t>
  </si>
  <si>
    <t>Liang, D; Guo, HD; Zhang, L; Li, HP; Wang, XZ</t>
  </si>
  <si>
    <t>Liang, Dong; Guo, Huadong; Zhang, Lu; Li, Haipeng; Wang, Xuezhi</t>
  </si>
  <si>
    <t>Sentinel-1 EW mode dataset for Antarctica from 2014-2020 produced by the CASEarth Cloud Service Platform</t>
  </si>
  <si>
    <t>BIG EARTH DATA</t>
  </si>
  <si>
    <t>Big Earth data; CASEarth; cloud computing; Sentinel-1; Antarctica</t>
  </si>
  <si>
    <t>Antarctica plays an important role in research on global change, and its unique geography, ocean, climate, and environment provide an ideal place for humankind to understand Earth's evolution. Remote sensing provides an effective means to monitor and observe large-scale processes on the continent. Synthetic aperture radar (SAR) in particular provides the capability for all-weather Earth observation. The Sentinel-1A and Sentinel-1B SAR satellites have ideal ground coverage and imaging frequency for observing Antarctica. This study developed a dataset of 69,586 Sentinel-1 EW mode satellite images of the Antarctic ice sheet from October 2014 to December 2020. The dataset was processed with the European Space Agency Sentinel Application Platform (SNAP) and a Python batch scheduling tool on the Big Earth Data Cloud Service Platform of the Chinese Academy of Sciences Big Earth Data Science Engineering Program (CASEarth). Several data processing operations were implemented to process the raw dataset, including radiometric calibration, invalid edge removal, geocoding, data re-projection to an Antarctic projection, data compression to TIFF format, and construction of image pyramids. The dataset is available at http://www.doi.org/10.11922/sciencedb.j00076.00085.</t>
  </si>
  <si>
    <t>[Liang, Dong; Guo, Huadong; Zhang, Lu; Li, Haipeng] Chinese Acad Sci, Aerosp Informat Res Inst, Key Lab Digital Earth Sci, 9 Dengzhuang South Rd, Beijing 100094, Peoples R China; [Liang, Dong; Guo, Huadong; Zhang, Lu; Li, Haipeng] Univ Chinese Acad Sci, Beijing, Peoples R China; [Liang, Dong; Guo, Huadong; Zhang, Lu] Internat Res Ctr Big Data Sustainable Dev Goals, Beijing, Peoples R China; [Wang, Xuezhi] Chinese Acad Sci, Computer Network Informat Ctr, Beijing, Peoples R China</t>
  </si>
  <si>
    <t>Chinese Academy of Sciences; Aerospace Information Research Institute, CAS; Chinese Academy of Sciences; University of Chinese Academy of Sciences, CAS; Chinese Academy of Sciences</t>
  </si>
  <si>
    <t>Zhang, L (corresponding author), Chinese Acad Sci, Aerosp Informat Res Inst, Key Lab Digital Earth Sci, 9 Dengzhuang South Rd, Beijing 100094, Peoples R China.</t>
  </si>
  <si>
    <t>zhanglu@aircas.ac.cn</t>
  </si>
  <si>
    <t>Dong, Liang/JZD-4605-2024; Lei, Ming/JAD-1050-2023; zhang, lu/GRO-2969-2022; Liang, Dong/F-8081-2014; Guo, Huadong/G-9388-2017</t>
  </si>
  <si>
    <t>Liang, Dong/0000-0001-9147-7792; Guo, Huadong/0000-0003-0337-1862</t>
  </si>
  <si>
    <t>Chinese Academy of Sciences Strategic Priority Research Program of the Big Earth Data Science Engineering Program (CASEarth) [XDA19090000, XDA19030000]; Capacity Building Project of Big Earth Data Science Data Center of the Chinese Academy of Sciences [WX145XQ07-13]; National Natural Science Foundation of China [41876226]</t>
  </si>
  <si>
    <t>Chinese Academy of Sciences Strategic Priority Research Program of the Big Earth Data Science Engineering Program (CASEarth); Capacity Building Project of Big Earth Data Science Data Center of the Chinese Academy of Sciences; National Natural Science Foundation of China(National Natural Science Foundation of China (NSFC))</t>
  </si>
  <si>
    <t>The research presented in this paper was funded by the Chinese Academy of Sciences Strategic Priority Research Program of the Big Earth Data Science Engineering YProgram (CASEarth), grant numbers XDA19090000, XDA19030000, Capacity Building Project of Big Earth Data Science Data Center of the Chinese Academy of Sciences, grant number WX145XQ07-13, and National Natural Science Foundation of China, grant number 41876226</t>
  </si>
  <si>
    <t>2096-4471</t>
  </si>
  <si>
    <t>2574-5417</t>
  </si>
  <si>
    <t>Big Earth Data</t>
  </si>
  <si>
    <t>OCT 2</t>
  </si>
  <si>
    <t>10.1080/20964471.2021.1976706</t>
  </si>
  <si>
    <t>Computer Science, Information Systems; Geosciences, Multidisciplinary; Remote Sensing</t>
  </si>
  <si>
    <t>Computer Science; Geology; Remote Sensing</t>
  </si>
  <si>
    <t>7I4NB</t>
  </si>
  <si>
    <t>WOS:000707619600001</t>
  </si>
  <si>
    <t>Leger, TPM; Hein, AS; Bingham, RG; Rodés, A; Fabel, D; Smedley, RK</t>
  </si>
  <si>
    <t>Leger, Tancrede P. M.; Hein, Andrew S.; Bingham, Robert G.; Rodes, Angel; Fabel, Derek; Smedley, Rachel K.</t>
  </si>
  <si>
    <t>Geomorphology and 10Be chronology of the Last Glacial Maximum and deglaciation in northeastern Patagonia, 43°S-71°W</t>
  </si>
  <si>
    <t>South America; Patagonian ice sheet; Quaternary; Last glacial maximum; Marine isotope stage 2; Cosmogenic isotopes; Geomorphology (glacial); Glaciology; Paleoclimatology; Patagonia</t>
  </si>
  <si>
    <t>LAGO BUENOS-AIRES; SEA-SURFACE TEMPERATURE; COSMOGENIC-NUCLIDE MEASUREMENTS; PRODUCTION-RATE CALIBRATION; ICE-SHEET; SOUTHERN ALPS; EXPOSURE AGES; RADIOCARBON CHRONOLOGY; NORTHERN PATAGONIA; PRODUCTION-RATES</t>
  </si>
  <si>
    <t>In southern South America, well-dated glacial geomorphological records constrain the last glacial cycle across much of the former Patagonian Ice Sheet, but its northeastern sector remains comparatively understudied and unconstrained. This knowledge gap inhibits our understanding of the timing of maximum glacier extent, the duration of the glacial maximum, the onset of deglaciation, and whether asynchronies exist in the behaviour of the former ice sheet with latitude, or with location (east or west) relative to the ice divide. Robust glacial reconstructions from this region are thus required to comprehend the mechanisms driving Quaternary glaciations at the southern mid-latitudes. We here present Be-10 surface exposure ages from five moraine sets along with Bayesian age modelling to reconstruct a detailed chronology of Last Glacial Maximum expansions of the Rio Corcovado glacier, a major former ice conduit of northern Patagonia. We find that the outlet glacier reached maximum expansion of the last glacial cycle during the global Last Glacial Maximum at similar to 26.5-26 ka, and that at least four subsequent advances/stillstands occurred over a 2e3 ka period, at similar to 22.5e22 ka, similar to 22-21.5 ka, similar to 21-20.5 ka and 20-19.5 ka. The onset of local ice sheet deglaciation likely occurred between 20 and 19 ka. Contrary to several other Patagonian outlet glaciers, including from similar latitudes on the western side of the Andes, we find no evidence for MIS 3/4 advances. Exposure dating of palaeo-shoreline cobbles reconstructing the timing of proglacial lake formation and drainage shifts in the studied region indicate three glaciolacustrine phases characterised by Atlantic-directed drainage. Phase one occurred from 26.4 +/- 1.4 ka, phase two between similar to 21 and similar to 19 ka and phase three between similar to 19 ka and similar to 16.3 ka. Exposure dating of icemoulded bedrock in the interior of the cordillera indicates local disintegration of the Patagonian Ice Sheet and the Atlantic-Pacific drainage reversal had occurred by similar to 16.3 ka. We find that local Last Glacial Maximum glacier expansions were coeval with Antarctic and southern mid-latitude atmospheric and oceanic cooling signals, but out of phase with local summer insolation intensity. Our results indicate that local Patagonian Ice Sheet deglaciation occurred 1-2 ka earlier than northwestern, central eastern and southeastern Patagonian outlet glaciers, which could indicate high regional Patagonian Ice Sheet sensitivity to warming and drying during the Varas interstade (similar to 22.5-19.5 ka). (C) 2021 Elsevier Ltd. All rights reserved.</t>
  </si>
  <si>
    <t>[Leger, Tancrede P. M.; Hein, Andrew S.; Bingham, Robert G.] Univ Edinburgh, Sch GeoSci, Drummond St, Edinburgh EH8 9XP, Midlothian, Scotland; [Rodes, Angel; Fabel, Derek] Scottish Univ Environm Res Ctr, Scottish Enterprise Technol Pk, Glasgow G75 OQF, Lanark, Scotland; [Smedley, Rachel K.] Univ Liverpool, Dept Geog &amp; Planning, Chatham St, Liverpool L69 7ZT, Merseyside, England</t>
  </si>
  <si>
    <t>University of Edinburgh; University of Liverpool</t>
  </si>
  <si>
    <t>Leger, TPM (corresponding author), Univ Edinburgh, Sch GeoSci, Inst Geog, Drummond St, Edinburgh EH8 9XP, Midlothian, Scotland.</t>
  </si>
  <si>
    <t>tancrede.leger@ed.ac.uk</t>
  </si>
  <si>
    <t>Fabel, Derek/A-2999-2010; Hein, Andrew/JWO-3756-2024; Leger, Tancrède P.M./AAU-1088-2021; Bingham, Robert G/G-3576-2017; Rodes, Angel/C-9228-2011</t>
  </si>
  <si>
    <t>Leger, Tancrède P.M./0000-0001-9098-8312; Rodes, Angel/0000-0001-8488-7689</t>
  </si>
  <si>
    <t>National Environment Research Council (NERC) [NE/L002558/1]; British Society for Geomorphology Postgraduate Research Grant award [BSG-2019-04]; NERC Cosmogenic Isotope Analysis Facility (CIAF) [9196e0419]</t>
  </si>
  <si>
    <t>National Environment Research Council (NERC)(UK Research &amp; Innovation (UKRI)Natural Environment Research Council (NERC)); British Society for Geomorphology Postgraduate Research Grant award; NERC Cosmogenic Isotope Analysis Facility (CIAF)</t>
  </si>
  <si>
    <t>This investigation is part of a University of Edinburgh E3 Doctoral Training Partnership Ph.D. studentship (award code: NE/L002558/1) awarded by the National Environment Research Council (NERC) to TPML. Our second field expedition (01/02 2020) was supported by a crowd-funding campaign through the Crowd. Science fundraising platform (https://crowd.science) and a British Society for Geomorphology Postgraduate Research Grant award (BSG-2019-04) awarded to TPML. TCN dating laboratory analysis and AMS measurements were funded by a NERC Cosmogenic Isotope Analysis Facility (CIAF) grant (9196e0419) awarded to ASH and TPML in June 2019.</t>
  </si>
  <si>
    <t>10.1016/j.quascirev.2021.107194</t>
  </si>
  <si>
    <t>Green Submitted, Green Accepted</t>
  </si>
  <si>
    <t>WOS:000708698300001</t>
  </si>
  <si>
    <t>Steiner, NS; Bowman, J; Campbell, K; Chierici, M; Eronen-Rasimus, E; Falardeau, M; Flores, H; Fransson, A; Herr, H; Insley, SJ; Kauko, HM; Lannuzel, D; Loseto, L; Lynnes, A; Majewski, A; Meiners, KM; Miller, LA; Michel, LN; Moreau, S; Nacke, M; Nomura, D; Tedesco, L; van Franeker, JA; van Leeuwe, MA; Wongpan, P</t>
  </si>
  <si>
    <t>Steiner, Nadja S.; Bowman, Jeff; Campbell, Karley; Chierici, Melissa; Eronen-Rasimus, Eeva; Falardeau, Marianne; Flores, Hauke; Fransson, Agneta; Herr, Helena; Insley, Stephen J.; Kauko, Hanna M.; Lannuzel, Delphine; Loseto, Lisa; Lynnes, Amanda; Majewski, Andy; Meiners, Klaus M.; Miller, Lisa A.; Michel, Loic N.; Moreau, Sebastien; Nacke, Melissa; Nomura, Daiki; Tedesco, Letizia; van Franeker, Jan Andries; van Leeuwe, Maria A.; Wongpan, Pat</t>
  </si>
  <si>
    <t>Climate change impacts on sea-ice ecosystems and associated ecosystem services</t>
  </si>
  <si>
    <t>Sea-ice ecosystems; Ecosystem services; EBSA; Polar regions; Climate change; Marine Protected Area (MPA)</t>
  </si>
  <si>
    <t>COD BOREOGADUS-SAIDA; WHALES DELPHINAPTERUS-LEUCAS; KRILL EUPHAUSIA-SUPERBA; CRAB-EATER SEALS; CAPELIN MALLOTUS-VILLOSUS; DISSOLVED ORGANIC-MATTER; WEST ANTARCTIC PENINSULA; ARNOUXS BEAKED-WHALES; ALGAE-PRODUCED CARBON; CENTRAL ARCTIC-OCEAN</t>
  </si>
  <si>
    <t>A rigorous synthesis of the sea-ice ecosystem and linked ecosystem services highlights that the sea-ice ecosystem supports all 4 ecosystem service categories, that sea-ice ecosystems meet the criteria for ecologically or biologically significant marine areas, that global emissions driving climate change are directly linked to the demise of sea-ice ecosystems and its ecosystem services, and that the sea-ice ecosystem deserves specific attention in the evaluation of marine protected area planning. The synthesis outlines (1) supporting services, provided in form of habitat, including feeding grounds and nurseries for microbes, meiofauna, fish, birds and mammals (particularly the key species Arctic cod, Boreogadus saida, and Antarctic krill, Euphausia superba, which are tightly linked to the sea-ice ecosystem and transfer carbon from sea-ice primary producers to higher trophic level fish, mammal species and humans); (2) provisioning services through harvesting and medicinal and genetic resources; (3) cultural services through Indigenous and local knowledge systems, cultural identity and spirituality, and via cultural activities, tourism and research; (4) (climate) regulating services through light regulation, the production of biogenic aerosols, halogen oxidation and the release or uptake of greenhouse gases, for example, carbon dioxide. The ongoing changes in the polar regions have strong impacts on sea-ice ecosystems and associated ecosystem services. While the response of sea-ice-associated primary production to environmental change is regionally variable, the effect on iceassociated mammals and birds is predominantly negative, subsequently impacting human harvesting and cultural services in both polar regions. Conservation can help protect some species and functions. However, the key mitigation measure that can slow the transition to a strictly seasonal ice cover in the Arctic Ocean, reduce the overall loss of sea-ice habitats from the ocean, and thus preserve the unique ecosystem services provided by sea ice and their contributions to human well-being is a reduction in carbon emissions.</t>
  </si>
  <si>
    <t>[Steiner, Nadja S.; Miller, Lisa A.] Fisheries &amp; Oceans Canada, Inst Ocean Sci, Sidney, BC, Canada; [Steiner, Nadja S.] Environm &amp; Climate Change Canada, Canadian Ctr Climate Modelling &amp; Anal, Victoria, BC, Canada; [Steiner, Nadja S.] Univ Victoria, Sch Earth &amp; Ocean Sci, Victoria, BC, Canada; [Bowman, Jeff] Univ Calif San Diego, Scripps Inst Oceanog, La Jolla, CA USA; [Campbell, Karley] Arctic Univ Norway, UiT, Tromso, Norway; [Campbell, Karley] Univ Bristol, Bristol Glaciol Ctr, Bristol, Avon, England; [Chierici, Melissa] Inst Marine Res, Fram Ctr, Tromso, Norway; [Eronen-Rasimus, Eeva] Univ Helsinki, Dept Microbiol, Helsinki, Finland; [Eronen-Rasimus, Eeva; Tedesco, Letizia] Finnish Environm Inst, Marine Res Ctr, Helsinki, Finland; [Falardeau, Marianne] Univ Laval, Inst Integrat Biol &amp; Syst, Quebec City, PQ, Canada; [Falardeau, Marianne] Univ Laval, Dept Social &amp; Prevent Med, Quebec City, PQ, Canada; [Falardeau, Marianne] Univ Laval, Dept Biol, Quebec City, PQ, Canada; [Falardeau, Marianne] Univ Laval, Res Ctr, CHU Quebec, Quebec City, PQ, Canada; [Flores, Hauke; Herr, Helena] Alfred Wegener Inst, Helmholtz Zentrum Polar &amp; Meeresforsch, Bremerhaven, Germany; [Fransson, Agneta; Kauko, Hanna M.; Moreau, Sebastien] Norwegian Polar Res Inst, Fram Ctr, Tromso, Norway; [Herr, Helena] Univ Hamburg, Ctr Nat Hist CeNak, Hamburg, Germany; [Insley, Stephen J.] Wildlife Conservat Soc Canada, Whitehorse, YT, Canada; [Insley, Stephen J.] Univ Victoria, Dept Biol, Victoria, BC, Canada; [Lannuzel, Delphine] Univ Tasmania, Inst Marine &amp; Antarctic Studies, Hobart, Tas, Australia; [Loseto, Lisa; Majewski, Andy] Fisheries &amp; Oceans Canada, Freshwater Inst, Winnipeg, MB, Canada; [Loseto, Lisa] Univ Manitoba, Ctr Earth Observat Sci, Dept Environm &amp; Geog, Winnipeg, MB, Canada; [Lynnes, Amanda] IAATO, South Kingstown, RI USA; [Meiners, Klaus M.] Australian Antarctic Div, Dept Agr Water &amp; Environm, Kingston, Tas, Australia; [Meiners, Klaus M.; Wongpan, Pat] Univ Tasmania, Inst Marine &amp; Antarctic Studies, Australian Antarctic Program Partnership, Hobart, Tas, Australia; [Michel, Loic N.] IFREMER, Lab Environm Profond, REM EEP, Ctr Bretagne, Plouzane, France; [Nacke, Melissa] Assoc Arctic Expedit Cruise Operators, Tromso, Norway; [Nomura, Daiki] Hokkaido Univ, Sapporo, Hokkaido, Japan; [van Franeker, Jan Andries] Wageningen Marine Res, WUR, Den Helder, Netherlands; [van Leeuwe, Maria A.] Univ Groningen, Groningen Inst Evolutionary Life Sci, Groningen, Netherlands</t>
  </si>
  <si>
    <t>Fisheries &amp; Oceans Canada; Environment &amp; Climate Change Canada; Canadian Centre for Climate Modelling &amp; Analysis (CCCma); University of Victoria; University of California System; University of California San Diego; Scripps Institution of Oceanography; UiT The Arctic University of Tromso; University of Bristol; Institute of Marine Research - Norway; University of Helsinki; Finland National Institute for Health &amp; Welfare; Finnish Environment Institute; Laval University; Laval University; Laval University; Laval University; Helmholtz Association; Alfred Wegener Institute, Helmholtz Centre for Polar &amp; Marine Research; Norwegian Polar Institute; University of Hamburg; University of Victoria; University of Tasmania; Fisheries &amp; Oceans Canada; University of Manitoba; Australian Antarctic Division; University of Tasmania; Ifremer; Universite de Bretagne Occidentale; Hokkaido University; Wageningen University &amp; Research; University of Groningen</t>
  </si>
  <si>
    <t>Steiner, NS (corresponding author), Fisheries &amp; Oceans Canada, Inst Ocean Sci, Sidney, BC, Canada.;Steiner, NS (corresponding author), Environm &amp; Climate Change Canada, Canadian Ctr Climate Modelling &amp; Anal, Victoria, BC, Canada.;Steiner, NS (corresponding author), Univ Victoria, Sch Earth &amp; Ocean Sci, Victoria, BC, Canada.</t>
  </si>
  <si>
    <t>nadja.steiner@dfo-mpo.gc.ca</t>
  </si>
  <si>
    <t>Flores, Hauke/ABD-1888-2020; Lannuzel, Delphine/J-7937-2014; Wongpan, Pat/AAX-6946-2020; Tedesco, Letizia/B-2884-2013</t>
  </si>
  <si>
    <t>Flores, Hauke/0000-0003-1617-5449; Wongpan, Pat/0000-0002-7113-8221; Steiner, Nadja/0000-0001-7456-3437; Bowman, Jeff/0000-0002-8811-6280; Tedesco, Letizia/0000-0001-9051-8177; Moreau, Sebastien/0000-0001-9446-812X</t>
  </si>
  <si>
    <t>Fisheries and Oceans Canada; W. Garfield Weston Foundation, Fisheries and Oceans Canada; Joint Secretariat of the Inuvialuit Settlement Region; Netherlands Ministry of Agriculture, Nature and Food Quality (LNV) under its Statutory Research Task Nature and Environment [WOT-04009-047.04]; Netherlands Polar Programme (NPP) [ALW 866.13.009]; Diatom-ARCTIC of the Changing Arctic Ocean programme - UKRI Natural Environment Research Council (NERC) [NE/R012849/1, 03F0810A]; Diatom-ARCTIC of the Changing Arctic Ocean programme - German Federal Ministry of Education and Research (BMBF) [NE/R012849/1, 03F0810A]; Genome Canada; Belmont Forum; Marine Environmental Observation Prediction and Response (MEOPAR); Australian Government through AAS [4546]; Australian Antarctic Program Partnership; Helmholtz Association</t>
  </si>
  <si>
    <t>Fisheries and Oceans Canada; W. Garfield Weston Foundation, Fisheries and Oceans Canada; Joint Secretariat of the Inuvialuit Settlement Region; Netherlands Ministry of Agriculture, Nature and Food Quality (LNV) under its Statutory Research Task Nature and Environment; Netherlands Polar Programme (NPP); Diatom-ARCTIC of the Changing Arctic Ocean programme - UKRI Natural Environment Research Council (NERC)(UK Research &amp; Innovation (UKRI)Natural Environment Research Council (NERC)); Diatom-ARCTIC of the Changing Arctic Ocean programme - German Federal Ministry of Education and Research (BMBF)(Federal Ministry of Education &amp; Research (BMBF)); Genome Canada(Genome Canada); Belmont Forum; Marine Environmental Observation Prediction and Response (MEOPAR); Australian Government through AAS(Australian Government); Australian Antarctic Program Partnership; Helmholtz Association(Helmholtz Association)</t>
  </si>
  <si>
    <t>NS, LM, LL, and AM acknowledge support from Fisheries and Oceans Canada, SJI acknowledges support from the W. Garfield Weston Foundation, Fisheries and Oceans Canada and the Joint Secretariat of the Inuvialuit Settlement Region. Polar research by JAvF at Wageningen Marine Research is commissioned by the Netherlands Ministry of Agriculture, Nature and Food Quality (LNV) under its Statutory Research Task Nature and Environment WOT-04009-047.04. The Netherlands Polar Programme (NPP), managed by the Netherlands Organization for Scientific Research (NWO), funded research under project nr. ALW 866.13.009. Support for K Campbell was in part provided by Diatom-ARCTIC (NE/R012849/1; 03F0810A) of the Changing Arctic Ocean programme, jointly funded by the UKRI Natural Environment Research Council (NERC) and the German Federal Ministry of Education and Research (BMBF). MF acknowledges support from Genome Canada, Belmont Forum, and the Marine Environmental Observation Prediction and Response (MEOPAR). KM acknowledges support from the Australian Government through AAS#4546 and the Australian Antarctic Program Partnership. HF was funded by the Helmholtz Association's research programme Changing Earth -Sustaining our Future Research Field EARTH &amp; ENVIRONMENT, Topic 6.1 and 6.3.</t>
  </si>
  <si>
    <t>OCT 13</t>
  </si>
  <si>
    <t>10.1525/elementa.2021.00007</t>
  </si>
  <si>
    <t>WM8XN</t>
  </si>
  <si>
    <t>WOS:000711362300001</t>
  </si>
  <si>
    <t>McCubbin, FM; Lewis, JA; Barnes, JJ; Elardo, SM; Boyce, JW</t>
  </si>
  <si>
    <t>McCubbin, Francis M.; Lewis, Jonathan A.; Barnes, Jessica J.; Elardo, Stephen M.; Boyce, Jeremy W.</t>
  </si>
  <si>
    <t>The abundances of F, Cl, and H2O in eucrites: Implications for the origin of volatile depletion in the asteroid 4 Vesta</t>
  </si>
  <si>
    <t>Apatite; Water; Chlorine isotopes; Magma ocean; Achondrites; Meteorites</t>
  </si>
  <si>
    <t>CHLORINE ISOTOPE COMPOSITION; EARLY SOLAR-SYSTEM; CORE FORMATION; THERMAL HISTORY; LUNAR APATITE; MAGMA OCEAN; U-PB; CONDENSATION TEMPERATURES; TERRESTRIAL PLANETS; BULK COMPOSITION</t>
  </si>
  <si>
    <t>We conducted a petrologic study of apatite within eight unbrecciated, non-cumulate eucrites and two monomict, non-cumulate eucrites. These data were combined with previously published data to quantify the abundances of F, Cl, and H2O in the bulk silicate portion of asteroid 4 Vesta (BSV). Using a combination of apatite-based melt hygrometry/chlorometry and appropriately paired volatile/refractory element ratios, we determined that BSV has 3.0-7.2 ppm F, 0.39-1.8 ppm Cl, and 3.6-22 ppm H2O. The abundances of F and H2O are depleted in BSV relative to CI chondrites to a similar degree as F and H2O in the bulk silicate portion of the Moon. This degree of volatile depletion in BSV is similar to what has been determined previously for many moderately volatile elements in 4 Vesta (e.g., Na, K, Zn, Rb, Cs, and Pb). In contrast, Cl is depleted in 4 Vesta by a greater degree than what is recorded in samples from Earth or the Moon. Based on the Clisotopic compositions of eucrites and the bulk rock Cl-/F ratios determined in this study, the eucrites likely formed through serial magmatism of a mantle with heterogeneous delta Cl-37 and Cl/F, not as extracts from a partially crystallized global magma ocean. Furthermore, the volatile depletion and Cl-isotopic heterogeneity recorded in eucrites is likely inherited, at least in part, from the precursor materials that accreted to form 4 Vesta and is unlikely to have resulted solely from degassing of a global magma ocean, magmatic degassing of eucrite melts, and/or volatile loss during thermal metamorphism. Although our results can be reconciled with the past presence of wide-scale melting on 4 Vesta (i.e., a partial magma ocean), any future models for eucrite petrogenesis involving a global magma ocean would need to account for the preservation of a heterogeneous eucrite source with respect to Cl/F ratios and Cl isotopes. Published by Elsevier Ltd.</t>
  </si>
  <si>
    <t>[McCubbin, Francis M.; Lewis, Jonathan A.; Boyce, Jeremy W.] NASA Johnson Space Ctr, Mailcode XI2,2101 NASA Pkwy, Houston, TX 77058 USA; [Barnes, Jessica J.] Univ Arizona, Lunar &amp; Planetary Lab, 1629 E Univ Blvd, Tucson, AZ 85721 USA; [Elardo, Stephen M.] Univ Florida, Dept Geol Sci, Gainesville, FL 32611 USA</t>
  </si>
  <si>
    <t>National Aeronautics &amp; Space Administration (NASA); NASA Johnson Space Center; University of Arizona; State University System of Florida; University of Florida</t>
  </si>
  <si>
    <t>McCubbin, FM (corresponding author), NASA Johnson Space Ctr, Mailcode XI2,2101 NASA Pkwy, Houston, TX 77058 USA.</t>
  </si>
  <si>
    <t>francis.m.mccubbin@nasa.gov</t>
  </si>
  <si>
    <t>Elardo, Stephen M/E-5865-2010; Boyce, Jeremy W/A-7514-2008; McCubbin, Francis/AAG-1095-2020</t>
  </si>
  <si>
    <t>BARNES, JESSICA/0000-0002-7151-1014; McCubbin, Francis/0000-0002-2101-4431</t>
  </si>
  <si>
    <t>NSF; NASA; NASA's Planetary Science Research Program; NASA Postdoctoral Program; University of Arizona; NASA Solar System [80NSSC19K0752]</t>
  </si>
  <si>
    <t>NSF(National Science Foundation (NSF)); NASA(National Aeronautics &amp; Space Administration (NASA)); NASA's Planetary Science Research Program; NASA Postdoctoral Program(National Aeronautics &amp; Space Administration (NASA)); University of Arizona; NASA Solar System</t>
  </si>
  <si>
    <t>We are grateful to the Meteorite Working Group, now the Antarctic Meteorite Review Panel of the Astromaterials Allocation Review Board, for carefully evaluating our sample requests, and we thank the curatorial staff at NASA Johnson Space Center for allo-cation of the Antarctic eucrites used in this study. The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respectively. We also thank Carl Agee of the Institute of Meteorit-ics at the University of New Mexico in Albuquerque, NM, USA for the allocation of Berthoud, and we thank Ludovic Ferrie`re of the Naturhistorisches (Natural History) Museum in Vienna, Austria for the allocation of Stannern. Finally, we wish to thank Daniel Kent Ross for his help with using the electron microprobe at NASA JSC and working closely with F.M.M., J.A.L., J.J.B., and J.W.B. to implement our apatite analytical routines. Kent will be dearly missed, and we dedicate this work to his memory. We are grateful to Wim van Westrenen for the editorial handling of this manuscript and to Thomas Barrett and an anonymous reviewer that provided constructive and helpful comments that improved the overall quality of this work. F.M.M. and J.W.B. were sup-ported by NASA's Planetary Science Research Program during this work. J.A.L. was supported by the NASA Postdoctoral Program during this work. J.J.B was supported by start-up funds from the University of Arizona. S.M.E. acknowledges support from NASA Solar System Workings grant 80NSSC19K0752.</t>
  </si>
  <si>
    <t>10.1016/j.gca.2021.08.021</t>
  </si>
  <si>
    <t>WM2OO</t>
  </si>
  <si>
    <t>WOS:000710930300003</t>
  </si>
  <si>
    <t>Nardin, R; Severi, M; Amore, A; Becagli, S; Burgay, F; Caiazzo, L; Ciardini, V; Dreossi, G; Frezzotti, M; Hong, SB; Khan, I; Narcisi, BM; Proposito, M; Scarchilli, C; Selmo, E; Spolaor, A; Stenni, B; Traversi, R</t>
  </si>
  <si>
    <t>Nardin, Raffaello; Severi, Mirko; Amore, Alessandra; Becagli, Silvia; Burgay, Francois; Caiazzo, Laura; Ciardini, Virginia; Dreossi, Giuliano; Frezzotti, Massimo; Hong, Sang-Bum; Khan, Ishaq; Narcisi, Bianca Maria; Proposito, Marco; Scarchilli, Claudio; Selmo, Enricomaria; Spolaor, Andrea; Stenni, Barbara; Traversi, Rita</t>
  </si>
  <si>
    <t>Dating of the GV7 East Antarctic ice core by high-resolution chemical records and focus on the accumulation rate variability in the last millennium</t>
  </si>
  <si>
    <t>SURFACE MASS-BALANCE; VOLCANIC-ERUPTIONS; SNOW ACCUMULATION; LAW DOME; GREENLAND; NITRATE; COASTAL; TRANSPORT; CHEMISTRY; KYR</t>
  </si>
  <si>
    <t>Ice core dating is the first step for a correct interpretation of climatic and environmental changes. In this work, we release the dating of the uppermost 197m of the 250m deep GV7(B) ice core (drill site, 70 degrees 410 S, 158 degrees 52' E; 1950ma.s.l. in Oates Land, East Antarctica) with a sub-annual resolution. Chemical records of NO 3, MSA (methanesulfonic acid), non-sea-salt SO42- (nssSO(4)(2-)), seasalt ions and water stable isotopes (delta O-18) were studied as candidates for dating due to their seasonal pattern. Different procedures were tested but the nssSO(4)(2-) record proved to be the most reliable on the short- and long-term scales, so it was chosen for annual layer counting along the whole ice core. The dating was constrained by using volcanic signatures from historically known events as tie points, thus providing an accurate age-depth relationship for the period 1179-2009 CE. The achievement of the complete age scale allowed us to calculate the annual mean accumulation rate throughout the analyzed 197m of the core, yielding an annually resolved history of the snow accumulation on site in the last millennium. A small yet consistent rise in accumulation rate (Tr = 1.6, p&lt;0:001) was found for the last 830 years starting around mid-18th century.</t>
  </si>
  <si>
    <t>[Nardin, Raffaello; Severi, Mirko; Amore, Alessandra; Becagli, Silvia; Traversi, Rita] Univ Florence, Dept Chem Ugo Schiff, Florence, Italy; [Severi, Mirko; Becagli, Silvia; Dreossi, Giuliano; Spolaor, Andrea; Stenni, Barbara; Traversi, Rita] Natl Res Council Italy ISP CNR, Inst Polar Sci, Venice, Italy; [Burgay, Francois; Dreossi, Giuliano; Spolaor, Andrea; Stenni, Barbara] Ca Foscari Univ Venice, Dept Environm Sci Informat &amp; Stat, Venice, Italy; [Burgay, Francois] Paul Scherrer Inst, Lab Environm Chem LUC, Villigen, Switzerland; [Caiazzo, Laura] Natl Inst Nucl Phys INFN, Florence, Italy; [Ciardini, Virginia; Narcisi, Bianca Maria; Proposito, Marco; Scarchilli, Claudio] ENEA, Lab Observat &amp; Measures Environm &amp; Climate, Rome, Italy; [Frezzotti, Massimo] Roma 3 Univ, Geol Sci Sect, Dept Sci, Rome, Italy; [Hong, Sang-Bum] Korea Polar Res Inst KOPRI, Div Glacial Environm Res, Incheon, South Korea; [Selmo, Enricomaria] Univ Parma, Dept Chem Life Sci &amp; Environm Sustainabil, Parma, Italy</t>
  </si>
  <si>
    <t>University of Florence; Consiglio Nazionale delle Ricerche (CNR); Istituto di Scienze Polari (ISP-CNR); Universita Ca Foscari Venezia; Swiss Federal Institutes of Technology Domain; Paul Scherrer Institute; Istituto Nazionale di Fisica Nucleare (INFN); Gran Sasso Science Institute (GSSI); Italian National Agency New Technical Energy &amp; Sustainable Economics Development; Roma Tre University; Italfarmaco; Korea Polar Research Institute (KOPRI); University of Parma</t>
  </si>
  <si>
    <t>Severi, M (corresponding author), Univ Florence, Dept Chem Ugo Schiff, Florence, Italy.</t>
  </si>
  <si>
    <t>mirko.severi@unifi.it</t>
  </si>
  <si>
    <t>Becagli, Silvia/GNW-2665-2022; Severi, Mirko/J-2508-2012</t>
  </si>
  <si>
    <t>Burgay, Francois/0000-0002-2657-6900; Severi, Mirko/0000-0003-1511-6762; Scarchilli, Claudio/0000-0002-2414-2439; Caiazzo, Laura/0000-0001-7932-2499; Proposito, Marco/0000-0002-5977-3003; FREZZOTTI, Massimo/0000-0002-2461-2883; Spolaor, Andrea/0000-0001-8635-9193</t>
  </si>
  <si>
    <t>MIUR (Italian Ministry of University and Research) - PNRA (Italian Antarctic Research Programme) through the IPICS-2kyr-It project (International Partnership for Ice Core Science, reconstructing the climate variability for the last 2 kyr, the Italian contr; KOPRI (Korea Polar Research Institute) [PE21100]</t>
  </si>
  <si>
    <t>MIUR (Italian Ministry of University and Research) - PNRA (Italian Antarctic Research Programme) through the IPICS-2kyr-It project (International Partnership for Ice Core Science, reconstructing the climate variability for the last 2 kyr, the Italian contr; KOPRI (Korea Polar Research Institute)(Korea Polar Research Institute of Marine Research Placement (KOPRI))</t>
  </si>
  <si>
    <t>This research has been supported by the MIUR (Italian Ministry of University and Research) - PNRA (Italian Antarctic Research Programme) through the IPICS-2kyr-It project (International Partnership for Ice Core Science, reconstructing the climate variability for the last 2 kyr, the Italian contribution). The IPICS-2kyr-It project is carried out in cooperation with KOPRI (Korea Polar Research Institute, grant no. PE21100).</t>
  </si>
  <si>
    <t>10.5194/cp-17-2073-2021</t>
  </si>
  <si>
    <t>WJ3NN</t>
  </si>
  <si>
    <t>WOS:000708954300001</t>
  </si>
  <si>
    <t>Kirby, A; Hernández-Molina, FJ; Rodrigues, S</t>
  </si>
  <si>
    <t>Kirby, Adam; Hernandez-Molina, Francisco Javier; Rodrigues, Sara</t>
  </si>
  <si>
    <t>Lateral migration of large sedimentary bodies in a deep-marine system offshore of Argentina</t>
  </si>
  <si>
    <t>CONTINENTAL-MARGIN; EVOLUTION; RECORD; FLOWS</t>
  </si>
  <si>
    <t>Contourite features are increasingly identified in seismic data, but the mechanisms controlling their evolution remain poorly understood. Using 2D multichannel reflection seismic and well data, this study describes large Oligocene- to middle Miocene-aged sedimentary bodies that show prominent lateral migration along the base of the Argentine slope. These form part of a contourite depositional system with four morphological elements: a plastered drift, a contourite channel, an asymmetric mounded drift, and an erosive surface. The features appear within four seismic units (SU1-SU4) bounded by discontinuities. Their sedimentary stacking patterns indicate three evolutionary stages: an onset stage (I) (similar to 34-25 Ma), a growth stage (II) (similar to 25-14 Ma), and (III) a burial stage (&lt; 14 Ma). The system reveals that lateral migration of large sedimentary bodies is not only confined to shallow or littoral marine environments and demonstrates how bottom currents and secondary oceanographic processes influence contourite morphologies. Two cores of a single water mass, in this case, the Antarctic Bottom Water and its upper interface, may drive upslope migration of asymmetric mounded drifts. Seismic images also show evidence of recirculating bottom currents which have modulated the system's evolution. Elucidation of these novel processes will enhance basin analysis and palaeoceanographic reconstructions.</t>
  </si>
  <si>
    <t>[Kirby, Adam; Hernandez-Molina, Francisco Javier; Rodrigues, Sara] Royal Holloway Univ London, Dept Earth Sci, Egham TW20 0EX, Surrey, England</t>
  </si>
  <si>
    <t>University of London; Royal Holloway University London</t>
  </si>
  <si>
    <t>Kirby, A (corresponding author), Royal Holloway Univ London, Dept Earth Sci, Egham TW20 0EX, Surrey, England.</t>
  </si>
  <si>
    <t>Adam.Kirby.2016@live.rhul.ac.uk</t>
  </si>
  <si>
    <t>Rodrigues, Sara/IWD-9868-2023; Rodrigues, Sara/ABG-5049-2021; Rodrigues, Sara/KCY-5884-2024</t>
  </si>
  <si>
    <t>Rodrigues, Sara/0000-0002-4806-8480; Rodrigues, Sara/0000-0002-4806-8480;</t>
  </si>
  <si>
    <t>BP; ENI; ExxonMobil; TGS; TOTAL; Wintershall within the framework of The Drifters Research Group at Royal Holloway University of London (RHUL)</t>
  </si>
  <si>
    <t>BP; ENI; ExxonMobil(Exxon Mobil Corporation); TGS; TOTAL(Total SA); Wintershall within the framework of The Drifters Research Group at Royal Holloway University of London (RHUL)</t>
  </si>
  <si>
    <t>This project was funded through a Joint Industry Project (JIP) supported by BP, ENI, ExxonMobil, TGS, TOTAL, and Wintershall within the framework of The Drifters Research Group at Royal Holloway University of London (RHUL). We thank Spectrum (now TGS) for granting access to seismic and well datasets and for providing helpful information and scientific discussions. We also thank the editor and two reviewers, Dr. Marco Fonnesu and Dr. Eleanora Martorelli, for providing detailed comments which greatly improved this manuscript.</t>
  </si>
  <si>
    <t>10.1038/s41598-021-99730-x</t>
  </si>
  <si>
    <t>WG5KC</t>
  </si>
  <si>
    <t>WOS:000707032500075</t>
  </si>
  <si>
    <t>Câmara, PEAS; Eisenlohr, PV; Coelho, LC; Carvalho-Silva, M; Amorim, ET; Convey, P; Pinto, OHB; Rosa, LH</t>
  </si>
  <si>
    <t>Camara, Paulo E. A. S.; Eisenlohr, Pedro V.; Coelho, Livia C.; Carvalho-Silva, Micheline; Amorim, Eduardo T.; Convey, Peter; Pinto, Otavio H. B.; Rosa, Luiz Henrique</t>
  </si>
  <si>
    <t>Fairy ring disease affects epiphytic algal assemblages associated with the moss Sanionia uncinata (Hedw.) Loeske (Bryophyta) on King George Island, Antarctica</t>
  </si>
  <si>
    <t>EXTREMOPHILES</t>
  </si>
  <si>
    <t>Fairy rings; Fungal disease; Epiphytic; Chlorophyta</t>
  </si>
  <si>
    <t>DIVERSITY; RECORDS</t>
  </si>
  <si>
    <t>Since the nineteenth century, a ring-forming disease attacking Antarctic mosses has been reported. However, to date, only the effects on the mosses themselves are known. In this study, we used DNA metabarcoding to investigate the effects on the moss epiphytic algal community at different stages of disease progression. As the disease progressed, algal species richness decreased, although overall abundance was not significantly affected. Prasiolales appeared unaffected, whereas Ulotrichales were more sensitive. Trebouxiales dominated the advanced disease stage, suggesting a possible benefit from the disease, either through the elimination of competition or creation of new niches. Infection is responsible for moss death, leading to habitat loss for other organisms, but pathogenic effects on algae cannot be ruled out. Our data indicate that the disease not only impacts mosses but also other groups, potentially resulting in loss of Antarctic biodiversity. This study provides the first report of the disease effects on epiphytic algal communities of Antarctic bryophytes.</t>
  </si>
  <si>
    <t>[Camara, Paulo E. A. S.; Carvalho-Silva, Micheline] Univ Brasilia, Dept Botan, Brasilia, DF, Brazil; [Eisenlohr, Pedro V.] Univ Estado Mato Grosso, Campus Alta Floresta, Alta Floresta, Brazil; [Coelho, Livia C.; Rosa, Luiz Henrique] Univ Fed Minas Gerais, Dept Microbiol, Belo Horizonte, MG, Brazil; [Amorim, Eduardo T.] Inst Pesquisas Jardim Bot Rio Janeiro CNCFlora JB, Ctr Nacl Conservac Flora, Rio De Janeiro, Brazil; [Convey, Peter] British Antarctic Survey, Cambridge, England; [Convey, Peter] Univ Johannesburg, Dept Zool, Auckland Pk, South Africa; [Pinto, Otavio H. B.] Univ Brasilia, Dept Biol Celular &amp; Mol, Brasilia, DF, Brazil</t>
  </si>
  <si>
    <t>Universidade de Brasilia; Universidade do Estado de Mato Grosso; Universidade Federal de Minas Gerais; UK Research &amp; Innovation (UKRI); Natural Environment Research Council (NERC); NERC British Antarctic Survey; University of Johannesburg; Universidade de Brasilia</t>
  </si>
  <si>
    <t>Câmara, PEAS (corresponding author), Univ Brasilia, Dept Botan, Brasilia, DF, Brazil.</t>
  </si>
  <si>
    <t>paducamara@gmail.com</t>
  </si>
  <si>
    <t>Convey, Peter/AAV-5728-2020; Camara, Paulo/GPP-2054-2022; Eisenlohr, Pedro/F-8421-2012</t>
  </si>
  <si>
    <t>Convey, Peter/0000-0001-8497-9903; Camara, Paulo/0000-0002-3944-996X; Amorim, Eduardo/0000-0003-4253-1339; Silva, Micheline/0000-0002-2389-3804; Eisenlohr, Pedro/0000-0002-5912-8370; Coelho, Livia/0000-0002-3980-2014; Pinto, Otavio/0000-0002-8382-2987</t>
  </si>
  <si>
    <t>CNPq; PROANTAR; INCT Criosfera 2; NERC; NERC [bas0100036] Funding Source: UKRI</t>
  </si>
  <si>
    <t>CNPq(Conselho Nacional de Desenvolvimento Cientifico e Tecnologico (CNPQ)); PROANTAR; INCT Criosfera 2; NERC(UK Research &amp; Innovation (UKRI)Natural Environment Research Council (NERC)); NERC(UK Research &amp; Innovation (UKRI)Natural Environment Research Council (NERC))</t>
  </si>
  <si>
    <t>This work is supported by CNPq, PROANTAR, INCT Criosfera 2. P. Convey is supported by NERC core funding to the British Antarctic Survey's `Biodiversity, Evolution and Adaptation' Team.</t>
  </si>
  <si>
    <t>SPRINGER JAPAN KK</t>
  </si>
  <si>
    <t>TOKYO</t>
  </si>
  <si>
    <t>SHIROYAMA TRUST TOWER 5F, 4-3-1 TORANOMON, MINATO-KU, TOKYO, 105-6005, JAPAN</t>
  </si>
  <si>
    <t>1431-0651</t>
  </si>
  <si>
    <t>1433-4909</t>
  </si>
  <si>
    <t>Extremophiles</t>
  </si>
  <si>
    <t>10.1007/s00792-021-01246-9</t>
  </si>
  <si>
    <t>Biochemistry &amp; Molecular Biology; Microbiology</t>
  </si>
  <si>
    <t>WU3MK</t>
  </si>
  <si>
    <t>WOS:000706927700001</t>
  </si>
  <si>
    <t>Suyal, DC; Joshi, D; Kumar, S; Bhatt, P; Narayan, A; Giri, K; Singh, M; Soni, R; Kumar, R; Yadav, A; Devi, R; Kaur, T; Kour, D; Yadav, AN</t>
  </si>
  <si>
    <t>Suyal, Deep Chandra; Joshi, Divya; Kumar, Saurabh; Bhatt, Pankaj; Narayan, Arun; Giri, Krishna; Singh, Manali; Soni, Ravindra; Kumar, Rakshak; Yadav, Ashok; Devi, Rubee; Kaur, Tanvir; Kour, Divjot; Yadav, Ajar Nath</t>
  </si>
  <si>
    <t>Himalayan Microbiomes for Agro-environmental Sustainability: Current Perspectives and Future Challenges</t>
  </si>
  <si>
    <t>Biodiversity; Ecology; Himalayas; Psychotropic; Sustainability</t>
  </si>
  <si>
    <t>GROWTH-PROMOTING RHIZOBACTERIA; NORTH-WESTERN HIMALAYAS; COMPLETE GENOME SEQUENCE; COLD SHOCK PROTEIN; ANTARCTIC SEA-ICE; PLANT-GROWTH; SP-NOV.; GEN. NOV.; SP. NOV.; PHOSPHATE SOLUBILIZATION</t>
  </si>
  <si>
    <t>The Himalayas are one of the most mystical, yet least studied terrains of the world. One of Earth's greatest multifaceted and diverse montane ecosystems is also one of the thirty-four global biodiversity hotspots of the world. These are supposed to have been uplifted about 60-70 million years ago and support, distinct environments, physiography, a variety of orogeny, and great biological diversity (plants, animals, and microbes). Microbes are the pioneer colonizer of the Himalayas that are involved in various bio-geological cycles and play various significant roles. The applications of Himalayan microbiomes inhabiting in lesser to greater Himalayas have been recognized. The researchers explored the applications of indigenous microbiomes in both agricultural and environmental sectors. In agriculture, microbiomes from Himalayan regions have been suggested as better biofertilizers and biopesticides for the crops growing at low temperature and mountainous areas as they help in the alleviation of cold stress and other biotic stresses. Along with alleviation of low temperature, Himalayan microbes also have the capability to enhance plant growth by availing the soluble form of nutrients like nitrogen, phosphorus, potassium, zinc, and iron. These microbes have been recognized for producing plant growth regulators (abscisic acid, auxin, cytokinin, ethylene, and gibberellins). These microbes have been reported for bioremediating the diverse pollutants (pesticides, heavy metals, and xenobiotics) for environmental sustainability. In the current perspectives, present review provides a detailed discussion on the ecology, biodiversity, and adaptive features of the native Himalayan microbiomes in view to achieve agro-environmental sustainability.</t>
  </si>
  <si>
    <t>[Suyal, Deep Chandra] Eternal Univ, Dept Microbiol, Akal Coll Basic Sci, Sirmaur, Himachal Prades, India; [Joshi, Divya] Uttarakhand Pollut Control Board, Reg Off, Kashipur, Uttarakhand, India; [Kumar, Saurabh] Res Complex Eastern Region, Div Crop Res, Patna, Bihar, India; [Bhatt, Pankaj] South China Agr Univ, Guangdong Lab Lingnan Modern Agr Integrat Microbi, State Key Lab Conservat &amp; Utilizat Subtrop AgroBi, Guangzhou 510642, Peoples R China; [Narayan, Arun] Forest Res Inst, Dehra Dun 248006, Uttarakhand, India; [Giri, Krishna] Rain Forest Res Inst, Jorhat 785010, Assam, India; [Singh, Manali] Invertis Univ, Invertis Inst Engn &amp; Technol IIET, Dept Biotechnol, Bareilly 243123, Uttar Pradesh, India; [Soni, Ravindra] Coll Agr, Dept Agr Microbiol, Indira Gandhi Krishi Vishwa Vidyalaya, Raipur, Madhya Pradesh, India; [Kumar, Rakshak] CSIR Inst Himalayan Bioresource Technol, Dept Biotechnol, Palampur, Himachal Prades, India; [Yadav, Ashok] Banaras Hindu Univ, Inst Sci, Dept Bot, Varanasi, Uttar Pradesh, India; [Devi, Rubee; Kaur, Tanvir; Kour, Divjot; Yadav, Ajar Nath] Eternal Univ, Dept Biotechnol, Dr Khem Singh Gill Akal Coll Agr, Microbial Biotechnol Lab, Sirmour, Himachal Prades, India</t>
  </si>
  <si>
    <t>Indian Council of Agricultural Research (ICAR); ICAR - ICAR Research Complex for Eastern Region; South China Agricultural University; Indian Council of Forestry Research &amp; Education (ICFRE); Forest Research Institute (FRI); Indian Council of Forestry Research &amp; Education (ICFRE); Rain Forest Research Institute (RFRI); Invertis University; Indira Gandhi Krishi Vishwavidyalaya (IGKV); Council of Scientific &amp; Industrial Research (CSIR) - India; CSIR - Institute of Himalayan Bioresource Technology (IHBT); Banaras Hindu University (BHU)</t>
  </si>
  <si>
    <t>Yadav, AN (corresponding author), Eternal Univ, Dept Biotechnol, Dr Khem Singh Gill Akal Coll Agr, Microbial Biotechnol Lab, Sirmour, Himachal Prades, India.</t>
  </si>
  <si>
    <t>ajar@eternaluniversity.edu.in</t>
  </si>
  <si>
    <t>Kour, Divjot/AAK-1119-2021; Kaur, Tanvir/AAS-2845-2021; Yadav, Ashok/AAE-6398-2022; Singh, Manali/AAV-3928-2021; Devi, Rubee/IST-7536-2023; Bhatt, Pankaj/AAF-1027-2020; Yadav, Ajar Nath/I-3572-2014; Giri, Krishna/I-7190-2019; Kumar, Rakshak/AAP-8704-2020; Joshi, Dr. Divya/HNT-0370-2023</t>
  </si>
  <si>
    <t>Kour, Divjot/0000-0002-1384-5104; Kaur, Tanvir/0000-0002-4270-137X; Yadav, Ashok/0000-0002-7939-0499; Singh, Manali/0000-0002-7265-1721; Devi, Rubee/0000-0001-8113-6310; Bhatt, Pankaj/0000-0002-0356-5715; Yadav, Ajar Nath/0000-0002-6911-7050; Giri, Krishna/0000-0002-5500-4856; Kumar, Rakshak/0000-0002-6982-2454; Joshi, Dr. Divya/0000-0001-5703-2124; SUYAL, DEEP CHANDRA/0000-0003-3380-5772</t>
  </si>
  <si>
    <t>Department of Biotechnology, Akal College of Agriculture, Eternal University, Baru Sahib</t>
  </si>
  <si>
    <t>Department of Biotechnology, Akal College of Agriculture, Eternal University, Baru Sahib.</t>
  </si>
  <si>
    <t>10.1007/s00248-021-01849-x</t>
  </si>
  <si>
    <t>WOS:000706963300001</t>
  </si>
  <si>
    <t>Karanovic, T</t>
  </si>
  <si>
    <t>Karanovic, Tomislav</t>
  </si>
  <si>
    <t>Two new marine cyclopinids (Crustacea: Copepoda: Cyclopoida) from interstitial habitats in Korea</t>
  </si>
  <si>
    <t>cyclopoids; intertidal zone; new genus; new species; stygofauna; taxonomy</t>
  </si>
  <si>
    <t>1ST RECORD; HARPACTICOIDA CLETODIDAE; SPECIES COPEPODA; GENUS; REDESCRIPTION; ATLANTIC; SUITABILITY; CYCLOPICINA; DIVERSITY; FAMILY</t>
  </si>
  <si>
    <t>Marine cyclopoids, and especially cyclopinids, are poorly studied because their diversity is highest in marginal habitats, such as intertidal interstitial and anchialine caves, or in highly inaccessible abyssal and hadal depths. Two new cyclopinids are described here, both from two different sandy beaches in Korea. Among four species currently recognized in the genus, Heterocyclopina koreaensis sp. nov. is most closely related to H. vietnamensis Ple5a, 1969 from similar habitats in Vietnam. Koreacyclopina wellsi gen. et sp. nov. shares its sexually dimorphic third exopodal segment of the second leg with the Antarctic genus Pseudocyclopina Lang, 1946, but differs from all six known species by numerous features, some of which are observed for the first time within cyclopinids. Both Korean species belong to the family Hemicyclopinidae, but the monophyly of this group has not yet been demonstrated.</t>
  </si>
  <si>
    <t>[Karanovic, Tomislav] Hanyang Univ, Coll Nat Sci, Dept Life Sci, Seoul 04763, South Korea</t>
  </si>
  <si>
    <t>Hanyang University</t>
  </si>
  <si>
    <t>Karanovic, T (corresponding author), Hanyang Univ, Coll Nat Sci, Dept Life Sci, Seoul 04763, South Korea.</t>
  </si>
  <si>
    <t>tomislav.karanovic@gmail.com</t>
  </si>
  <si>
    <t>National Institute of Biological Resources (NIBR) - ministry of Environment (MOE) of the Republic of Korea [NIBR201904101]</t>
  </si>
  <si>
    <t>National Institute of Biological Resources (NIBR) - ministry of Environment (MOE) of the Republic of Korea</t>
  </si>
  <si>
    <t>This work was supported by a grant from the National Institute of Biological Resources (NIBR), funded by the ministry of Environment (MOE) of the Republic of Korea (NIBR201904101). I am very grateful to Prof Gi-Sik Min (Inha University, Incheon) for a continuous support through the research project 'Discovery of Korean Indigenous Species'. Several PhD students from Prof Min's lab were also very helpful with handling the specimens, and I am especially grateful to Mr Chi-Woo Lee. Finally, I would like to thank Prof. Ivana Karanovic and Ms Pham Thi Minh Huyen (both from the Hanyang University, Seoul) for their generosity in sharing research facilities and providing administrative help. The scanning electron microscope was made available through the courtesy of Prof. Jin Hyun Jun (Eulji University, Seoul), and I also want to thank Mr. Junho Kim (Eulji University, Seoul) for the technical help provided.</t>
  </si>
  <si>
    <t>OCT 12</t>
  </si>
  <si>
    <t>10.11646/zootaxa.5051.1.14</t>
  </si>
  <si>
    <t>WK4XJ</t>
  </si>
  <si>
    <t>WOS:000709729900001</t>
  </si>
  <si>
    <t>Huang, SJ; Jia, RN; Hu, RQ; Zhai, WY; Jiang, SW; Li, WH; Wang, FX; Xu, QH</t>
  </si>
  <si>
    <t>Huang, Shaojun; Jia, Ruonan; Hu, Ruiqin; Zhai, Wanying; Jiang, Shouwen; Li, Wenhao; Wang, Faxiang; Xu, Qianghua</t>
  </si>
  <si>
    <t>Specific immunity proteomic profile of the skin mucus of Antarctic fish Chionodraco hamatus and Notothenia coriiceps</t>
  </si>
  <si>
    <t>JOURNAL OF FISH BIOLOGY</t>
  </si>
  <si>
    <t>Chionodraco hamatus; immune proteins; Notothenia coriiceps; skin mucus</t>
  </si>
  <si>
    <t>EARLY-PREGNANCY FACTOR; PEPTIDE PARASIN-I; APOPTOSIS; PROTEIN; INFLAMMASOME; EXPRESSION; RESISTANCE; COLD; ASC</t>
  </si>
  <si>
    <t>The white-blooded Antarctic icefish is the only known vertebrate lacking oxygen-transporting haemoglobins. Fish skin mucus, as the first line of defence against pathogens, can reflect fish welfare. In this study, we analysed the skin mucus proteome profiles of the two Antarctic fish species, the white-blooded Antarctic icefish, Chionodraco hamatus, and the red-blooded Antarctic fish, Notothenia coriiceps, unfolding the different proteins by liquid chromatography coupled with tandem mass spectrometry isobaric tags for relative and absolute quantitation (iTRAQ) technology. Of the 4444 totally identified proteins, 227 differentially expressed proteins (DEPs) were found in the comparison between C. hamatus and N. coriiceps, of which 121 were upregulated and 106 were downregulated in the icefish. In the Kyoto Encyclopedia of Genes and Genomes pathway annotation, we found two pathways Legionellosis and Complement and coagulation cascades were significantly enriched, among of which innate immune candidate proteins such as C3, CASP1, ASC, F3 and C9 were significantly upregulated, suggesting their important roles in C. hamatus immune system. Additionally, the DEP protein-protein interaction network analysis and Response to stress GO category provided candidate biomarkers for deep understanding of the distinct immune response of the two Antarctic fish underlying the cold adaptation.</t>
  </si>
  <si>
    <t>[Huang, Shaojun; Jia, Ruonan; Wang, Faxiang; Xu, Qianghua] Shanghai Ocean Univ, Coll Marine Sci, Key Lab Sustainable Exploitat Ocean Fisheries Res, Minist Educ, Shanghai, Peoples R China; [Hu, Ruiqin; Zhai, Wanying; Jiang, Shouwen; Li, Wenhao] Shanghai Ocean Univ, Coll Fisheries &amp; Life Sci, Key Lab Aquaculture Resources &amp; Utilizat, Minist Educ, Shanghai, Peoples R China; [Xu, Qianghua] Shanghai Ocean Univ, Natl Distant Water Fisheries Engn Res Ctr, Shanghai, Peoples R China; [Xu, Qianghua] Collaborat Innovat Ctr Distantwater Fisheries, Shanghai, Peoples R China</t>
  </si>
  <si>
    <t>Shanghai Ocean University; Shanghai Ocean University; Shanghai Ocean University</t>
  </si>
  <si>
    <t>Xu, QH (corresponding author), Shanghai Ocean Univ, Coll Marine Sci, 999 Huchenghuan Rd, Shanghai 201306, Peoples R China.</t>
  </si>
  <si>
    <t>qhxu@shou.edu.cn</t>
  </si>
  <si>
    <t>major scientific innovation project from Shanghai Committee of Education [2017-01-07-00-10-E00060]; National Key Research and Development Program of China [2018YFD0900601, 2018YFC0310600]; National Natural Science Foundation of China [41761134050, 31772826]</t>
  </si>
  <si>
    <t>major scientific innovation project from Shanghai Committee of Education; National Key Research and Development Program of China; National Natural Science Foundation of China(National Natural Science Foundation of China (NSFC))</t>
  </si>
  <si>
    <t>major scientific innovation project from Shanghai Committee of Education, Grant/Award Number: 2017-01-07-00-10-E00060; National Key Research and Development Program of China, Grant/Award Numbers: 2018YFD0900601, 2018YFC0310600; National Natural Science Foundation of China, Grant/Award Numbers: 41761134050, 31772826</t>
  </si>
  <si>
    <t>0022-1112</t>
  </si>
  <si>
    <t>1095-8649</t>
  </si>
  <si>
    <t>J FISH BIOL</t>
  </si>
  <si>
    <t>J. Fish Biol.</t>
  </si>
  <si>
    <t>10.1111/jfb.14908</t>
  </si>
  <si>
    <t>XU2XL</t>
  </si>
  <si>
    <t>WOS:000706541100001</t>
  </si>
  <si>
    <t>Jiang, B; Xie, ZQ; Qiu, Y; Wang, LQ; Yue, FG; Kang, H; Yu, XW; Wu, XD</t>
  </si>
  <si>
    <t>Jiang, Bei; Xie, Zhouqing; Qiu, Yue; Wang, Longquan; Yue, Fange; Kang, Hui; Yu, Xiawei; Wu, Xudong</t>
  </si>
  <si>
    <t>Modification of the Conversion of Dimethylsulfide to Methanesulfonic Acid by Anthropogenic Pollution as Revealed by Long-Term Observations</t>
  </si>
  <si>
    <t>ACS EARTH AND SPACE CHEMISTRY</t>
  </si>
  <si>
    <t>methanesulfonic acid particles; dimethylsulfide; conversion efficiency; marine boundary layer; human activity</t>
  </si>
  <si>
    <t>AEROSOL FORMATION; OCEANIC PHYTOPLANKTON; SULFIDE OXIDATION; BOUNDARY-LAYER; DMS OXIDATION; SULFUR; EMISSIONS; ATMOSPHERE; PACIFIC; IMPACTS</t>
  </si>
  <si>
    <t>Since the CLAW hypothesis was proposed approximately three decades ago, aerosols derived from dimethyl-sulfide (DMS) conversion have been intensively investigated. In this study, long-term observations were conducted for methane-sulfonic acid (MSA), the oxidation product of DMS, from 2008 to 2016 in the marine boundary layer of the Bering Sea. We found that (1) the increase in sea surface temperatures led to increased DMS emissions and MSA concentrations; however, (2) air masses from different sources caused significant differences in the conversion efficiencies of DMS to MSA; and (3) air masses with high O-3 and NO2, low relative humidity, temperature, and cloud liquid water path from the northwest Pacific, which were influenced by anthropogenic activities, together inhibited the conversion of DMS to MSA. Among them, O-3, T2M, and RH were the principal factors. Conversely, air masses, with contrasting atmospheric environments, from the Arctic Ocean promoted the conversion of DMS to MSA.</t>
  </si>
  <si>
    <t>[Jiang, Bei; Xie, Zhouqing; Qiu, Yue; Wang, Longquan; Yue, Fange; Kang, Hui; Yu, Xiawei; Wu, Xudong] Univ Sci &amp; Technol China, Anhui Key Lab Polar Environm &amp; Global Change, Dept Environm Sci &amp; Engn, Hefei 230026, Anhui, Peoples R China; [Jiang, Bei; Qiu, Yue] Univ Sci &amp; Technol China, Suzhou Inst Adv Study, Suzhou 215123, Jiangsu, Peoples R China; [Xie, Zhouqing] Chinese Acad Sci, Ctr Excellence Urban Atmospher Environm, Inst Urban Environm, Xiamen 361021, Peoples R China</t>
  </si>
  <si>
    <t>Chinese Academy of Sciences; University of Science &amp; Technology of China, CAS; Chinese Academy of Sciences; University of Science &amp; Technology of China, CAS; Chinese Academy of Sciences; Institute of Urban Environment, CAS</t>
  </si>
  <si>
    <t>Xie, ZQ (corresponding author), Univ Sci &amp; Technol China, Anhui Key Lab Polar Environm &amp; Global Change, Dept Environm Sci &amp; Engn, Hefei 230026, Anhui, Peoples R China.;Xie, ZQ (corresponding author), Chinese Acad Sci, Ctr Excellence Urban Atmospher Environm, Inst Urban Environm, Xiamen 361021, Peoples R China.</t>
  </si>
  <si>
    <t>zqxie@ustc.edu.cn</t>
  </si>
  <si>
    <t>Jiang, Bei/JDC-9899-2023; wu, xudong/KGL-1857-2024</t>
  </si>
  <si>
    <t>Jiang, Bei/0000-0001-5223-6742;</t>
  </si>
  <si>
    <t>National Natural Science Foundation of China (NSFC) [41941014, 41176170, 41676173, 41025020]</t>
  </si>
  <si>
    <t>National Natural Science Foundation of China (NSFC)(National Natural Science Foundation of China (NSFC))</t>
  </si>
  <si>
    <t>This study was funded by the National Natural Science Foundation of China (NSFC) (41941014, 41176170, 41676173, 41025020). We thank the Chinese Arctic and Antarctic Administration for supporting the field campaign. We thank Zheng Li, Juan Yu, Shidong Fan, and Pengzhen He for sampling during the field campaign.</t>
  </si>
  <si>
    <t>2472-3452</t>
  </si>
  <si>
    <t>ACS EARTH SPACE CHEM</t>
  </si>
  <si>
    <t>ACS Earth Space Chem.</t>
  </si>
  <si>
    <t>10.1021/acsearthspacechem.1c00222</t>
  </si>
  <si>
    <t>Chemistry, Multidisciplinary; Geochemistry &amp; Geophysics</t>
  </si>
  <si>
    <t>Chemistry; Geochemistry &amp; Geophysics</t>
  </si>
  <si>
    <t>WQ9GE</t>
  </si>
  <si>
    <t>WOS:000714116400026</t>
  </si>
  <si>
    <t>Hissa, SDV</t>
  </si>
  <si>
    <t>Hissa, Sarah de Barros Viana</t>
  </si>
  <si>
    <t>On Time and Other Things: Some Cartesian Dichotomies in Antarctica</t>
  </si>
  <si>
    <t>CAMBRIDGE ARCHAEOLOGICAL JOURNAL</t>
  </si>
  <si>
    <t>CHRONOPOLITICS; ANTHROPOCENE; ARCHAEOLOGY</t>
  </si>
  <si>
    <t>Antarctica differs from all other regions in the world, not only from its unique geography, but also in the way humans understand it and have incorporated it into global relations. Considering Antarctica's distinctive landscapes and human relations, this paper discusses aspects of how time is humanly perceived in Antarctica. Basing on elements from different human occupations, nineteenth-century sailor-hunters and current incursions, this discussion approximates different historical groups in their experiences of Antarctica, connecting their personal lives, past and present. Meanwhile, also put into issue are the dualities that separate nature and culture, physical and relative time, and past and present, as well as the related notions of time in itself, perceived time speed and internal time consciousness.</t>
  </si>
  <si>
    <t>[Hissa, Sarah de Barros Viana] Univ Fed Minas Gerais, Brazil UFMG, Belo Horizonte, MG, Brazil</t>
  </si>
  <si>
    <t>Universidade Federal de Minas Gerais</t>
  </si>
  <si>
    <t>Hissa, SDV (corresponding author), Univ Fed Minas Gerais, Brazil UFMG, Belo Horizonte, MG, Brazil.</t>
  </si>
  <si>
    <t>sarah.hissa@gmail.com</t>
  </si>
  <si>
    <t>Hissa1, Sarah/0000-0003-1623-8737</t>
  </si>
  <si>
    <t>CNPq</t>
  </si>
  <si>
    <t>CNPq(Conselho Nacional de Desenvolvimento Cientifico e Tecnologico (CNPQ))</t>
  </si>
  <si>
    <t>The Antarctic Archaeology project White Landscapes, coordinated by Prof. Dr Andres Zarankin (UFMG), made possible my fieldwork in Antarctica. Additionally, PROANTAR/CNPQ and the Brazilian Navy provided the logistics for the voyage, and my research received CNPq funding. I also thank Brazilian mariners from the ships NApOc Ary Rongel and Npo. Almirante Maximiano for the conversations and formal interviews.</t>
  </si>
  <si>
    <t>0959-7743</t>
  </si>
  <si>
    <t>1474-0540</t>
  </si>
  <si>
    <t>CAMB ARCHAEOL J</t>
  </si>
  <si>
    <t>Camb. Archaeol. J.</t>
  </si>
  <si>
    <t>S0959774321000408</t>
  </si>
  <si>
    <t>10.1017/S0959774321000408</t>
  </si>
  <si>
    <t>Archaeology</t>
  </si>
  <si>
    <t>Arts &amp; Humanities Citation Index (A&amp;HCI)</t>
  </si>
  <si>
    <t>0G6BU</t>
  </si>
  <si>
    <t>WOS:000749569000001</t>
  </si>
  <si>
    <t>Williams, TJ; Allen, MA; Berengut, JF; Cavicchioli, R</t>
  </si>
  <si>
    <t>Williams, Timothy J.; Allen, Michelle A.; Berengut, Jonathan F.; Cavicchioli, Ricardo</t>
  </si>
  <si>
    <t>Shedding Light on Microbial Dark Matter: Insights Into Novel Cloacimonadota and Omnitrophota From an Antarctic Lake</t>
  </si>
  <si>
    <t>Cloacimonadota; Omnitrophota; cellulosome; autotrophy; metagenome; Antarctic bacteria</t>
  </si>
  <si>
    <t>BACTERIAL CANDIDATE DIVISION; RE-CITRATE SYNTHASE; PYROCOCCUS-FURIOSUS; ENERGY-CONSERVATION; GENOME SEQUENCE; IQ-TREE; HYDROGENASE; IDENTIFICATION; DIVERSITY; REDUCTION</t>
  </si>
  <si>
    <t>The potential metabolism and ecological roles of many microbial taxa remain unknown because insufficient genomic data are available to assess their functional potential. Two such microbial dark matter taxa are the Candidatus bacterial phyla Cloacimonadota and Omnitrophota, both of which have been identified in global anoxic environments, including (but not limited to) organic-carbon-rich lakes. Using 24 metagenome-assembled genomes (MAGs) obtained from an Antarctic lake (Ace Lake, Vestfold Hills), novel lineages and novel metabolic traits were identified for both phyla. The Cloacimonadota MAGs exhibited a capacity for carbon fixation using the reverse tricarboxylic acid cycle driven by oxidation of hydrogen and sulfur. Certain Cloacimonadota MAGs encoded proteins that possess dockerin and cohesin domains, which is consistent with the assembly of extracellular cellulosome-like structures that are used for degradation of polypeptides and polysaccharides. The Omnitrophota MAGs represented phylogenetically diverse taxa that were predicted to possess a strong biosynthetic capacity for amino acids, nucleosides, fatty acids, and essential cofactors. All of the Omnitrophota were inferred to be obligate fermentative heterotrophs that utilize a relatively narrow range of organic compounds, have an incomplete tricarboxylic acid cycle, and possess a single hydrogenase gene important for achieving redox balance in the cell. We reason that both Cloacimonadota and Omnitrophota form metabolic interactions with hydrogen-consuming partners (methanogens and Desulfobacterota, respectively) and, therefore, occupy specific niches in Ace Lake.</t>
  </si>
  <si>
    <t>[Williams, Timothy J.; Allen, Michelle A.; Cavicchioli, Ricardo] UNSW Sydney, Sch Biotechnol &amp; Biomol Sci, Sydney, NSW, Australia; [Berengut, Jonathan F.] UNSW Sydney, EMBL Australia Node Single Mol Sci, Sch Med Sci, Kensington, NSW, Australia</t>
  </si>
  <si>
    <t>University of New South Wales Sydney; University of New South Wales Sydney</t>
  </si>
  <si>
    <t>Cavicchioli, R (corresponding author), UNSW Sydney, Sch Biotechnol &amp; Biomol Sci, Sydney, NSW, Australia.</t>
  </si>
  <si>
    <t>Allen, Michelle/0000-0002-8852-1454; Williams, Timothy/0000-0002-2738-3019</t>
  </si>
  <si>
    <t>Australian Research Council [DP150100244]; Australian Antarctic Science program [4031]</t>
  </si>
  <si>
    <t>Australian Research Council(Australian Research Council); Australian Antarctic Science program</t>
  </si>
  <si>
    <t>This work was supported by the Australian Research Council (DP150100244) and the Australian Antarctic Science program (project 4031).</t>
  </si>
  <si>
    <t>OCT 11</t>
  </si>
  <si>
    <t>10.3389/fmicb.2021.741077</t>
  </si>
  <si>
    <t>WU6NS</t>
  </si>
  <si>
    <t>WOS:000716660700001</t>
  </si>
  <si>
    <t>Perez, M; Sun, J; Xu, QZ; Qian, PY</t>
  </si>
  <si>
    <t>Perez, Maeva; Sun, Jin; Xu, Qinzeng; Qian, Pei-Yuan</t>
  </si>
  <si>
    <t>Structure and Connectivity of Hydrothermal Vent Communities Along the Mid-Ocean Ridges in the West Indian Ocean: A Review</t>
  </si>
  <si>
    <t>conservation; ecology; chemosynthesis; gene-flow; mining; Indian Ocean ridge; biodiversity; knowledge gaps</t>
  </si>
  <si>
    <t>MID-ATLANTIC RIDGE; MUSSEL BATHYMODIOLUS-THERMOPHILUS; DEEP-SEA MUSSELS; TROPHIC RELATIONSHIPS; ISOTOPIC COMPOSITION; RIMICARIS-EXOCULATA; SPECIES RICHNESS; FUCA RIDGE; BIOGEOGRAPHY; DIVERSITY</t>
  </si>
  <si>
    <t>To date, 13 biologically active hydrothermal vent (HTV) fields have been described on the West Indian Ocean ridges. Knowledge of benthic communities of these vent ecosystems serves as scientific bases for assessing the resilience of these ecosystems under the global effort to strike an elegant balance between future deep-sea mining and biodiversity conservation. This review aims to summarize our up-to-date knowledge of the benthic community structure and connectivity of these Indian vents and to identify knowledge gaps and key research questions to be prioritized in order to assess the resilience of these communities. The HTVs in the West Indian Ocean are home to many unique invertebrate species such as the remarkable scaly-foot snail. While distinct in composition, the macrofaunal communities of the Indian HTVs share many characteristics with those of other HTVs, including high endemism, strong zonation at the local scale, and a simple food web structure. Furthermore, Indian vent benthic communities are mosaic compositions of Atlantic, Pacific, and Antarctic HTV fauna possibly owning to multiple waves of past colonization. Phylogeographic studies have shed new light into these migratory routes. Current animal connectivity across vent fields appears to be highly influenced by distance and topological barriers. However, contrasting differences in gene flow have been documented across species. Thus, a better understanding of the reproductive biology of the Indian vent animals and the structure of their population at the local scale is crucial for conservation purposes. In addition, increased effort should be given to characterizing the vents' missing diversity (at both the meio and micro-scale) and elucidating the functional ecology of these vents.</t>
  </si>
  <si>
    <t>[Perez, Maeva; Qian, Pei-Yuan] Hong Kong Univ Sci &amp; Technol, Dept Ocean Sci, Kowloon, Hong Kong, Peoples R China; [Perez, Maeva; Qian, Pei-Yuan] Hong Kong Univ Sci &amp; Technol, Hong Kong Branch, Southern Marine Sci &amp; Engn Guangdong Lab Guangzho, Kowloon, Hong Kong, Peoples R China; [Perez, Maeva; Qian, Pei-Yuan] Southern Marine Sci &amp; Engn Guangdong Lab, Guangzhou, Peoples R China; [Perez, Maeva] Univ Montreal, Dept Sci Biol, Montreal, PQ, Canada; [Sun, Jin] Ocean Univ China, Inst Evolut &amp; Marine Biodivers, Qingdao, Peoples R China; [Xu, Qinzeng] Minist Nat Resources, Inst Oceanog 1, MNR Key Lab Marine Ecoenvironm Sci &amp; Technol, Qingdao, Peoples R China</t>
  </si>
  <si>
    <t>Hong Kong University of Science &amp; Technology; Hong Kong University of Science &amp; Technology; Hong Kong Branch of the Southern Marine Science &amp; Engineering Guangdong Laboratory (Guangzhou); Southern Marine Science &amp; Engineering Guangdong Laboratory; Southern Marine Science &amp; Engineering Guangdong Laboratory (Guangzhou); Universite de Montreal; Ocean University of China; Ministry of Natural Resources of the People's Republic of China; First Institute of Oceanography, Ministry of Natural Resources</t>
  </si>
  <si>
    <t>Qian, PY (corresponding author), Hong Kong Univ Sci &amp; Technol, Dept Ocean Sci, Kowloon, Hong Kong, Peoples R China.;Qian, PY (corresponding author), Hong Kong Univ Sci &amp; Technol, Hong Kong Branch, Southern Marine Sci &amp; Engn Guangdong Lab Guangzho, Kowloon, Hong Kong, Peoples R China.;Qian, PY (corresponding author), Southern Marine Sci &amp; Engn Guangdong Lab, Guangzhou, Peoples R China.</t>
  </si>
  <si>
    <t>boqianpy@ust.hk</t>
  </si>
  <si>
    <t>PEREZ, Maeva/AGE-2061-2022</t>
  </si>
  <si>
    <t>PEREZ, Maeva/0000-0003-4532-8299</t>
  </si>
  <si>
    <t>China Ocean Mineral Resource Research and Development Association [DY135-E2-1-03]; Guangdong Major Project of Basic and Applied Basic Research [2019B030302004-04]; Southern Marine Science and Engineering Guangdong Laboratory (Guangzhou) [GML2019ZD0409]; Hong Kong Branch of South Marine Science and Engineering Guangdong Laboratory [SMSEGL20Sc01]; Quebec Centre for Biodiversity Science (QCBS); Fonds Quebecois de la Recherche sur la Nature et les Technologies (FRQNT) international internship grant</t>
  </si>
  <si>
    <t>China Ocean Mineral Resource Research and Development Association; Guangdong Major Project of Basic and Applied Basic Research; Southern Marine Science and Engineering Guangdong Laboratory (Guangzhou); Hong Kong Branch of South Marine Science and Engineering Guangdong Laboratory; Quebec Centre for Biodiversity Science (QCBS); Fonds Quebecois de la Recherche sur la Nature et les Technologies (FRQNT) international internship grant</t>
  </si>
  <si>
    <t>This study was supported by the China Ocean Mineral Resource Research and Development Association (DY135-E2-1-03), the Guangdong Major Project of Basic and Applied Basic Research (2019B030302004-04), the Southern Marine Science and Engineering Guangdong Laboratory (Guangzhou) (GML2019ZD0409), and the Hong Kong Branch of South Marine Science and Engineering Guangdong Laboratory (SMSEGL20Sc01). Additional support was provided to MP by the Quebec Centre for Biodiversity Science (QCBS) and the Fonds Quebecois de la Recherche sur la Nature et les Technologies (FRQNT) international internship grant.</t>
  </si>
  <si>
    <t>10.3389/fmars.2021.744874</t>
  </si>
  <si>
    <t>WU7GF</t>
  </si>
  <si>
    <t>WOS:000716709000001</t>
  </si>
  <si>
    <t>Novillo, M; Moreira, E; Macchi, G; Barrera-Oro, E</t>
  </si>
  <si>
    <t>Novillo, Manuel; Moreira, Eugenia; Macchi, Gustavo; Barrera-Oro, Esteban</t>
  </si>
  <si>
    <t>Histological analysis provides further insights into Harpagifer antarcticus reproductive biology at the western Antarctic Peninsula</t>
  </si>
  <si>
    <t>Gonadal Histology; Reproductive ecology; Spawning period; Paradise Bay</t>
  </si>
  <si>
    <t>SOUTH SHETLAND ISLANDS; PATAGONOTOTHEN-TESSELLATA RICHARDSON; BEAGLE CHANNEL; FISH; NOTOTHENIOIDEI; BISPINIS; PISCES; PLUNDERFISH; FECUNDITY; INSHORE</t>
  </si>
  <si>
    <t>Prior understanding of Harpagifer antarcticus reproductive biology was based exclusively on macroscopic observations of its gonadal maturation cycle. Our present study with H. antarcticus specimens collected in summer of 2019 at Paradise Bay (PB), Western Antarctic Peninsula (WAP), provides a) additional reproductive parameters, and b) for first time, a histological analysis of the gonads, clarifying understanding of the spawning period of the species in the area. In females the gonado-somatic index was 5.3-19.6%, leading clutch oocytes was 0.94-1.95 mm, and total fecundity ranged between 408 and 1723 oocytes/female (X +/- SD = 794 +/- 328, n = 22). The histology allowed the identification of gravid females with oocytes in late vitellogenesis with evidence of ongoing hydration processes and spent females with post-ovulatory follicles. The presence of spermatozoa in mature testes indicated that the males were in developing and ripe condition. Our reproductive data for H. antarcticus at PB, validated with histology, indicate that the species was in spawning during summer, in agreement with a previous report of a late spring-summer spawning for the species at the same site. Literature data indicate that at the South Orkney Islands, H. antarcticus spawns three months earlier (May-June), probably associated with differential environmental factors between this area and the WAP. Our findings support the hypothesis that the life cycle characteristics of H. antarcticus-e.g., low fecundity and short pelagic phase-promote the isolation of populations as reflected in differences in the reproductive timing.</t>
  </si>
  <si>
    <t>[Novillo, Manuel; Moreira, Eugenia; Macchi, Gustavo; Barrera-Oro, Esteban] Consejo Nacl Invest Cient &amp; Tecn, Consejo Nacl Invest Cient &amp; Tecn, C1425FQB, RA-2290 Godoy Cruz, Buenos Aires, Argentina; [Novillo, Manuel; Barrera-Oro, Esteban] Museo Argentino Ciencias Nat Bernardino Rivadavia, Angel Gallardo 470,CI405DJR, Buenos Aires, DF, Argentina; [Moreira, Eugenia] Inst Antartico Argentino, 25 Mayo 1143, San Martin, Buenos Aires, Argentina; [Moreira, Eugenia] UNCPBA, CONICET, Fac Agron, CICBA,INBIOTEC,Lab Biol Func &amp; Biotecnol BIOLAB, Av Republ Italia 780, RA-7300 Azul, Buenos Aires, Argentina; [Macchi, Gustavo] Inst Nacl Invest &amp; Desarrollo Pesquero INIDEP, Paseo Victoria Ocampo 1,CC 175, RA-7600 Mar Del Plata, Argentina; [Macchi, Gustavo] Inst Invest Marinas &amp; Costeras IIMyC, Rodriguez Pena 4002,B7602GSD, Mar Del Plata, Buenos Aires, Argentina</t>
  </si>
  <si>
    <t>Consejo Nacional de Investigaciones Cientificas y Tecnicas (CONICET); Museo Argentino de Ciencias Naturales Bernardino Rivadavia (MACN); Instituto Antartico Argentino; Consejo Nacional de Investigaciones Cientificas y Tecnicas (CONICET); National Fisheries Research &amp; Development Institute (INIDEP); Consejo Nacional de Investigaciones Cientificas y Tecnicas (CONICET)</t>
  </si>
  <si>
    <t>Novillo, M (corresponding author), Consejo Nacl Invest Cient &amp; Tecn, Consejo Nacl Invest Cient &amp; Tecn, C1425FQB, RA-2290 Godoy Cruz, Buenos Aires, Argentina.;Novillo, M (corresponding author), Museo Argentino Ciencias Nat Bernardino Rivadavia, Angel Gallardo 470,CI405DJR, Buenos Aires, DF, Argentina.</t>
  </si>
  <si>
    <t>jmanuelnovillo@gmail.com</t>
  </si>
  <si>
    <t>Macchi, Gustavo Javier/0000-0003-1821-5491; MOREIRA, EUGENIA/0000-0002-3704-1696</t>
  </si>
  <si>
    <t>Direccion Nacional del Antartico, Instituto Antartico Argentino [PICTA 0100]; Consejo Nacional de Investigaciones Cientificas y Tecnicas [11220170100219CO, 2018-8-APN-DIR]; Fondo para la Investigacion Cientifica y Tecnologica [PICT 2018: 03310, 401/19]</t>
  </si>
  <si>
    <t>Direccion Nacional del Antartico, Instituto Antartico Argentino; Consejo Nacional de Investigaciones Cientificas y Tecnicas(Consejo Nacional de Investigaciones Cientificas y Tecnicas (CONICET)); Fondo para la Investigacion Cientifica y Tecnologica</t>
  </si>
  <si>
    <t>This work was supported by grants from Direccion Nacional del Antartico, Instituto Antartico Argentino [Grant number PICTA 0100], Consejo Nacional de Investigaciones Cientificas y Tecnicas [Grant number PIP2017-2019: 11220170100219CO, Resolution 2018-8-APN-DIR#CONICET], and Fondo para la Investigacion Cientifica y Tecnologica [Grant number PICT 2018: 03310, Resolution 401/19].</t>
  </si>
  <si>
    <t>10.1007/s00300-021-02953-x</t>
  </si>
  <si>
    <t>WL4UK</t>
  </si>
  <si>
    <t>WOS:000706048700001</t>
  </si>
  <si>
    <t>Lohrer, AM; Norkko, AM; Thrush, SF; Cummings, VJ</t>
  </si>
  <si>
    <t>Lohrer, Andrew M.; Norkko, Alf M.; Thrush, Simon F.; Cummings, Vonda J.</t>
  </si>
  <si>
    <t>Climate cascades affect coastal Antarctic seafloor ecosystem functioning</t>
  </si>
  <si>
    <t>benthic oxygen consumption; epifauna; fluxes; land-fast sea ice; macro-infauna; nutrient regeneration; seafloor food supply; under-ice algae</t>
  </si>
  <si>
    <t>SOUTHERN ROSS SEA; BENTHIC COMMUNITIES; OCEAN ACIDIFICATION; MCMURDO SOUND; CAPE EVANS; ICE ALGAE; TOP-DOWN; PHYTOPLANKTON; BIOMASS; SEDIMENT</t>
  </si>
  <si>
    <t>Polar seafloor ecosystems are changing rapidly and dramatically, challenging previously held paradigms of extreme dynamical stability. Warming-related declines in polar sea ice are expected to alter fluxes of phytoplankton and under-ice algae to the seafloor. Yet, how changes in food flux cascade through to seafloor communities and functions remains unclear. We leveraged natural spatial and temporal gradients in summertime sea ice extent to better understand the trajectories and implications of climate-related change in McMurdo Sound, Antarctica. McMurdo Sound was expected to be one of the last coastal marine environments on Earth to be affected by planetary warming, but the situation may be changing. Comparing satellite observations of selected coastal sites in McMurdo Sound between 2010-2017 and 2002-2009 revealed more ice-free days per year, and shorter distances to open water during the warmest months each year, in the more recent period. Interdecadal Pacific Oscillation (IPO), Oceanic Nino Index (ONI) and Antarctic Oscillation (AAO) climate indices peaked concurrently between 2014 and 2017 when sea ice breakouts in McMurdo Sound were most spatially and temporally extensive. Increases in sediment chlorophyll a and phaeophytin content (indicating increased deposition of detrital algal food material) were recorded during 2014-2017 at three coastal study sites in McMurdo Sound following the major sea ice breakouts. Soft-sediment seafloor ecosystem metabolism (measured in benthic incubation chambers as dissolved oxygen and inorganic nutrient fluxes) was correlated with sediment algal pigment concentration. Epifaunal invertebrate density, particularly opportunistic sessile suspension feeders, and infaunal community composition also shifted with increased food supply. The ecological characteristics and functions measured at the food-poor sites shifted towards those observed at richer sites at a surprisingly fast pace. These results indicate the sensitivity of the benthos and shed light on Antarctic marine trophic cascades and trajectories of response of iconic high-latitude seafloor habitats to a warming climate.</t>
  </si>
  <si>
    <t>[Lohrer, Andrew M.] Natl Inst Water &amp; Atmospher Res, POB 11115, Hamilton, New Zealand; [Norkko, Alf M.] Univ Helsinki, Tvarminne Zool Stn, Hango, Finland; [Norkko, Alf M.] Stockholm Univ, Balt Sea Ctr, Stockholm, Sweden; [Thrush, Simon F.] Univ Auckland, Inst Marine Sci, Auckland, New Zealand; [Cummings, Vonda J.] Natl Inst Water &amp; Atmospher Res, Wellington, New Zealand</t>
  </si>
  <si>
    <t>National Institute of Water &amp; Atmospheric Research (NIWA) - New Zealand; University of Helsinki; Stockholm University; University of Auckland; National Institute of Water &amp; Atmospheric Research (NIWA) - New Zealand</t>
  </si>
  <si>
    <t>Lohrer, AM (corresponding author), Natl Inst Water &amp; Atmospher Res, POB 11115, Hamilton, New Zealand.</t>
  </si>
  <si>
    <t>drew.lohrer@niwa.co.nz</t>
  </si>
  <si>
    <t>Norkko, Alf/L-8736-2019; Norkko, Alf/A-1856-2012</t>
  </si>
  <si>
    <t>Norkko, Alf/0000-0002-9741-4458</t>
  </si>
  <si>
    <t>Royal Society of New Zealand [NIW1101]; New Zealand Antarctic Research Institute [NZARI 2016-2--9]; Ministry of Business, Innovation and Employment [ANTA1801]; Ministry of Primary Industries [ZBD2008-20]; NIWA; New Zealand Ministry of Business, Innovation &amp; Employment (MBIE) [ANTA1801] Funding Source: New Zealand Ministry of Business, Innovation &amp; Employment (MBIE)</t>
  </si>
  <si>
    <t>Royal Society of New Zealand(Royal Society of New Zealand); New Zealand Antarctic Research Institute; Ministry of Business, Innovation and Employment(New Zealand Ministry of Business, Innovation and Employment (MBIE)); Ministry of Primary Industries; NIWA; New Zealand Ministry of Business, Innovation &amp; Employment (MBIE)(New Zealand Ministry of Business, Innovation and Employment (MBIE))</t>
  </si>
  <si>
    <t>Royal Society of New Zealand, Grant/Award Number: NIW1101; New Zealand Antarctic Research Institute, Grant/Award Number: NZARI 2016-2--9; Ministry of Business, Innovation and Employment, Grant/Award Number: ANTA1801; Ministry of Primary Industries, Grant/Award Number: ZBD2008-20; NIWA</t>
  </si>
  <si>
    <t>10.1111/gcb.15907</t>
  </si>
  <si>
    <t>WP8DI</t>
  </si>
  <si>
    <t>WOS:000705858500001</t>
  </si>
  <si>
    <t>Fernandes, M; Oliva, M; Vieira, G; Palacios, D; Fernández-Fernández, JM; Garcia-oteyza, J; Schimmelpfennig, I; Team, A; Antoniades, D</t>
  </si>
  <si>
    <t>Fernandes, M.; Oliva, M.; Vieira, G.; Palacios, D.; Fernandez-Fernandez, J. M.; Garcia-oteyza, J.; Schimmelpfennig, I.; Team, Aster; Antoniades, D.</t>
  </si>
  <si>
    <t>Glacial oscillations during the Bolling-Allerod Interstadial-Younger Dryas transition in the Ruda Valley, Central Pyrenees</t>
  </si>
  <si>
    <t>Bolling-Allerod; Central Pyrenees; cosmic-ray exposure dating; deglaciation; Younger Dryas</t>
  </si>
  <si>
    <t>LAST DEGLACIATION; LATE PLEISTOCENE; ENVIRONMENTAL EVOLUTION; MOUNTAIN GLACIERS; IBERIAN PENINSULA; CLIMATIC CHANGES; HALF-LIFE; BE-10; ICE; CHRONOLOGY</t>
  </si>
  <si>
    <t>The Upper Garonne Basin included the largest glacial system in the Pyrenees during the last glacial cycle. Within the long-term glacial retreat during Termination-1 (T-1), glacier fluctuations left geomorphic evidence in the area. However, the chronology of T-1 glacial oscillations on the northern slopes of the Central Pyrenees is still poorly constrained. Here, we introduce new geomorphological observations and a 12-sample dataset of Be-10 cosmic-ray exposure ages from the Ruda Valley. This U-shaped valley, surrounded by peaks exceeding 2800 m a.s.l., includes a sequence of moraines and polished surfaces that enabled a reconstruction of the chronology of the last deglaciation. Following the maximum ice extent, warmer conditions prevailing at similar to 15-14 ka, during the Bolling-Allerod (B-A) Interstadial, favoured glacial retreat in the Ruda Valley. Within the B-A, glaciers experienced two phases of advance/stillstand with moraine formation at 13.5 and 13.0 ka. During the early Younger Dryas (YD), glacial retreat exposed the highest surfaces of the Saboredo Cirque (similar to 2300-2350 m) at 12.7 ka. Small glaciers persisted only inside the highest cirques (similar to 2470 m), such as in Sendrosa Cirque, with moraines stabilising at 12.6 ka. The results of this work present the most complete chronology for Pyrenean glacial oscillations from the B-A to the YD.</t>
  </si>
  <si>
    <t>[Fernandes, M.; Vieira, G.; Fernandez-Fernandez, J. M.] Univ Lisbon, IGOT, Ctr Geog Studies, Lisbon, Portugal; [Oliva, M.; Garcia-oteyza, J.] Univ Barcelona, Dept Geog, Catalonia, Spain; [Palacios, D.] Univ Complutense Madrid, Dept Geog, Madrid, Spain; [Schimmelpfennig, I.; Team, Aster] Aix Marseille Univ, CNRS, IRD, INRAE,Coll France,UM 34 CEREGE, Aix En Provence, France; [Team, Aster] Karim Keddadouche, Consortium Georges Aumaitre, Aix En Provence, France; [Antoniades, D.] Univ Laval, Dept Geog, Quebec City, PQ, Canada; [Antoniades, D.] Univ Laval, Ctr Northern Studies, Quebec City, PQ, Canada</t>
  </si>
  <si>
    <t>Universidade de Lisboa; University of Barcelona; Complutense University of Madrid; Institut de Recherche pour le Developpement (IRD); Universite PSL; College de France; Centre National de la Recherche Scientifique (CNRS); INRAE; Aix-Marseille Universite; Laval University; Laval University</t>
  </si>
  <si>
    <t>Fernandes, M (corresponding author), Univ Lisbon, IGOT, Ctr Geog Studies, Lisbon, Portugal.</t>
  </si>
  <si>
    <t>marcelo.fernandes@live.com</t>
  </si>
  <si>
    <t>Fernández-Fernández, Jose M./H-5801-2017; PALACIOS, DAVID/H-3737-2015; Vieira, Goncalo/G-5958-2010; Oliva, Marc/K-5423-2014</t>
  </si>
  <si>
    <t>Vieira, Goncalo/0000-0001-7611-3464; Oliva, Marc/0000-0001-6521-6388; Fernandes, Marcelo/0000-0001-6840-4317; Schimmelpfennig, Irene/0000-0001-8145-9160; Antoniades, Dermot/0000-0001-6629-4839; Garcia-Oteyza Ciria, Julia Nieves/0000-0002-0187-2922</t>
  </si>
  <si>
    <t>Research Group ANTALP (Antarctic, Arctic, Alpine Environments) [2017-SGR-1102]; Government of Catalonia; Centro de Estudos Geograficos/IGOT - University of Lisbon (FCT I.P.) [UIDB/00295/2020, UIDP/00295/2020]; Spanish Ministry of Economy and Competitiveness [CTM2017-87976-P]; Fundacao para a Ciencia e Tecnologia of Portugal [02/SAICT/2017 - 32002, SFRH/139568/2018]; Ramon y Cajal Program [RYC-2015-17597]; NUNANTAR project; INSU/CNRS; ANR</t>
  </si>
  <si>
    <t>Research Group ANTALP (Antarctic, Arctic, Alpine Environments); Government of Catalonia(Generalitat de Catalunya); Centro de Estudos Geograficos/IGOT - University of Lisbon (FCT I.P.); Spanish Ministry of Economy and Competitiveness(Spanish Government); Fundacao para a Ciencia e Tecnologia of Portugal(Fundacao para a Ciencia e a Tecnologia (FCT)); Ramon y Cajal Program(Spanish Government); NUNANTAR project; INSU/CNRS(Centre National de la Recherche Scientifique (CNRS)); ANR(Agence Nationale de la Recherche (ANR))</t>
  </si>
  <si>
    <t>This work was funded by the Research Group ANTALP (Antarctic, Arctic, Alpine Environments; 2017-SGR-1102), the Government of Catalonia and the Centro de Estudos Geograficos/IGOT - University of Lisbon (FCT I.P. UIDB/00295/2020 and UIDP/00295/2020). The research topics complement those of the project PALEOGREEN (CTM2017-87976-P) funded by the Spanish Ministry of Economy and Competitiveness and the project NUNANTAR funded by the FundacAo para a Ciencia e Tecnologia of Portugal (02/SAICT/2017 - 32002). Marcelo Fernandes holds a PhD fellowship of the FundacAo para a Ciencia e Tecnologia of Portugal (SFRH/139568/2018); Marc Oliva is supported by the Ramon y Cajal Program (RYC-2015-17597) and Jose M. Fernandez-Fernandez is supported by a postdoctoral grant within the NUNANTAR project. 10Be measurements were performed at the ASTER AMS national facility (CEREGE, Aix-en-Provence), which is supported by the INSU/CNRS and the ANR through the 'Projets thematiques d'excellence' program for the 'Equipements d'excellence' ASTER-CEREGE action and IRD. This research is also framed within the College on Polar and Extreme Environments (Polar2E) of the University of Lisbon. We also thank the National Park of Aiguestortes and Sant Maurici Lake for providing field access to the study sites and the reviewers for their constructive comments that helped to improve the quality of an earlier version of the manuscript.</t>
  </si>
  <si>
    <t>10.1002/jqs.3379</t>
  </si>
  <si>
    <t>XZ4LJ</t>
  </si>
  <si>
    <t>WOS:000705489600001</t>
  </si>
  <si>
    <t>Nascimento, RA; Santos, TP; Venancio, IM; Chiessi, CM; Ballalai, JM; Kuhnert, H; Govin, A; Portilho-Ramos, RC; Lessa, D; Dias, BB; Pinho, TML; Crivellari, S; Mulitza, S; Albuquerque, ALS</t>
  </si>
  <si>
    <t>Nascimento, R. A.; Santos, T. P.; Venancio, I. M.; Chiessi, C. M.; Ballalai, J. M.; Kuhnert, H.; Govin, A.; Portilho-Ramos, R. C.; Lessa, D.; Dias, B. B.; Pinho, T. M. L.; Crivellari, S.; Mulitza, S.; Albuquerque, A. L. S.</t>
  </si>
  <si>
    <t>Origin of δ13C minimum events in thermocline and intermediate waters of the western South Atlantic</t>
  </si>
  <si>
    <t>Stable carbon isotopes; delta C-13 minimum Events; Glacial terminations; Western south Atlantic</t>
  </si>
  <si>
    <t>CARBON-ISOTOPE COMPOSITION; PLANKTONIC-FORAMINIFERA; ATMOSPHERIC CO2; TROPICAL ATLANTIC; OVERTURNING CIRCULATION; DEGLACIAL RISE; OCEANIC CARBON; SEA-ICE; LAST; EXCHANGE</t>
  </si>
  <si>
    <t>Stable carbon isotopic (delta C-13) minimum events have been widely described in marine archives recording the properties of thermocline and intermediate waters during glacial terminations. However, the mechanisms associated with these events remain ambiguous. Here we present three high temporal resolution deep-dwelling planktonic foraminifera delta C-13 records from the main thermocline and one benthic delta C-13 record from the modern core of Antarctic Intermediate Water (AAIW). Our sediment cores are distributed along the western South Atlantic from the equator to the subtropics, with the longest record spanning the last similar to 300 kyr. The results show that delta C-13 minimum events were pervasive features of the last three glacial terminations and Marine Isotope Stage 4/3 transition in the western South Atlantic. Two distinct mechanisms were responsible for the delta C-13 minima at the thermocline and intermediate depths of the Atlantic, respectively. We suggest that the delta C-13 minimum events at the thermocline were mostly driven by the thermodynamic ocean-atmosphere isotopic equilibration, which is supported by calculated delta C-13 of dissolved inorganic carbon in the subtropical western South Atlantic as well as by previously published model simulations. On the other hand, intermediate depths delta C-13 minimum events in the tropics were likely caused by the slowdown of the Atlantic meridional overturning circulation and the associated accumulation of isotopically light carbon at mid and intermediate depths of the Atlantic Ocean. (C) 2021 Elsevier Ltd. All rights reserved.</t>
  </si>
  <si>
    <t>[Nascimento, R. A.; Santos, T. P.; Venancio, I. M.; Ballalai, J. M.; Lessa, D.; Dias, B. B.; Albuquerque, A. L. S.] Univ Fed Fluminense, Programa Geociencias Geoquim, Niteroi, RJ, Brazil; [Venancio, I. M.] Natl Inst Space Res INPE, Ctr Weather Forecasting &amp; Climate Studies CPTEC, Cachoeira Paulista, Brazil; [Chiessi, C. M.; Dias, B. B.; Crivellari, S.] Univ Sao Paulo, Sch Arts Sci &amp; Humanities, Sao Paulo, Brazil; [Kuhnert, H.; Portilho-Ramos, R. C.; Mulitza, S.] Univ Bremen, MARUM Ctr Marine Environm Sci, Bremen, Germany; [Govin, A.] Univ Paris Saclay, Lab Sci Climat &amp; Environm, Inst Pierre Simon Laplace, CEA CNRS UVSQ, Gif Sur Yvette, France; [Pinho, T. M. L.] Univ Sao Paulo, Inst Geosci, Sao Paulo, Brazil</t>
  </si>
  <si>
    <t>Universidade Federal Fluminense; Instituto Nacional de Pesquisas Espaciais (INPE); Universidade de Sao Paulo; University of Bremen; Universite Paris Cite; CEA; Centre National de la Recherche Scientifique (CNRS); Universite Paris Saclay; Universidade de Sao Paulo</t>
  </si>
  <si>
    <t>Nascimento, RA (corresponding author), Univ Fed Fluminense, Programa Geociencias Geoquim, Niteroi, RJ, Brazil.</t>
  </si>
  <si>
    <t>rodrigoan@id.uff.br</t>
  </si>
  <si>
    <t>Dias, Bruna Borba/AAV-4379-2020; Fapesp, Biota/F-8655-2017; Albuquerque, Ana Luiza S/C-5167-2013; Chiessi, Cristiano Mazur/E-1916-2012; Venancio, Igor M/I-5893-2014; Mulitza, Stefan/G-5357-2011; Pinho, Tainã Marcos Lima/AAN-6616-2021; Chiessi, Cristiano Mazur/JAZ-0806-2023; NASCIMENTO, RODRIGO/GLV-6705-2022; Govin, Aline/E-6354-2013</t>
  </si>
  <si>
    <t>Dias, Bruna Borba/0000-0001-5518-2807; Fapesp, Biota/0000-0002-9887-8449; Chiessi, Cristiano Mazur/0000-0003-3318-8022; Venancio, Igor M/0000-0003-3118-4247; Pinho, Tainã Marcos Lima/0000-0001-6371-4498; Chiessi, Cristiano Mazur/0000-0003-3318-8022; Kuhnert, Henning/0000-0001-5242-4495; Nascimento, Rodrigo Azevedo/0000-0002-3077-7131; Ballalai, Joao Marcelo/0000-0002-8896-6816; Govin, Aline/0000-0001-8512-5571; Santos, Thiago/0000-0002-9273-3329</t>
  </si>
  <si>
    <t>CAPES-ASpECTO project [88887.091731/2014-01]; CNPq-Aspecto [429767/2018-8]; CAPES-PRINT CLIMATE Project [88887.310301/2018-00]; CNPq [406322/2018-0, 302607/2016-1, 312458/2020-7, 302521/2017-8]; CAPES [88887.176103/2018-00, 88887.156152/2017-00, 564/2015, 88881.313535/2019-01]; FAPESP [2018/15123-4, 2019/24349-9, 2020/11452-3, 2019/10642-6]; Alexander von Humboldt Foundation; European Union [818123]; Coordenacao de Aperfeicoamento de Pessoal de Nivel Superior e Brasil (CAPES) [001]</t>
  </si>
  <si>
    <t>CAPES-ASpECTO project; CNPq-Aspecto; CAPES-PRINT CLIMATE Project; CNPq(Conselho Nacional de Desenvolvimento Cientifico e Tecnologico (CNPQ)); CAPES(Coordenacao de Aperfeicoamento de Pessoal de Nivel Superior (CAPES)); FAPESP(Fundacao de Amparo a Pesquisa do Estado de Sao Paulo (FAPESP)); Alexander von Humboldt Foundation(Alexander von Humboldt Foundation); European Union(European Union (EU)); Coordenacao de Aperfeicoamento de Pessoal de Nivel Superior e Brasil (CAPES)(Coordenacao de Aperfeicoamento de Pessoal de Nivel Superior (CAPES))</t>
  </si>
  <si>
    <t>We thank the two anonymous reviewers for their comments and suggestions that improved the manuscript. We also thank Petrobras for providing the sediment core used in this study. This study was supported by the CAPES-ASpECTO project (grant 88887.091731/2014-01) CNPq-Aspecto (grant 429767/2018-8), CAPES-PRINT CLIMATE Project (grant 88887.310301/2018-00) and CNPq Project RAiN (grant 406322/2018-0). R.A.N. acknowledges the scholarship from CAPES (grant 88887.176103/2018-00). CAPES also financially supported I.M.V. with a scholarship (grant 88887.156152/2017-00). C.M.C. acknowledges the financial support from FAPESP (grants 2018/15123-4 and 2019/24349-9), CAPES (grants 564/2015 and 88881.313535/2019e01), CNPq (grants 302607/2016-1 and 312458/2020-7), and the Alexander von Humboldt Foundation. R.C.P.-R acknowledges the financial support from the European Union's Horizon 2020 iAtlantic project (grant 818123). B.B.D. appreciates financial support from FAPESP (2020/11452-3). T.M.L. Pinho acknowledges the financial support from FAPESP (grant 2019/10642-6). A.L.S.A. is a senior scholar CNPq (grant 302521/2017-8). We also acknowledge the partial support from the Coordenacao de Aperfeicoamento de Pessoal de Nivel Superior e Brasil (CAPES) - Finance Code 001. This is LSCE publication number 7732. All data presented in this manuscript is available at https://doi.org/10.1594/PANGAEA.936785.</t>
  </si>
  <si>
    <t>10.1016/j.quascirev.2021.107224</t>
  </si>
  <si>
    <t>WOS:000708698300012</t>
  </si>
  <si>
    <t>Guerrero, AI; Pinnock, A; Negrete, J; Rogers, TL</t>
  </si>
  <si>
    <t>Guerrero, A., I; Pinnock, A.; Negrete, J.; Rogers, T. L.</t>
  </si>
  <si>
    <t>Complementary use of stable isotopes and fatty acids for quantitative diet estimation of sympatric predators, the Antarctic pack-ice seals</t>
  </si>
  <si>
    <t>OECOLOGIA</t>
  </si>
  <si>
    <t>Biochemical tracer; Blubber; Marine mammal; Pinniped; Trophic marker</t>
  </si>
  <si>
    <t>KRILL EUPHAUSIA-SUPERBA; LEOPARD SEALS; CRAB-EATER; ENVIRONMENTAL-CHANGE; SIGNATURE ANALYSIS; HYDRURGA-LEPTONYX; LIPID-COMPOSITION; TROPHIC MARKERS; WEDDELL SEALS; PRYDZ BAY</t>
  </si>
  <si>
    <t>The quantitative use of stable isotopes (SIs) for trophic studies has seen a rapid growth whereas fatty acid (FA) studies remain mostly qualitative. We apply the Bayesian tool MixSIAR to both SI and FA data to estimate the diet of three sympatric predators: the crabeater (Lobodon carcinophaga), Weddell (Leptonychotes weddellii) and leopard seal (Hydrurga leptonyx). We used SI data of their vibrissae and FA data of their outer blubber to produce comparable diet estimates for the same individuals. Both SI and FA models predicted the same main diet components, although the predicted proportions differed. For the crabeater seal, both methods identified krill, Euphausia superba, as the main, and almost exclusive, food item, although the FA model estimated a slightly lower proportion, potentially due to the low lipid content of krill compared to the fish species used in the model. For the Weddell seal the FA model identified the fish Pleuragramma antarcticum as the most important prey, whereas the SI model was not able to distinguish among prey species, identifying a 'fish-squid' group as the main diet component. For the leopard seal, both models identified krill as the main contributor; however, the predicted proportions for the secondary sources differed. Although vibrissae and outer blubber may not represent the same timeframe, the use of MixSIAR with FA data provides diet estimates comparable to those obtained with SI data, thus, both approaches were complimentary. The use of both biotracers offers a feasible option to study diets of wild animals in a quantitative manner.</t>
  </si>
  <si>
    <t>[Guerrero, A., I] Univ Valparaiso, Fac Ciencias, Ctr Invest &amp; Gest Recursos Nat CIGREN, Inst Biol, Gran Bretana 1111, Valparaiso, Chile; [Pinnock, A.; Rogers, T. L.] Univ New South Wales, Evolut &amp; Ecol Res Ctr, Sch Biol Earth &amp; Environm Sci, Sydney, NSW 2052, Australia; [Negrete, J.] Inst Antartico Argentino, C10140 AAZ, RA-1248 Buenos Aires, DF, Argentina; [Rogers, T. L.] Univ New South Wales, Ctr Marine Sci &amp; Innovat, Sch Biol Earth &amp; Environm Sci, Sydney, NSW 2052, Australia</t>
  </si>
  <si>
    <t>Universidad de Valparaiso; University of New South Wales Sydney; Instituto Antartico Argentino; University of New South Wales Sydney</t>
  </si>
  <si>
    <t>Guerrero, AI (corresponding author), Univ Valparaiso, Fac Ciencias, Ctr Invest &amp; Gest Recursos Nat CIGREN, Inst Biol, Gran Bretana 1111, Valparaiso, Chile.</t>
  </si>
  <si>
    <t>alicia.guerrero@uv.cl</t>
  </si>
  <si>
    <t>Negrete, Javier/0000-0001-6853-8307; Rogers, Tracey/0000-0002-7141-4177</t>
  </si>
  <si>
    <t>Scott Foundation; FONDECYT Postdoctorado [3180433]</t>
  </si>
  <si>
    <t>Scott Foundation; FONDECYT Postdoctorado(Comision Nacional de Investigacion Cientifica y Tecnologica (CONICYT)CONICYT FONDECYT)</t>
  </si>
  <si>
    <t>This study was funded by the Scott Foundation to TR, and FONDECYT Postdoctorado (3180433) to AG.</t>
  </si>
  <si>
    <t>0029-8549</t>
  </si>
  <si>
    <t>1432-1939</t>
  </si>
  <si>
    <t>Oecologia</t>
  </si>
  <si>
    <t>10.1007/s00442-021-05045-z</t>
  </si>
  <si>
    <t>WV9KD</t>
  </si>
  <si>
    <t>WOS:000705695500003</t>
  </si>
  <si>
    <t>März, C; Freitas, FS; Faust, JC; Godbold, JA; Henley, SF; Tessin, AC; Abbott, GD; Airs, R; Arndt, S; Barnes, DKA; Grange, LJ; Gray, ND; Head, IM; Hendry, KR; Hilton, RG; Reed, AJ; Rühl, S; Solan, M; Souster, TA; Stevenson, MA; Tait, K; Ward, J; Widdicombe, S</t>
  </si>
  <si>
    <t>Marz, Christian; Freitas, Felipe S.; Faust, Johan C.; Godbold, Jasmin A.; Henley, Sian F.; Tessin, Allyson C.; Abbott, Geoffrey D.; Airs, Ruth; Arndt, Sandra; Barnes, David K. A.; Grange, Laura J.; Gray, Neil D.; Head, Ian M.; Hendry, Katharine R.; Hilton, Robert G.; Reed, Adam J.; Ruhl, Saskia; Solan, Martin; Souster, Terri A.; Stevenson, Mark A.; Tait, Karen; Ward, James; Widdicombe, Stephen</t>
  </si>
  <si>
    <t>Biogeochemical consequences of a changing Arctic shelf seafloor ecosystem</t>
  </si>
  <si>
    <t>Arctic Ocean; Biogeochemistry; Carbon; Ecology; Nutrients; Trawling</t>
  </si>
  <si>
    <t>WESTERN BARENTS SEA; ORGANIC-MATTER; MARINE-SEDIMENTS; ATLANTIC INFLOWS; ICE LOSSES; CARBON; OCEAN; DISTURBANCE; INCREASES; IMPACTS</t>
  </si>
  <si>
    <t>Unprecedented and dramatic transformations are occurring in the Arctic in response to climate change, but academic, public, and political discourse has disproportionately focussed on the most visible and direct aspects of change, including sea ice melt, permafrost thaw, the fate of charismatic megafauna, and the expansion of fisheries. Such narratives disregard the importance of less visible and indirect processes and, in particular, miss the substantive contribution of the shelf seafloor in regulating nutrients and sequestering carbon. Here, we summarise the biogeochemical functioning of the Arctic shelf seafloor before considering how climate change and regional adjustments to human activities may alter its biogeochemical and ecological dynamics, including ecosystem function, carbon burial, or nutrient recycling. We highlight the importance of the Arctic benthic system in mitigating climatic and anthropogenic change and, with a focus on the Barents Sea, offer some observations and our perspectives on future management and policy.</t>
  </si>
  <si>
    <t>[Marz, Christian; Faust, Johan C.] Univ Leeds, Sch Earth &amp; Environm, Leeds LS2 9JT, W Yorkshire, England; [Freitas, Felipe S.; Hendry, Katharine R.; Ward, James] Univ Bristol, Sch Earth Sci, Wills Mem Bldg,Queens Rd, Bristol BS8 1QE, Avon, England; [Faust, Johan C.] Univ Bremen, Ctr Marine Environm Sci, MARUM, Leobener Str 8, D-28359 Bremen, Germany; [Godbold, Jasmin A.; Reed, Adam J.; Solan, Martin] Univ Southampton, Natl Oceanog Ctr Southampton, Ocean &amp; Earth Sci, Waterfront Campus,European Way, Southampton SO14 3ZH, Hants, England; [Henley, Sian F.] Univ Edinburgh, Sch Geosci, James Hutton Rd, Edinburgh EH9 3FE, Midlothian, Scotland; [Tessin, Allyson C.] Kent State Univ, Dept Geol, 221 McGilvrey Hall,325 S Lincoln St, Kent, OH 44242 USA; [Abbott, Geoffrey D.; Gray, Neil D.; Head, Ian M.; Stevenson, Mark A.] Newcastle Univ, Sch Nat &amp; Environm Sci, Newcastle Upon Tyne NE1 7RU, Tyne &amp; Wear, England; [Airs, Ruth; Ruhl, Saskia; Tait, Karen; Widdicombe, Stephen] Plymouth Marine Lab, Prospect Pl, Plymouth PL1 3DH, Devon, England; [Arndt, Sandra] Univ Libre Bruxelles, Dept Geosci Environm &amp; Soc, Av F Roosevelt 50,CP160-02, B-1050 Brussels, Belgium; [Barnes, David K. A.; Souster, Terri A.] British Antarctic Survey, UKRI, Maddingley Rd, Cambridge CB3 0ET, England; [Grange, Laura J.] Bangor Univ, Sch Ocean Sci, Bangor LL57 2DG, Gwynedd, Wales; [Hilton, Robert G.; Stevenson, Mark A.] Univ Durham, Dept Geog, South Rd, Durham DH1 3LE, England; [Ruhl, Saskia] Helmholtz Zentrum Hereon, Max Planck Str 1, D-21502 Geesthacht, Germany; [Souster, Terri A.] UIT, Dept Biosci Fisheries &amp; Econ, Tromso, Norway</t>
  </si>
  <si>
    <t>University of Leeds; University of Bristol; University of Bremen; NERC National Oceanography Centre; University of Southampton; University of Edinburgh; University System of Ohio; Kent State University; Kent State University Salem; Kent State University Kent; Newcastle University - UK; Plymouth Marine Laboratory; Universite Libre de Bruxelles; UK Research &amp; Innovation (UKRI); Natural Environment Research Council (NERC); NERC British Antarctic Survey; Bangor University; Durham University; Helmholtz Association; Helmholtz-Zentrum Hereon; Max Planck Society; UiT The Arctic University of Tromso</t>
  </si>
  <si>
    <t>März, C (corresponding author), Univ Leeds, Sch Earth &amp; Environm, Leeds LS2 9JT, W Yorkshire, England.</t>
  </si>
  <si>
    <t>c.maerz@leeds.ac.uk; felipe.salesdefreitas@bristol.ac.uk; jfaust@marum.de; j.a.godbold@soton.ac.uk; s.f.henley@ed.ac.uk; atessin@kent.edu; geoff.abbott@ncl.ac.uk; rairs@pml.ac.uk; sandra.arndt@ulb.be; dkab@bas.ac.uk; l.grange@bangor.ac.uk; neil.gray@ncl.ac.uk; ian.head@ncl.ac.uk; K.Hendry@bristol.ac.uk; r.g.hilton@durham.ac.uk; adam.reed@noc.soton.ac.uk; saskia.ruehl@hereon.de; m.solan@soton.ac.uk; terrisouster@gmail.com; mark.stevenson@durham.ac.uk; ktait@pml.ac.uk; JamesPJ.Ward@bristol.ac.uk; swi@pml.ac.uk</t>
  </si>
  <si>
    <t>Godbold, Jasmin/AAB-2522-2022; Souster, Terri/HJY-6034-2023; Arndt, Sandra/E-7639-2017; Hilton, Robert G/C-4890-2013; Hendry, Katharine/E-4793-2011</t>
  </si>
  <si>
    <t>Godbold, Jasmin/0000-0001-5558-8188; Souster, Terri/0000-0002-7585-1999; Tessin, Allyson/0000-0001-8657-8484; Stevenson, Mark/0000-0002-8955-0855; Abbott, Geoffrey/0000-0001-9803-8215; Ruhl, Saskia/0000-0002-4650-6045; Hendry, Katharine/0000-0002-0790-5895; , Christian/0000-0003-2558-4711; Sales de Freitas, Felipe/0000-0001-8279-5772</t>
  </si>
  <si>
    <t>`The Changing Arctic Ocean Seafloor (ChAOS)' Project - Natural Environment Research Council (NERC) in the UK [NE/N015894/1]; German Federal Ministry of Education and Research (BMBF); NERC [NE/P006426/1, NE/P00637X/1, NE/P006434/1, NE/P006493/1, bas0100036, NE/P006108/1, NE/P005942/1] Funding Source: UKRI</t>
  </si>
  <si>
    <t>`The Changing Arctic Ocean Seafloor (ChAOS)' Project - Natural Environment Research Council (NERC) in the UK; German Federal Ministry of Education and Research (BMBF)(Federal Ministry of Education &amp; Research (BMBF)); NERC(UK Research &amp; Innovation (UKRI)Natural Environment Research Council (NERC))</t>
  </si>
  <si>
    <t>We thank the crew and participants of cruises JR16006, JR17007, and JR18006, RRS James Clark Ross, administrative and technical personnel that conducted analyses, and National Marine Facilities, Southampton and the British Antarctic Survey, Cambridge for logistical support. We are grateful to members and facilitators of the Changing Arctic Ocean Programme and the Nansen LEGACY Project for sharing findings and experiences. Supported by `The Changing Arctic Ocean Seafloor (ChAOS)' Project (NE/N015894/1, 2017-2021), jointly funded by the Natural Environment Research Council (NERC) in the UK and the German Federal Ministry of Education and Research (BMBF). We also thank two anonymous reviewers and Guest Editor David Thomas for their comments which significantly improved the manuscript.</t>
  </si>
  <si>
    <t>10.1007/s13280-021-01638-3</t>
  </si>
  <si>
    <t>WOS:000705768900002</t>
  </si>
  <si>
    <t>Plum, C; Cornils, A; Driscoll, R; Wenta, P; Badewien, TH; Niggemann, J; Moorthi, S</t>
  </si>
  <si>
    <t>Plum, Christoph; Cornils, Astrid; Driscoll, Ryan; Wenta, Philipp; Badewien, Thomas H.; Niggemann, Jutta; Moorthi, Stefanie</t>
  </si>
  <si>
    <t>Mesozooplankton trait distribution in relation to environmental conditions and the presence of krill and salps along the northern Antarctic Peninsula</t>
  </si>
  <si>
    <t>JOURNAL OF PLANKTON RESEARCH</t>
  </si>
  <si>
    <t>zooplankton; size; stoichiometry; Southern Ocean; West Antarctic Peninsula</t>
  </si>
  <si>
    <t>AUSTRAL SUMMER 1993; N-P STOICHIOMETRY; SOUTHERN-OCEAN; EUPHAUSIA-SUPERBA; SIZE SPECTRA; ECOLOGICAL STOICHIOMETRY; CRUSTACEAN ZOOPLANKTON; DISTRIBUTION PATTERNS; COMMUNITY COMPOSITION; COPEPOD INTERACTIONS</t>
  </si>
  <si>
    <t>Zooplankton community structure is often characterized by using traits as a function of environmental conditions. However, trait-based knowledge on Southern Ocean mesozooplankton is limited, particularly regarding size and elemental composition. Nine stations around the northern Antarctic Peninsula were sampled during austral autumn to investigate the spatial variability in mesozooplankton taxonomic composition, size structure and stoichiometry in relation to environmental predictors, but also to the abundance of Antarctic krill and salps. The mesozooplankton communities around the South Shetland Islands were dominated by small copepods, mainly Oithonidae and Oncaeidae, while stations along the frontal zones and the Weddell Sea revealed a higher proportion of larger organisms. Spatial differences in taxonomic composition and size structure were significantly altered by salp abundance, with stronger impact on small-sized copepods. Furthermore, taxonomic composition was significantly related to temperature and total carbon but not chlorophyll a, indicating reduced relevance of phytoplankton derived food during autumn. Bulk mesozooplankton stoichiometry, however, showed no significant relation to environmental conditions, mesozooplankton size structure or dominant taxa. Our results indicate that aside from bottom-up related drivers, topdown effects of salps may lead to mesozooplankton communities that are more dominated by larger size classes with potential consequences for trophic interactions and nutrient fluxes.</t>
  </si>
  <si>
    <t>[Plum, Christoph; Wenta, Philipp; Badewien, Thomas H.; Moorthi, Stefanie] Carl von Ossietzky Univ Oldenburg, Inst Chem &amp; Biol Marine Environm ICBM, Plankton Ecol, Schleusenstr 1, D-26382 Wilhelmshaven, Germany; [Niggemann, Jutta] Carl von Ossietzky Univ Oldenburg, Inst Chem &amp; Biol Marine Environm ICBM, Marine Geochem, Carl von Ossietzky Str 9-11, D-26129 Oldenburg, Germany; [Cornils, Astrid; Driscoll, Ryan] Alfred Wegener Inst Helmholtz Ctr Polar &amp; Marine, Polar Biol Oceanog, Handelshafen 12, D-27570 Bremerhaven, Germany</t>
  </si>
  <si>
    <t>Carl von Ossietzky Universitat Oldenburg; Carl von Ossietzky Universitat Oldenburg; Helmholtz Association; Alfred Wegener Institute, Helmholtz Centre for Polar &amp; Marine Research</t>
  </si>
  <si>
    <t>Plum, C (corresponding author), Carl von Ossietzky Univ Oldenburg, Inst Chem &amp; Biol Marine Environm ICBM, Plankton Ecol, Schleusenstr 1, D-26382 Wilhelmshaven, Germany.</t>
  </si>
  <si>
    <t>c.plum@uni-oldenburg.de</t>
  </si>
  <si>
    <t>Cornils, Astrid/P-2943-2014</t>
  </si>
  <si>
    <t>Cornils, Astrid/0000-0003-4536-9015; Niggemann, Jutta/0000-0003-1237-9233; Wenta, Philipp/0000-0003-1379-3911</t>
  </si>
  <si>
    <t>Ministry for Science and Culture of Lower Saxony (MWK)</t>
  </si>
  <si>
    <t>This work was supported by the Ministry for Science and Culture of Lower Saxony (MWK). The study is embedded in the POSER (Population Shift and Ecosystem Response-Krill vs. Salps) project, a process orientated study that aims to investigate the potential consequences of a regime shift in the plankton community from krill to salps along the West Antarctic Peninsula.</t>
  </si>
  <si>
    <t>0142-7873</t>
  </si>
  <si>
    <t>1464-3774</t>
  </si>
  <si>
    <t>J PLANKTON RES</t>
  </si>
  <si>
    <t>J. Plankton Res.</t>
  </si>
  <si>
    <t>10.1093/plankt/fbab068</t>
  </si>
  <si>
    <t>XO1OH</t>
  </si>
  <si>
    <t>WOS:000729961900014</t>
  </si>
  <si>
    <t>Baeza, N; Delgado, L; Comas, J; Mercade, E</t>
  </si>
  <si>
    <t>Baeza, Nicolas; Delgado, Lidia; Comas, Jaume; Mercade, Elena</t>
  </si>
  <si>
    <t>Phage-Mediated Explosive Cell Lysis Induces the Formation of a Different Type of O-IMV in Shewanella vesiculosa M7T</t>
  </si>
  <si>
    <t>membrane vesicles; gram-negative bacteria; explosive cell lysis; OMV; O-IMV; DNA; flow cytometry; electron microscopy</t>
  </si>
  <si>
    <t>OUTER-MEMBRANE VESICLES; SPONTANEOUS PROPHAGE INDUCTION; GRAM-NEGATIVE BACTERIA; PSEUDOMONAS-AERUGINOSA; EXTRACELLULAR DNA; DEATH; BIOGENESIS; GENES; QUANTIFICATION; DISSEMINATION</t>
  </si>
  <si>
    <t>Shewanella vesiculosa M7(T) is a cold-adapted Antarctic bacterium that has a great capacity to secrete membrane vesicles (MVs), making it a potentially excellent model for studying the vesiculation process. S. vesiculosa M7(T) undergoes a blebbing mechanism to produce different types of MVs, including outer membrane vesicles and outer-inner membrane vesicles (O-IMVs). More recently, other mechanisms have been considered that could lead to the formation of O-IMVs derived from prophage-mediated explosive cell lysis in other bacteria, but it is not clear if they are of the same type. The bacterial growth phase could also have a great impact on the type of MVs, although there are few studies on the subject. In this study, we used high-resolution flow cytometry, transmission electron microscopy, and cryo-electron microscopy (Cryo-EM) analysis to determine the amount and types of MVs S. vesiculosa M7(T) secreted during different growth phases. We show that MV secretion increases during the transition from the late exponential to the stationary phase. Moreover, prophage-mediated explosive cell lysis is activated in S. vesiculosa M7(T), increasing the heterogeneity of both single- and double-layer MVs. The sequenced DNA fragments from the MVs covered the entire genome, confirming this explosive cell lysis mechanism. A different structure and biogenesis mechanisms for the explosive cell lysis-derived double-layered MVs was observed, and we propose to name them explosive O-IMVs, distinguishing them from the blebbing O-IMVs; their separation is a first step to elucidate their different functions. In our study, we used for the first time sorting by flow cytometry and Cryo-EM analyses to isolate bacterial MVs based on their nucleic acid content. Further improvements and implementation of bacterial MV separation techniques is essential to develop more in-depth knowledge of MVs.</t>
  </si>
  <si>
    <t>[Baeza, Nicolas; Mercade, Elena] Univ Barcelona, Dept Biol Sanitat &amp; Medi Ambient, Seccio Microbiol, Barcelona, Spain; [Delgado, Lidia] Univ Barcelona CCiTUB, Ctr Cient &amp; Tecnol, Crio Microscopia Elect, Barcelona, Spain; [Comas, Jaume] Univ Barcelona CCiTUB, Citometria, Ctr Cient &amp; Tecnol, Barcelona, Spain</t>
  </si>
  <si>
    <t>University of Barcelona; University of Barcelona; University of Barcelona</t>
  </si>
  <si>
    <t>Mercade, E (corresponding author), Univ Barcelona, Dept Biol Sanitat &amp; Medi Ambient, Seccio Microbiol, Barcelona, Spain.</t>
  </si>
  <si>
    <t>mmercade@ub.edu</t>
  </si>
  <si>
    <t>DELGADO, LIDIA/H-7939-2015; Mercade, Elena/L-5218-2014</t>
  </si>
  <si>
    <t>Mercade, Elena/0000-0001-7828-2210</t>
  </si>
  <si>
    <t>Ministerio de Economia y Competitividad, Spain [CTQ2014-59632-R]; Departament dInnovacio, Universitats i Empresa from the Autonomous Government of Catalonia</t>
  </si>
  <si>
    <t>Ministerio de Economia y Competitividad, Spain(Spanish Government); Departament dInnovacio, Universitats i Empresa from the Autonomous Government of Catalonia</t>
  </si>
  <si>
    <t>This work received funding from grant CTQ2014-59632-R to EM and scholarship BES-2015-074582 to NB, both from the Ministerio de Economia y Competitividad, Spain. Grant 2014SGR1017 was awarded by the Departament dInnovacio, Universitats i Empresa from the Autonomous Government of Catalonia. The funders had no role in the study design, data collection and analysis, decision to publish, or preparation of the manuscript.</t>
  </si>
  <si>
    <t>OCT 8</t>
  </si>
  <si>
    <t>10.3389/fmicb.2021.713669</t>
  </si>
  <si>
    <t>WM0PQ</t>
  </si>
  <si>
    <t>WOS:000710797600001</t>
  </si>
  <si>
    <t>Krucon, T; Dziewit, L; Drewniak, L</t>
  </si>
  <si>
    <t>Krucon, Tomasz; Dziewit, Lukasz; Drewniak, Lukasz</t>
  </si>
  <si>
    <t>Insight Into Ecology, Metabolic Potential, and the Taxonomic Composition of Bacterial Communities in the Periodic Water Pond on King George Island (Antarctica)</t>
  </si>
  <si>
    <t>King George Island; psychrotolerants; metabolic properties; Antarctica; bacterial diversity</t>
  </si>
  <si>
    <t>SOUTH SHETLAND; VICTORIA LAND; DIVERSITY; PHYTOPLANKTON; DEGRADATION; ECOSYSTEMS; PENINSULA; DATABASE; SYSTEMS; VALLEY</t>
  </si>
  <si>
    <t>Polar regions contain a wide variety of lentic ecosystems. These include periodic ponds that have a significant impact on carbon and nitrogen cycling in polar environments. This study was conducted to assess the taxonomic and metabolic diversity of bacteria found in Antarctic pond affected by penguins and sea elephants and to define their role in ongoing processes. Metabolic assays showed that of the 168 tested heterotrophic bacteria present in the Antarctic periodic pond, 96% are able to degrade lipids, 30% cellulose, 26% proteins, and 26% starch. The taxonomic classification of the obtained isolates differs from that based on the composition of the 16S rRNA relative abundances in the studied pond. The dominant Actinobacteria constituting 45% of isolates represents a low proportion of the community, around 4%. With the addition of run-off, the proportions of inhabiting bacteria changed, including a significant decrease in the abundance of Cyanobacteria, from 2.38 to 0.33%, increase of Firmicutes from 9.32 to 19.18%, and a decreasing richness (Chao1 index from 1299 to 889) and diversity (Shannon index from 4.73 to 4.20). Comparative studies of communities found in different Antarctic environments indicate a great role for penguins in shaping bacterial populations.</t>
  </si>
  <si>
    <t>[Krucon, Tomasz; Dziewit, Lukasz; Drewniak, Lukasz] Univ Warsaw, Inst Microbiol, Dept Environm Microbiol &amp; Biotechnol, Fac Biol, Warsaw, Poland</t>
  </si>
  <si>
    <t>University of Warsaw</t>
  </si>
  <si>
    <t>Drewniak, L (corresponding author), Univ Warsaw, Inst Microbiol, Dept Environm Microbiol &amp; Biotechnol, Fac Biol, Warsaw, Poland.</t>
  </si>
  <si>
    <t>ldrewniak@biol.uw.edu.pl</t>
  </si>
  <si>
    <t>Krucon, Tomasz/0000-0001-6366-5235</t>
  </si>
  <si>
    <t>National Science Centre (Poland) [2016/23/B/NZ9/02909]</t>
  </si>
  <si>
    <t>National Science Centre (Poland)(National Science Centre, Poland)</t>
  </si>
  <si>
    <t>Funding This research was funded by the National Science Centre (Poland), grant number 2016/23/B/NZ9/02909.</t>
  </si>
  <si>
    <t>10.3389/fmicb.2021.708607</t>
  </si>
  <si>
    <t>WM2UR</t>
  </si>
  <si>
    <t>WOS:000710946200001</t>
  </si>
  <si>
    <t>Longhini, LS; Zena, LA; Polymeropoulos, ET; Rocha, ACG; Leandro, GD; Prado, CPA; Bícego, KC; Gargaglioni, LH</t>
  </si>
  <si>
    <t>Longhini, Leonardo S.; Zena, Lucas A.; Polymeropoulos, Elias T.; Rocha, Aline C. G.; Leandro, Gabriela da Silva; Prado, Cynthia P. A.; Bicego, Kenia C.; Gargaglioni, Luciane H.</t>
  </si>
  <si>
    <t>Thermal Acclimation to the Highest Natural Ambient Temperature Compromises Physiological Performance in Tadpoles of a Stream-Breeding Savanna Tree Frog</t>
  </si>
  <si>
    <t>FRONTIERS IN PHYSIOLOGY</t>
  </si>
  <si>
    <t>aerobic scope; critical thermal maximum; heart rate; autonomic blockade; climate change; aclimatation; amphibian; oxygen consumption</t>
  </si>
  <si>
    <t>INTERMITTENT-FLOW RESPIROMETRY; HEART-RATE; CLIMATE-CHANGE; AEROBIC SCOPE; CARDIAC-PERFORMANCE; ANURAN AMPHIBIANS; SEASONAL-CHANGES; METABOLIC-RATE; TOLERANCE; PLASTICITY</t>
  </si>
  <si>
    <t>Amphibians may be more vulnerable to climate-driven habitat modification because of their complex life cycle dependence on land and water. Considering the current rate of global warming, it is critical to identify the vulnerability of a species by assessing its potential to acclimate to warming temperatures. In many species, thermal acclimation provides a reversible physiological adjustment in response to temperature changes, conferring resilience in a changing climate. Here, we investigate the effects of temperature acclimation on the physiological performance of tadpoles of a stream-breeding savanna tree frog (Bokermannohyla ibitiguara) in relation to the thermal conditions naturally experienced in their microhabitat (range: 18.8-24.6 degrees C). We quantified performance measures such as routine and maximum metabolic rate at different test (15, 20, 25, 30, and 34 degrees C) and acclimation temperatures (18 and 25 degrees C). We also measured heart rate before and after autonomic blockade with atropine and sotalol at the respective acclimation temperatures. Further, we determined the critical thermal maximum and warming tolerance (critical thermal maximum minus maximum microhabitat temperature), which were not affected by acclimation. Mass-specific routine and mass-specific maximum metabolic rate, as well as heart rate, increased with increasing test temperatures; however, acclimation elevated mass-specific routine metabolic rate while not affecting mass-specific maximum metabolic rate. Heart rate before and after the pharmacological blockade was also unaffected by acclimation. Aerobic scope in animals acclimated to 25 degrees C was substantially reduced, suggesting that physiological performance at the highest temperatures experienced in their natural habitat is compromised. In conclusion, the data suggest that the tadpoles of B. ibitiguara, living in a thermally stable environment, have a limited capacity to physiologically adjust to the highest temperatures found in their micro-habitat, making the species more vulnerable to future climate change.</t>
  </si>
  <si>
    <t>[Longhini, Leonardo S.; Rocha, Aline C. G.; Leandro, Gabriela da Silva; Prado, Cynthia P. A.; Bicego, Kenia C.; Gargaglioni, Luciane H.] Univ Estadual Paulista, Dept Morfol &amp; Fisiol Anim, Jaboticabal, Brazil; [Zena, Lucas A.] Univ Sao Paulo, Inst Biosci, Dept Physiol, Sao Paulo, Brazil; [Polymeropoulos, Elias T.] Univ Tasmania, Inst Marine &amp; Antarctic Studies, Hobart, Tas, Australia</t>
  </si>
  <si>
    <t>Universidade Estadual Paulista; Universidade de Sao Paulo; University of Tasmania</t>
  </si>
  <si>
    <t>Gargaglioni, LH (corresponding author), Univ Estadual Paulista, Dept Morfol &amp; Fisiol Anim, Jaboticabal, Brazil.;Zena, LA (corresponding author), Univ Sao Paulo, Inst Biosci, Dept Physiol, Sao Paulo, Brazil.</t>
  </si>
  <si>
    <t>lucas.zena@bioenv.gu.se; luciane.gargaglioni@unesp.br</t>
  </si>
  <si>
    <t>Prado, Cynthia PA/H-3599-2012; Zena, Lucas A/ABB-0223-2022; Bicego, Kenia/G-6184-2012</t>
  </si>
  <si>
    <t>Zena, Lucas A/0000-0002-4422-4458; Bicego, Kenia/0000-0002-1180-1132</t>
  </si>
  <si>
    <t>Sao Paulo Research Foundation [FAPESP 2019/09469-8]</t>
  </si>
  <si>
    <t>Sao Paulo Research Foundation(Fundacao de Amparo a Pesquisa do Estado de Sao Paulo (FAPESP))</t>
  </si>
  <si>
    <t>Funding This work received financial support from the Sao Paulo Research Foundation (FAPESP; 2019/09469-8) and Conselho Nacional de Desenvolvimento Cientifico e Tecnologico (CNPq 407490/2018-3). In addition, LSL has received a fellowship from FAPESP (2018/01899-0).</t>
  </si>
  <si>
    <t>1664-042X</t>
  </si>
  <si>
    <t>FRONT PHYSIOL</t>
  </si>
  <si>
    <t>Front. Physiol.</t>
  </si>
  <si>
    <t>10.3389/fphys.2021.726440</t>
  </si>
  <si>
    <t>Physiology</t>
  </si>
  <si>
    <t>WL5JV</t>
  </si>
  <si>
    <t>WOS:000710442200001</t>
  </si>
  <si>
    <t>Chowdhury, S; Sasmal, S; Brundell, J; Chakraborty, S; Bhattacharjee, A; Chakrabarti, SK</t>
  </si>
  <si>
    <t>Chowdhury, Swati; Sasmal, Sudipta; Brundell, James; Chakraborty, Suman; Bhattacharjee, Ayan; Chakrabarti, Sandip K.</t>
  </si>
  <si>
    <t>Energetic electron precipitation during lightning activities over Indian landmass as observed from WWLLN and NOAA-15 satellite</t>
  </si>
  <si>
    <t>ADVANCES IN SPACE RESEARCH</t>
  </si>
  <si>
    <t>Lightning; Van Allen Radiation Belt; NOAA-15 satellite; World Wide Lightning Location Network (WWLLN); High energy particle precepitation</t>
  </si>
  <si>
    <t>INNER RADIATION BELT; LOCATION ACCURACY; NETWORK</t>
  </si>
  <si>
    <t>Lightning is a sudden release of electrostatic energy that plays a significant role in the ionospheric-magnetospheric coupling process. A short-term increase in the particle count rates (CR) in the Van Allen Radiation Belt (VAB) is known as the particle bursts. Due to lightning events, the increase in the number of high-energy particles in the inner region of the VAB (L &lt; 2) is a fascinating research to implement. This paper tries to determine the number of lightning-induced particles, which can successfully establish a connection between the two regions of the atmosphere (the ionosphere and the magnetosphere). Lightning-generated electromagnetic radiation propagates through the Earth Ionosphere Waveguide (EIWG), where some energy leaks through and scatters particles in the radiation belt. By lowering the pitch angle, some particles precipitate into the ionosphere and cause secondary ionization. This excess particle count caused by lightning strokes is detected using data from the NOAA-15 satellite and data from the World Wide Lightning Location Network (WWLLN) is used to verify the relationship between lightning stroke and particle count. In this paper, we process our work by using lightning locations over a specific region of India and the geographic/geomagnetic conjugate locations. The monthly variation shows a high correlation between the lightning stroke number and the particle counts within the conjugate geomagnetic location, while the correlation with the particle counts within the conjugate geographic location is significantly lower. In the second half of the paper, we use an automated energy filtration method, for the computation of the particle counts induced by maximum energetic lightning (having lightning energy value &gt;10(4) J and the particle counts induced by minimum energetic lightning (having lightning energy value &lt;10(4) J). The results of this analysis demonstrate that the variation of PCs in the conjugate geomagnetic location is more closely related to the maximum energetic lightning variation than the lowest energetic lighting variation. This paper will demonstrate the coupling process between the ionosphere and the magnetosphere based on counting the particles produced by lightning. (C) 2021 COSPAR. Published by Elsevier B.V. All rights reserved.</t>
  </si>
  <si>
    <t>[Chowdhury, Swati; Sasmal, Sudipta; Chakrabarti, Sandip K.] Indian Ctr Space Phys, 43 Chalantika,Garia St Rd, Kolkata 700084, India; [Brundell, James] Univ Otago, Dept Phys, Dunedin, New Zealand; [Brundell, James] 2 British Antarctic Survey NERC, Cambridge, England; [Chakraborty, Suman] Phys Res Lab, Ahmadabad 380009, Gujarat, India; [Bhattacharjee, Ayan] SN Bose Natl Ctr Basic Sci, Kolkata, India</t>
  </si>
  <si>
    <t>University of Otago; Department of Space (DoS), Government of India; Physical Research Laboratory - India; Department of Science &amp; Technology (India); SN Bose National Centre for Basic Science (SNBNCBS)</t>
  </si>
  <si>
    <t>Chowdhury, S (corresponding author), Indian Ctr Space Phys, 43 Chalantika,Garia St Rd, Kolkata 700084, India.</t>
  </si>
  <si>
    <t>chowdhuryswati3@gmail.com</t>
  </si>
  <si>
    <t>Sasmal, Sudipta/ABH-2752-2021; Brundell, James/F-3196-2013; Chakraborty, Suman/GOV-5149-2022; Bhattacharjee, Ayan/JEF-5991-2023</t>
  </si>
  <si>
    <t>Bhattacharjee, Ayan/0000-0002-2878-4025; Chakraborty, Suman/0000-0003-3432-1163</t>
  </si>
  <si>
    <t>DST-INSPIRE, Govt. of West Bengal [2017/IF170619]; DST/SERB [EMR/2016/003889]; Post Doctoral Fellowship programme of PRL</t>
  </si>
  <si>
    <t>DST-INSPIRE, Govt. of West Bengal; DST/SERB(Department of Science &amp; Technology (India)Science Engineering Research Board (SERB), India); Post Doctoral Fellowship programme of PRL</t>
  </si>
  <si>
    <t>The authors are highly grateful to Prof. Robert H. Holzworth and the WWLLN team for incorporating us into the WWLLN network. The authors also thank DST-INSPIRE (DST/INSPIRE Fellowship/2017/IF170619), Govt. of West Bengal, DST/SERB(EMR/2016/003889), and Post Doctoral Fellowship programme of PRL for financial supports. The author also thanks NOAA for providing the database.</t>
  </si>
  <si>
    <t>0273-1177</t>
  </si>
  <si>
    <t>1879-1948</t>
  </si>
  <si>
    <t>ADV SPACE RES</t>
  </si>
  <si>
    <t>Adv. Space Res.</t>
  </si>
  <si>
    <t>10.1016/j.asr.2021.08.008</t>
  </si>
  <si>
    <t>Engineering, Aerospace; Astronomy &amp; Astrophysics; Geosciences, Multidisciplinary; Meteorology &amp; Atmospheric Sciences</t>
  </si>
  <si>
    <t>Engineering; Astronomy &amp; Astrophysics; Geology; Meteorology &amp; Atmospheric Sciences</t>
  </si>
  <si>
    <t>WG0BV</t>
  </si>
  <si>
    <t>WOS:000706665000001</t>
  </si>
  <si>
    <t>Stober, G; Kozlovsky, A; Liu, A; Qiao, ZS; Tsutsumi, M; Hall, C; Nozawa, S; Lester, M; Belova, E; Kero, J; Espy, PJ; Hibbins, RE; Mitchell, N</t>
  </si>
  <si>
    <t>Stober, Gunter; Kozlovsky, Alexander; Liu, Alan; Qiao, Zishun; Tsutsumi, Masaki; Hall, Chris; Nozawa, Satonori; Lester, Mark; Belova, Evgenia; Kero, Johan; Espy, Patrick J.; Hibbins, Robert E.; Mitchell, Nicholas</t>
  </si>
  <si>
    <t>Atmospheric tomography using the Nordic Meteor Radar Cluster and Chilean Observation Network De Meteor Radars: network details and 3D-Var retrieval</t>
  </si>
  <si>
    <t>ATMOSPHERIC MEASUREMENT TECHNIQUES</t>
  </si>
  <si>
    <t>WAVE MOMENTUM FLUXES; GRAVITY-WAVE; TEMPERATURE PROFILES; MESOPAUSE REGION; VERTICAL WINDS; NA LIDAR; VARIABILITY; RESOLUTION; MESOSPHERE</t>
  </si>
  <si>
    <t>Ground-based remote sensing of atmospheric parameters is often limited to single station observations by vertical profiles at a certain geographic location. This is a limiting factor for investigating gravity wave dynamics as the spatial information is often missing, e.g., horizontal wavelength, propagation direction or intrinsic frequency. In this study, we present a new retrieval algorithm for multistatic meteor radar networks to obtain tomographic 3-D wind fields within a pre-defined domain area. The algorithm is part of the Agile Software for Gravity wAve Regional Dynamics (ASGARD) and called 3D-Var, and based on the optimal estimation technique and Bayesian statistics. The performance of the 3D-Var retrieval is demonstrated using two meteor radar networks: the Nordic Meteor Radar Cluster and the Chilean Observation Network De Meteor Radars (CONDOR). The optimal estimation implementation provide statistically sound solutions and diagnostics from the averaging kernels and measurement response. We present initial scientific results such as body forces of breaking gravity waves leading to two counter-rotating vortices and horizontal wavelength spectra indicating a transition between the rotational k-3 and divergent k-5/3 mode at scales of 80-120 km. In addition, we performed a keogram analysis over extended periods to reflect the latitudinal and temporal impact of a minor sudden stratospheric warming in December 2019. Finally, we demonstrate the applicability of the 3D-Var algorithm to perform large-scale retrievals to derive meteorological wind maps covering a latitude region from Svalbard, north of the European Arctic mainland, to central Norway.</t>
  </si>
  <si>
    <t>[Stober, Gunter] Univ Bern, Inst Appl Phys, Bern, Switzerland; [Stober, Gunter] Univ Bern, Oeschger Ctr Climate Change Res, Microwave Phys, Bern, Switzerland; [Kozlovsky, Alexander] Univ Oulu, Sodankyla Geophys Observ, Oulu, Finland; [Liu, Alan; Qiao, Zishun] Embry Riddle Aeronaut Univ, Ctr Space &amp; Atmospher Res, Daytona Beach, FL USA; [Liu, Alan; Qiao, Zishun] Embry Riddle Aeronaut Univ, Dept Phys Sci, Daytona Beach, FL USA; [Tsutsumi, Masaki] Natl Inst Polar Res, Tachikawa, Tokyo, Japan; [Tsutsumi, Masaki] Grad Univ Adv Studies SOKENDAI, Tokyo, Japan; [Hall, Chris] Arctic Univ Norway, Tromso Geophys Observ UiT, Tromso, Norway; [Nozawa, Satonori] Nagoya Univ, Div Ionospher &amp; Magnetospher, Res Inst Space Earth Environm Res, Nagoya, Aichi, Japan; [Lester, Mark] Univ Leicester, Dept Phys &amp; Astron, Leicester, Leics, England; [Belova, Evgenia; Kero, Johan] Swedish Inst Space Phys IRF, Kiruna, Sweden; [Espy, Patrick J.; Hibbins, Robert E.] Norwegian Univ Sci &amp; Technol NTNU, Dept Phys, Trondheim, Norway; [Espy, Patrick J.; Hibbins, Robert E.] Birkeland Ctr Space Sci, Bergen, Norway; [Mitchell, Nicholas] British Antarctic Survey, Cambridge, England; [Mitchell, Nicholas] Univ Bath, Dept Elect &amp; Elect Engn, Bath, Avon, England</t>
  </si>
  <si>
    <t>University of Bern; University of Bern; University of Oulu; Embry-Riddle Aeronautical University; Embry-Riddle Aeronautical University; Research Organization of Information &amp; Systems (ROIS); National Institute of Polar Research (NIPR) - Japan; Graduate University for Advanced Studies - Japan; UiT The Arctic University of Tromso; Nagoya University; University of Leicester; Norwegian University of Science &amp; Technology (NTNU); UK Research &amp; Innovation (UKRI); Natural Environment Research Council (NERC); NERC British Antarctic Survey; University of Bath</t>
  </si>
  <si>
    <t>Stober, G (corresponding author), Univ Bern, Inst Appl Phys, Bern, Switzerland.;Stober, G (corresponding author), Univ Bern, Oeschger Ctr Climate Change Res, Microwave Phys, Bern, Switzerland.</t>
  </si>
  <si>
    <t>gunter.stober@iap.unibe.ch</t>
  </si>
  <si>
    <t>Lester, Mark/C-9657-2016</t>
  </si>
  <si>
    <t>Belova, Evgenia/0000-0002-6698-321X; Stober, Gunter/0000-0002-7909-6345; Liu, Alan/0000-0002-1834-7120; Kozlovsky, Alexander/0000-0003-1468-7600; Qiao, Zishun/0000-0001-6900-7313; Kero, Johan/0000-0002-2177-6751</t>
  </si>
  <si>
    <t>STFC [ST/S000429/1]; Schweizerische Nationalfonds zur Forderung der Wissenschaftlichen Forschung [200021_200517/1]; Research Council of Norway [269927]; Japan Society for the Promotion of Science (JSPS) [17H02968]; European Union's Seventh Framework Programme for Research and Technological Development; NERC [bas0100032] Funding Source: UKRI; STFC [ST/S000429/1] Funding Source: UKRI; Swiss National Science Foundation (SNF) [200021_200517] Funding Source: Swiss National Science Foundation (SNF)</t>
  </si>
  <si>
    <t>STFC(UK Research &amp; Innovation (UKRI)Science &amp; Technology Facilities Council (STFC)); Schweizerische Nationalfonds zur Forderung der Wissenschaftlichen Forschung(Austrian Science Fund (FWF)); Research Council of Norway(Research Council of Norway); Japan Society for the Promotion of Science (JSPS)(Ministry of Education, Culture, Sports, Science and Technology, Japan (MEXT)Japan Society for the Promotion of Science); European Union's Seventh Framework Programme for Research and Technological Development(European Union (EU)); NERC(UK Research &amp; Innovation (UKRI)Natural Environment Research Council (NERC)); STFC(UK Research &amp; Innovation (UKRI)Science &amp; Technology Facilities Council (STFC)); Swiss National Science Foundation (SNF)(Swiss National Science Foundation (SNSF))</t>
  </si>
  <si>
    <t>This research has been supported by the STFC (grant no. ST/S000429/1 to Mark Lester) and the Schweizerische Nationalfonds zur Forderung der Wissenschaftlichen Forschung (grant no. 200021_200517/1 to Gunter Stober). The Esrange meteor radar operation, maintenance and data collection were provided by the Esrange Space Center of the Swedish Space Corporation. The 3D-Var retrievals were developed as part of the ARISE design study (http://arise-project.eu/, last access: 8 October 2020) funded by the European Union's Seventh Framework Programme for Research and Technological Development. This work was supported by the Research Council of Norway under the project Svalbard Integrated Arctic Earth Observing System - Infrastructure development of the Norwegian node (SIOS-InfraNor, project no. 269927). This study is partly supported by Grants-in-Aid for Scientific Research (no. 17H02968) of the Japan Society for the Promotion of Science (JSPS).</t>
  </si>
  <si>
    <t>1867-1381</t>
  </si>
  <si>
    <t>1867-8548</t>
  </si>
  <si>
    <t>ATMOS MEAS TECH</t>
  </si>
  <si>
    <t>Atmos. Meas. Tech.</t>
  </si>
  <si>
    <t>10.5194/amt-14-6509-2021</t>
  </si>
  <si>
    <t>WF2QO</t>
  </si>
  <si>
    <t>gold, Green Published, Green Submitted, Green Accepted</t>
  </si>
  <si>
    <t>WOS:000706155600001</t>
  </si>
  <si>
    <t>McConnell, JR; Chellman, NJ; Mulvaney, R; Eckhardt, S; Stohl, A; Plunkett, G; Kipfstuhl, S; Freitag, J; Isaksson, E; Gleason, KE; Brugger, SO; McWethy, DB; Abram, NJ; Liu, PF; Aristarain, AJ</t>
  </si>
  <si>
    <t>McConnell, Joseph R.; Chellman, Nathan J.; Mulvaney, Robert; Eckhardt, Sabine; Stohl, Andreas; Plunkett, Gill; Kipfstuhl, Sepp; Freitag, Johannes; Isaksson, Elisabeth; Gleason, Kelly E.; Brugger, Sandra O.; McWethy, David B.; Abram, Nerilie J.; Liu, Pengfei; Aristarain, Alberto J.</t>
  </si>
  <si>
    <t>Hemispheric black carbon increase after the 13th-century Maori arrival in New Zealand</t>
  </si>
  <si>
    <t>PENINSULA ICE CORE; CLIMATE-CHANGE; VOLCANIC-ERUPTIONS; EAST ANTARCTICA; FIRE; EMISSIONS; MASS; DEFORESTATION; DEPOSITION; AEROSOLS</t>
  </si>
  <si>
    <t>New Zealand was amongthe last habitable places on earth to be colonized by humans'. Charcoal records indicate that wildfires were rare priorto colonization and widespread followingthe 13th- to 14th-century Maori settlement(2), but the precise timing and magnitude of associated biomass-burning emissions are unknown(1,3), as are effects on light-absorbing black carbon aerosol concentrations over the pristine Southern Ocean and Antarctica(4). Here we used an array of well-dated Antarctic ice-core records to show that while black carbon deposition rates were stable over continental Antarctica during the past two millennia, they were approximately threefold higher over the northern Antarctic Peninsula during the past 700 years. Aerosol modelling(5) demonstratesthat the observed deposition could result only from increased emissions poleward of 40 degrees S-implicating fires in Tasmania, New Zealand and Patagonia-but only New Zealand palaeofire records indicate coincident increases. Rapid deposition increases started in 1297 (+/- 30 s.d.) in the northern Antarctic Peninsula, consistent with the late 13th-century Maori settlement and NewZealand black carbon emissions of 36 (+/- 212 s.d.) Gg y(-1) duringpeak deposition in the 16th century. While charcoal and pollen records suggest earlier, climate-modulated burning in Tasmania and southern Patagonia(6,7), deposition in Antarctica shows that black carbon emissions from burning in New Zealand dwarfed other preindustrial emissions in these regions during the past 2,000 years, providing clear evidence of large-scale environmental effects associated with early human activities across the remote Southern Hemisphere.</t>
  </si>
  <si>
    <t>[McConnell, Joseph R.; Chellman, Nathan J.; Brugger, Sandra O.] Desert Res Inst, Div Hydrol Sci, Reno, NV 89506 USA; [Mulvaney, Robert] NERC, British Antarctic Survey, Cambridge, England; [Eckhardt, Sabine] Norwegian Inst Air Res, Dept Atmospher &amp; Climate Res, Kjeller, Norway; [Stohl, Andreas] Univ Vienna, Dept Meteorol &amp; Geophys, Vienna, Austria; [Plunkett, Gill] Queens Univ Belfast, Sch Nat &amp; Built Environm, Belfast, Antrim, North Ireland; [Kipfstuhl, Sepp; Freitag, Johannes] Helmholtz Zentrum Polar &amp; Meeresforsch, Alfred Wegener Inst, Bremerhaven, Germany; [Isaksson, Elisabeth] Norwegian Polar Res Inst, Fram Ctr, Tromso, Norway; [Gleason, Kelly E.] Portland State Univ, Dept Environm Sci &amp; Management, Portland, OR 97207 USA; [McWethy, David B.] Montana State Univ, Dept Earth Sci, Bozeman, MT 59717 USA; [Abram, Nerilie J.] Australian Natl Univ, Res Sch Earth Sci, Canberra, ACT, Australia; [Abram, Nerilie J.] Australian Natl Univ, ARC Ctr Excellence Climate Extremes, Canberra, ACT, Australia; [Abram, Nerilie J.] Australian Natl Univ, Australian Ctr Excellence Antarctic Sci, Canberra, ACT, Australia; [Liu, Pengfei] Georgia Inst Technol, Sch Earth &amp; Atmospher Sci, Atlanta, GA 30332 USA; [Liu, Pengfei] Harvard Univ, Sch Engn &amp; Appl Sci, Cambridge, MA 02138 USA; [Aristarain, Alberto J.] Ctr Reg Invest Cient &amp; Teconol, Inst Antartico Argentino, Mendoza, Argentina</t>
  </si>
  <si>
    <t>Nevada System of Higher Education (NSHE); Desert Research Institute NSHE; UK Research &amp; Innovation (UKRI); Natural Environment Research Council (NERC); NERC British Antarctic Survey; NILU; University of Vienna; Queens University Belfast; Helmholtz Association; Alfred Wegener Institute, Helmholtz Centre for Polar &amp; Marine Research; Norwegian Polar Institute; Portland State University; Montana State University System; Montana State University Bozeman; Australian National University; Australian National University; Australian National University; University System of Georgia; Georgia Institute of Technology; Harvard University; Instituto Antartico Argentino</t>
  </si>
  <si>
    <t>McConnell, JR (corresponding author), Desert Res Inst, Div Hydrol Sci, Reno, NV 89506 USA.</t>
  </si>
  <si>
    <t>joe.mcconnell@dri.edu</t>
  </si>
  <si>
    <t>Eckhardt, Sabine/I-4001-2012; Abram, Nerilie/AAT-5171-2021; Mulvaney, Robert/K-3929-2012; Stohl, Andreas/A-7535-2008</t>
  </si>
  <si>
    <t>Stohl, Andreas/0000-0002-2524-5755; McConnell, Joseph/0000-0001-9051-5240; McWethy, David/0000-0003-3879-4865; Abram, Nerilie/0000-0003-1246-2344; Plunkett, Gill/0000-0003-1014-3454</t>
  </si>
  <si>
    <t>National Science Foundation (NSF) [0538416, 0968391, 1702830, 1832486, 1925417]; NSF [1702814]; Swiss National Science Foundation [P400P2_199285]; Swiss National Science Foundation (SNF) [P400P2_199285] Funding Source: Swiss National Science Foundation (SNF); Directorate For Geosciences; Div Atmospheric &amp; Geospace Sciences [1702830] Funding Source: National Science Foundation; Div Atmospheric &amp; Geospace Sciences; Directorate For Geosciences [1702814] Funding Source: National Science Foundation; Division Of Behavioral and Cognitive Sci; Direct For Social, Behav &amp; Economic Scie [1832486] Funding Source: National Science Foundation</t>
  </si>
  <si>
    <t>National Science Foundation (NSF)(National Science Foundation (NSF)); NSF(National Science Foundation (NSF)); Swiss National Science Foundation(Swiss National Science Foundation (SNSF)); Swiss National Science Foundation (SNF)(Swiss National Science Foundation (SNSF)); Directorate For Geosciences; Div Atmospheric &amp; Geospace Sciences(National Science Foundation (NSF)NSF - Directorate for Geosciences (GEO)); Div Atmospheric &amp; Geospace Sciences; Directorate For Geosciences(National Science Foundation (NSF)NSF - Directorate for Geosciences (GEO)); Division Of Behavioral and Cognitive Sci; Direct For Social, Behav &amp; Economic Scie(National Science Foundation (NSF)NSF - Directorate for Social, Behavioral &amp; Economic Sciences (SBE))</t>
  </si>
  <si>
    <t>National Science Foundation (NSF) grants 0538416, 0968391, 1702830, 1832486 and 1925417 to J.R.M. funded this research, with internal funding provided by DRI for laboratory analyses of B53, B54 and the two JRI cores. Additional funding from NSF 1702814 supported P.L. and Swiss National Science Foundation grant P400P2_199285 supported S.O.B. We thank all the British, French, Argentine, German, Norwegian, Australian and American field teams for their efforts, as well as students and staff in the DRI ice-core group for assistance in the laboratory.</t>
  </si>
  <si>
    <t>OCT 7</t>
  </si>
  <si>
    <t>10.1038/s41586-021-03858-9</t>
  </si>
  <si>
    <t>XU0JP</t>
  </si>
  <si>
    <t>WOS:000733963000010</t>
  </si>
  <si>
    <t>Koo, Y; Xie, HJ; Ackley, SF; Mestas-Nuñez, AM; Macdonald, GJ; Hyun, CU</t>
  </si>
  <si>
    <t>Koo, YoungHyun; Xie, Hongjie; Ackley, Stephen F.; Mestas-Nunez, Alberto M.; Macdonald, Grant J.; Hyun, Chang-Uk</t>
  </si>
  <si>
    <t>Semi-automated tracking of iceberg B43 using Sentinel-1 SAR images via Google Earth Engine</t>
  </si>
  <si>
    <t>MACHINE LEARNING APPROACH; ANTARCTIC ICEBERGS; WEDDELL SEA; OCEAN CIRCULATION; ICE; SIZE; DISTRIBUTIONS; CLIMATOLOGY; VARIABILITY; EVOLUTION</t>
  </si>
  <si>
    <t>Sentinel-1 C-band synthetic aperture radar (SAR) images can be used to observe the drift of icebergs over the Southern Ocean with around 1-3 d of temporal resolution and 10-40 m of spatial resolution. The Google Earth Engine (GEE) cloud-based platform allows processing of a large quantity of Sentinel-1 images, saving time and computational resources. In this study, we process Sentinel-1 data via GEE to detect and track the drift of iceberg B43 during its lifespan of 3 years (2017-2020) in the Southern Ocean. First, to detect all candidate icebergs in Sentinel-1 images, we employ an object-based image segmentation (simple non-iterative clustering - SNIC) and a traditional backscatter threshold method. Next, we automatically choose and trace the location of the target iceberg by comparing the centroid distance histograms (CDHs) of all detected icebergs in subsequent days with the CDH of the reference target iceberg. Using this approach, we successfully track iceberg B43 from the Amundsen Sea to the Ross Sea and examine its changes in area, speed, and direction. Three periods with sudden losses of area (i.e., split-offs) coincide with periods of low sea ice concentration, warm air temperature, and high waves. This implies that these variables may be related to mechanisms causing the split-off of the iceberg. Since the iceberg is generally surrounded by compacted sea ice, its drift correlates in part with sea ice motion and wind velocity. Given that the bulk of the iceberg is under water (similar to 30-60 m freeboard and similar to 150-400 m thickness), its motion is predominantly driven by the westward-flowing Antarctic Coastal Current, which dominates the circulation of the region. Considering the complexity of modeling icebergs, there is a demand for a large iceberg database to better understand the behavior of icebergs and their interactions with surrounding environments. The semi-automated iceberg tracking based on the storage capacity and computing power of GEE can be used for this purpose.</t>
  </si>
  <si>
    <t>[Koo, YoungHyun; Xie, Hongjie; Ackley, Stephen F.; Mestas-Nunez, Alberto M.; Macdonald, Grant J.] Univ Texas San Antonio, Ctr Adv Measurements Extreme Environm, San Antonio, TX 78249 USA; [Hyun, Chang-Uk] Dong A Univ, Dept Energy &amp; Mineral Resources Engn, Busan 49315, South Korea</t>
  </si>
  <si>
    <t>University of Texas System; University of Texas at San Antonio (UTSA); Dong A University</t>
  </si>
  <si>
    <t>Xie, HJ (corresponding author), Univ Texas San Antonio, Ctr Adv Measurements Extreme Environm, San Antonio, TX 78249 USA.</t>
  </si>
  <si>
    <t>hongjie.xie@utsa.edu</t>
  </si>
  <si>
    <t>Xie, Hongjie/B-5845-2009; Mestas-Nunez, Alberto M/A-1427-2012</t>
  </si>
  <si>
    <t>Xie, Hongjie/0000-0003-3516-1210; Ackley, Stephen/0000-0003-4399-9232; Macdonald, Grant/0000-0002-9295-085X; Koo, YoungHyun/0000-0001-9235-5009</t>
  </si>
  <si>
    <t>National Aeronautics and Space Administration [80NSSC18K0843, 80NSSC19M0194]; National Science Foundation [1835784]; Office of Advanced Cyberinfrastructure (OAC); Direct For Computer &amp; Info Scie &amp; Enginr [1835784] Funding Source: National Science Foundation</t>
  </si>
  <si>
    <t>National Aeronautics and Space Administration(National Aeronautics &amp; Space Administration (NASA)); National Science Foundation(National Science Foundation (NSF)); Office of Advanced Cyberinfrastructure (OAC); Direct For Computer &amp; Info Scie &amp; Enginr(National Science Foundation (NSF)NSF - Directorate for Computer &amp; Information Science &amp; Engineering (CISE))</t>
  </si>
  <si>
    <t>This research has been supported by the National Aeronautics and Space Administration (grant nos. 80NSSC18K0843 and 80NSSC19M0194) and the National Science Foundation (grant no. 1835784).</t>
  </si>
  <si>
    <t>10.5194/tc-15-4727-2021</t>
  </si>
  <si>
    <t>WE9MH</t>
  </si>
  <si>
    <t>WOS:000705941200001</t>
  </si>
  <si>
    <t>Zhu, GP; Li, YY; Wang, DR; Liu, H</t>
  </si>
  <si>
    <t>Zhu, Guoping; Li, Yingying; Wang, Danrong; Liu, Hui</t>
  </si>
  <si>
    <t>Concentration and Distribution of Cu, Zn, Pb, and Cd in Mackerel Icefish (Champsocephalus gunnari) in South Georgia, Antarctic, During Winter</t>
  </si>
  <si>
    <t>BIOLOGICAL TRACE ELEMENT RESEARCH</t>
  </si>
  <si>
    <t>Trace elements; Toxic elements; Champsocephalus gunnari; South Georgia; Bioaccumulation</t>
  </si>
  <si>
    <t>BLOOD-CELLS; ZINC; COPPER; FISH; CONTAMINATION; CRUSTACEANS; TELEOSTS; ELEMENTS; BIOLOGY; METALS</t>
  </si>
  <si>
    <t>Knowledge of the essential and nonessential elements distribution and behavior in Antarctic fish is important for understanding the essentiality and requirements of minerals in the diet of those species, as well as the bioavailability and storage of trace minerals in the tissues of fishes. In this study, the levels of zinc, copper, cadmium, and lead in muscle, intestine, liver, gill, and skin of mackerel icefish Champsocephalus gunnari (Lonnberg, 1905) in South Georgia were determined during winter. The following element concentration ranking was recorded: Zn &gt; Cu &gt; Cd &gt; Pb in the muscle, Zn &gt; Cu &gt; Cd &gt; Pb in the skin, Zn &gt; Cu &gt; Cd &gt; Pb in the intestine, Zn &gt; Cu &gt; Pb &gt; Cd in liver, and Zn &gt; Cu &gt; Cd &gt; Pb in the gill. The concentration of Zn is higher by about two orders of magnitude than that of the other three elements for the tissues. Generally, apart from Cu levels in the liver and Cd levels in the intestine, the correlation of elements in tissues with both size and weight of C. gunnari is not observed. The levels of elements were compared to those reported for C. gunnari in the Kerguelen waters.</t>
  </si>
  <si>
    <t>[Zhu, Guoping; Li, Yingying; Wang, Danrong; Liu, Hui] Shanghai Ocean Univ, Coll Marine Sci, Shanghai 201306, Peoples R China; [Zhu, Guoping; Li, Yingying; Wang, Danrong; Liu, Hui] Shanghai Ocean Univ, Ctr Polar Res, Shanghai 201306, Peoples R China; [Zhu, Guoping] Natl Engn Res Ctr Ocean Fisheries, Shanghai 201306, Peoples R China; [Zhu, Guoping] Shanghai Ocean Univ, Minist Educ, Key Lab Sustainable Exploitat Ocean Fisheries Res, Polar Marine Ecosyst Grp, Shanghai 201306, Peoples R China</t>
  </si>
  <si>
    <t>Shanghai Ocean University; Shanghai Ocean University; National Engineering Research Center for Oceanic Fisheries; Shanghai Ocean University</t>
  </si>
  <si>
    <t>Zhu, GP (corresponding author), Shanghai Ocean Univ, Coll Marine Sci, Shanghai 201306, Peoples R China.;Zhu, GP (corresponding author), Shanghai Ocean Univ, Ctr Polar Res, Shanghai 201306, Peoples R China.;Zhu, GP (corresponding author), Natl Engn Res Ctr Ocean Fisheries, Shanghai 201306, Peoples R China.;Zhu, GP (corresponding author), Shanghai Ocean Univ, Minist Educ, Key Lab Sustainable Exploitat Ocean Fisheries Res, Polar Marine Ecosyst Grp, Shanghai 201306, Peoples R China.</t>
  </si>
  <si>
    <t>gpzhu@shou.edu.cn</t>
  </si>
  <si>
    <t>ZHU, Guo-ping/D-1002-2010</t>
  </si>
  <si>
    <t>Zhu, Guoping/0000-0001-6081-7811</t>
  </si>
  <si>
    <t>National Science Foundation of China [41776185]; National Key R&amp;D Program of China [2018YFC1406801]</t>
  </si>
  <si>
    <t>National Science Foundation of China(National Natural Science Foundation of China (NSFC)); National Key R&amp;D Program of China</t>
  </si>
  <si>
    <t>Funding was provided by the National Science Foundation of China (grant no 41776185 to G.P.Z.) and the National Key R&amp;D Program of China (grant no 2018YFC1406801 to G.P.Z.).</t>
  </si>
  <si>
    <t>0163-4984</t>
  </si>
  <si>
    <t>1559-0720</t>
  </si>
  <si>
    <t>BIOL TRACE ELEM RES</t>
  </si>
  <si>
    <t>Biol. Trace Elem. Res.</t>
  </si>
  <si>
    <t>10.1007/s12011-021-02949-y</t>
  </si>
  <si>
    <t>Biochemistry &amp; Molecular Biology; Endocrinology &amp; Metabolism</t>
  </si>
  <si>
    <t>2I2GS</t>
  </si>
  <si>
    <t>WOS:000705767900001</t>
  </si>
  <si>
    <t>de Vries, D; Heritage, S; Borths, MR; Sallam, HM; Seiffert, ER</t>
  </si>
  <si>
    <t>de Vries, Dorien; Heritage, Steven; Borths, Matthew R.; Sallam, Hesham M.; Seiffert, Erik R.</t>
  </si>
  <si>
    <t>Widespread loss of mammalian lineage and dietary diversity in the early Oligocene of Afro-Arabia</t>
  </si>
  <si>
    <t>GLOBAL CLIMATE; R PACKAGE; EOCENE; EVOLUTION; PRIMATES; ETHIOPIA; MIOCENE; AFRICAN; DIVERGENCE; INFERENCE</t>
  </si>
  <si>
    <t>Using time-scaled phylogenies of several endemic clades of small Afro-Arabian mammals, Dorien de Vries et al. infer a steep drop in species numbers around the Eocene-Oligocene transition. This dramatic decline coincides with a global cooling trend as well as the onset of widespread flood basalt volcanism in East Africa, and is found to be correlated with a major loss in dietary diversity. Diverse lines of geological and geochemical evidence indicate that the Eocene-Oligocene transition (EOT) marked the onset of a global cooling phase, rapid growth of the Antarctic ice sheet, and a worldwide drop in sea level. Paleontologists have established that shifts in mammalian community structure in Europe and Asia were broadly coincident with these events, but the potential impact of early Oligocene climate change on the mammalian communities of Afro-Arabia has long been unclear. Here we employ dated phylogenies of multiple endemic Afro-Arabian mammal clades (anomaluroid and hystricognath rodents, anthropoid and strepsirrhine primates, and carnivorous hyaenodonts) to investigate lineage diversification and loss since the early Eocene. These analyses provide evidence for widespread mammalian extinction in the early Oligocene of Afro-Arabia, with almost two-thirds of peak late Eocene diversity lost in these clades by similar to 30 Ma. Using homology-free dental topographic metrics, we further demonstrate that the loss of Afro-Arabian rodent and primate lineages was associated with a major reduction in molar occlusal topographic disparity, suggesting a correlated loss of dietary diversity. These results raise new questions about the relative importance of global versus local influences in shaping the evolutionary trajectories of Afro-Arabia's endemic mammals during the Oligocene.</t>
  </si>
  <si>
    <t>[de Vries, Dorien] Univ Salford, Ecosyst &amp; Environm Res Ctr, Sch Sci Engn &amp; Environm, Manchester, Lancs, England; [de Vries, Dorien; Heritage, Steven] SUNY Stony Brook, Interdept Doctoral Program Anthropol Sci, Stony Brook, NY 11794 USA; [Heritage, Steven; Borths, Matthew R.; Sallam, Hesham M.; Seiffert, Erik R.] Museum Nat Hist, Duke Lemur Ctr, Durham, NC 27705 USA; [Sallam, Hesham M.] Mansoura Univ Vertebrate Paleontol, Fac Sci, Dept Geol, Mansoura, Egypt; [Sallam, Hesham M.] Amer Univ Cairo, Sch Sci &amp; Engn, Inst Global Hlth &amp; Human Ecol I GHHE, New Cairo, Egypt; [Seiffert, Erik R.] Univ Southern Calif, Keck Sch Med USC, Dept Integrat Anat Sci, Los Angeles, CA 90007 USA; [Seiffert, Erik R.] Nat Hist Museum Los Angeles Cty, Dept Mammal, Los Angeles, CA 90007 USA</t>
  </si>
  <si>
    <t>University of Salford; State University of New York (SUNY) System; State University of New York (SUNY) Stony Brook; Egyptian Knowledge Bank (EKB); American University Cairo; University of Southern California</t>
  </si>
  <si>
    <t>Seiffert, ER (corresponding author), Museum Nat Hist, Duke Lemur Ctr, Durham, NC 27705 USA.;Seiffert, ER (corresponding author), Univ Southern Calif, Keck Sch Med USC, Dept Integrat Anat Sci, Los Angeles, CA 90007 USA.;Seiffert, ER (corresponding author), Nat Hist Museum Los Angeles Cty, Dept Mammal, Los Angeles, CA 90007 USA.</t>
  </si>
  <si>
    <t>seiffert@usc.edu</t>
  </si>
  <si>
    <t>Sallam, Hesham/T-6534-2018</t>
  </si>
  <si>
    <t>de Vries, Dorien/0000-0002-6809-0052; Seiffert, Erik/0000-0001-5948-9224</t>
  </si>
  <si>
    <t>Leakey Foundation; U.S. National Science Foundation [BSC-1824745, BCS-0416164, BCS-0819186, BCS1231288]; Natural Environment Research Council [NERC NE/T000341/1]; NSF [DBI-1612062, DBI-1458192, DBI-2023087]; IMLS grant [MA-245704-OMS-20]; NERC [NE/T000341/1] Funding Source: UKRI</t>
  </si>
  <si>
    <t>Leakey Foundation; U.S. National Science Foundation(National Science Foundation (NSF)); Natural Environment Research Council(UK Research &amp; Innovation (UKRI)Natural Environment Research Council (NERC)); NSF(National Science Foundation (NSF)); IMLS grant; NERC(UK Research &amp; Innovation (UKRI)Natural Environment Research Council (NERC))</t>
  </si>
  <si>
    <t>D.D.'s work has been supported by funds from The Leakey Foundation, the U.S. National Science Foundation (BSC-1824745), and the Natural Environment Research Council (NERC NE/T000341/1). M.R.B. was supported by NSF grant DBI-1612062. Field work in the Fayum Depression, Egypt, and digital curation of Fayum fossils has been supported by the U.S. National Science Foundation (BCS-0416164, BCS-0819186, and BCS1231288) as well as Gordon and Ann Getty and The Leakey Foundation. Micro-CT scanning was partially supported by NSF grants DBI-1458192 and DBI-2023087, and IMLS grant MA-245704-OMS-20. K.C. Beard, E. Gheerbrant, F.K. Manthi, L. Marivaux, and M. Pickford kindly provided access to original fossils or casts. We thank Jeroen Smaers for his comments on an earlier version of this work, and for help with R code development for D.D.'s dissertation analyses. We also thank L. Werdelin, M. Orliac, and two anonymous reviewers for their helpful comments. This is Duke Lemur Center publication #1489.</t>
  </si>
  <si>
    <t>10.1038/s42003-021-02707-9</t>
  </si>
  <si>
    <t>WD5LZ</t>
  </si>
  <si>
    <t>WOS:000704983200016</t>
  </si>
  <si>
    <t>Vega, GC; Pertierra, LR; Benayas, J; Olalla-Tarrága, MA</t>
  </si>
  <si>
    <t>Vega, Greta C.; Pertierra, Luis R.; Benayas, Javier; Angel Olalla-Tarraga, Miguel</t>
  </si>
  <si>
    <t>Ensemble forecasting of invasion risk for four alien springtail (Collembola) species in Antarctica</t>
  </si>
  <si>
    <t>Alien species; Antarctica; Collembola; Species Distribution Model</t>
  </si>
  <si>
    <t>BIOLOGICAL INVASIONS; CLIMATE-CHANGE; CONSERVATION BIOGEOGRAPHY; PHENOTYPIC PLASTICITY; HYPOGASTRURA-VIATICA; BIOTIC INTERACTIONS; TERRESTRIAL; ACCLIMATION; ECOSYSTEMS; DISPERSAL</t>
  </si>
  <si>
    <t>Biological invasions are one of the most important threats to Antarctic biodiversity. Springtails (Collembola) make up most of the diversity in soil arthropod communities in Antarctic terrestrial ecosystems. However, the potential range expansion of already established alien springtails and their consequent impacts on Antarctic ecosystems remains largely unknown. Species Distribution Models (SDMs) are a useful tool to identify areas potentially suitable for the geographical spread of alien species that are as yet unoccupied. In Antarctica, however, the application of SDMs is relatively less developed and initially received greater attention in marine rather than terrestrial environments. Here, we implement an ensemble forecasting approach and compute eight modelling algorithms to better understand the geographic distributions and potential range dynamics of four reportedly established alien springtail species (Hypogastrura viatica, Folsomia candida, Mesaphorura macrochaeta and Proisotoma minuta) on the Antarctic Peninsula. Our models identify several ice-free areas across the South Shetland Islands which offer highly suitable environmental conditions for establishment. Thus, biosecurity provisions ought to be reinforced in those sites more vulnerable to invasions. Model predictions of our ensemble SDM approach would benefit from additional field sampling effort across the introduced range and could be complemented with mechanistic models that critically need experimental physiological data to define the fundamental climatic niche of each species.</t>
  </si>
  <si>
    <t>[Vega, Greta C.; Pertierra, Luis R.; Angel Olalla-Tarraga, Miguel] Univ Rey Juan Carlos, Dept Biol &amp; Geol Fis &amp; Quim Inorgan, Calle Tulipan S-N, Madrid 28933, Spain; [Benayas, Javier] Univ Autonoma Madrid, Dept Ecol, Calle Darwin 2, Madrid 28049, Spain</t>
  </si>
  <si>
    <t>Universidad Rey Juan Carlos; Autonomous University of Madrid</t>
  </si>
  <si>
    <t>Vega, GC (corresponding author), Univ Rey Juan Carlos, Dept Biol &amp; Geol Fis &amp; Quim Inorgan, Calle Tulipan S-N, Madrid 28933, Spain.</t>
  </si>
  <si>
    <t>gretacvega@gmail.com</t>
  </si>
  <si>
    <t>Pertierra, Luis R./K-3727-2017; Olalla-Tárraga, Miguel Ángel/ABE-7880-2020; , Greta/AAA-1122-2022; Benayas Del Alamo, Fco. Javier/E-5663-2017</t>
  </si>
  <si>
    <t>Pertierra, Luis R./0000-0002-2232-428X; Olalla-Tárraga, Miguel Ángel/0000-0001-5346-4528; , Greta/0000-0001-5115-0146; Benayas Del Alamo, Fco. Javier/0000-0002-5906-9569</t>
  </si>
  <si>
    <t>Spanish Ministry of Science, Innovation and Universities [CGL2017-89820-P]</t>
  </si>
  <si>
    <t>Spanish Ministry of Science, Innovation and Universities(Spanish Government)</t>
  </si>
  <si>
    <t>Research was funded by an Excellence R&amp;D research Grant (CGL2017-89820-P) from the Spanish Ministry of Science, Innovation and Universities to MAO-T.</t>
  </si>
  <si>
    <t>10.1007/s00300-021-02949-7</t>
  </si>
  <si>
    <t>WOS:000704935900001</t>
  </si>
  <si>
    <t>Jordan, JR; Gudmundsson, GH; Jenkins, A; Stokes, CR; Miles, BWJ; Jamieson, SSR</t>
  </si>
  <si>
    <t>Jordan, James R.; Gudmundsson, G. Hilmar; Jenkins, Adrian; Stokes, Chris R.; Miles, Bertie W. J.; Jamieson, Stewart S. R.</t>
  </si>
  <si>
    <t>The sensitivity of Cook Glacier, East Antarctica, to changes in ice-shelf extent and grounding-line position</t>
  </si>
  <si>
    <t>Antarctic glaciology; glacier modelling; ice shelves</t>
  </si>
  <si>
    <t>GREENLAND; DISCHARGE; LAND; FLOW</t>
  </si>
  <si>
    <t>The Wilkes Subglacial Basin in East Antarctica contains ice equivalent to 3-4 m of global mean sea level rise and is primarily drained by Cook Glacier. Of concern is that recent observations (since the 1970s) show an acceleration in ice speed over the grounding line of both the Eastern and Western portions of Cook Glacier. Here, we use a numerical ice-flow model (Ua) to simulate the instantaneous effects of observed changes at the terminus of Cook Glacier in order to understand the link between these changes and recently observed ice acceleration. Simulations suggest that the acceleration of Cook West was caused by a retreat in calvingfront position in the 1970s, potentially enhanced by grounding-line retreat, while acceleration of Cook East was likely caused by ice-shelf thinning and grounding-line retreat in the mid1990s. Moreover, we show that the instantaneous ice discharge at Cook East would increase by up to 85% if the whole ice shelf is removed and it ungrounds from a pinning point; and that the discharge at Cook West could increase by -300% if its grounding line retreated by 10 km.</t>
  </si>
  <si>
    <t>[Jordan, James R.; Gudmundsson, G. Hilmar; Jenkins, Adrian] Northumbria Univ, Fac Engn &amp; Environm, Dept Geog &amp; Environm Sci, Newcastle Upon Tyne, Tyne &amp; Wear, England; [Stokes, Chris R.; Miles, Bertie W. J.; Jamieson, Stewart S. R.] Univ Durham, Dept Geog, Durham DH1 3LE, England</t>
  </si>
  <si>
    <t>Northumbria University; Durham University</t>
  </si>
  <si>
    <t>Jordan, JR (corresponding author), Northumbria Univ, Fac Engn &amp; Environm, Dept Geog &amp; Environm Sci, Newcastle Upon Tyne, Tyne &amp; Wear, England.</t>
  </si>
  <si>
    <t>jim.jordan@northumbria.ac.uk</t>
  </si>
  <si>
    <t>Gudmundsson, Gudmundur Hilmar/AAU-5987-2020; Jenkins, Adrian/IUN-2406-2023; Stokes, Chris R/A-1957-2011</t>
  </si>
  <si>
    <t>Gudmundsson, Gudmundur Hilmar/0000-0003-4236-5369; Miles, Bertie/0000-0002-3388-4688; Jenkins, Adrian/0000-0002-9117-0616; Jordan, Jim/0000-0001-8117-1976</t>
  </si>
  <si>
    <t>Natural Environment Research Council [NE/R000719/1]; NERC [NE/L007037/1, NE/R000824/1, NE/R000719/1] Funding Source: UKRI</t>
  </si>
  <si>
    <t>The authors thank the journal editor and reviewers for their insightful and constructive feedback. This study was funded by the Natural Environment Research Council, grant No. NE/R000719/1.</t>
  </si>
  <si>
    <t>10.1017/jog.2021.106</t>
  </si>
  <si>
    <t>WOS:000774567700001</t>
  </si>
  <si>
    <t>Marina-Montes, C; Perez-Arribas, LV; Anzano, J; de Vallejuelo, SFO; Aramendia, J; Gómez-Nubla, L; de Diego, A; Madariaga, JM; Cáceres, JO</t>
  </si>
  <si>
    <t>Marina-Montes, Cesar; Perez-Arribas, Luis, V; Anzano, Jesus; Fdez-Ortiz de Vallejuelo, Silvia; Aramendia, Julene; Gomez-Nubla, Leticia; de Diego, Alberto; Manuel Madariaga, Juan; Caceres, Jorge O.</t>
  </si>
  <si>
    <t>Characterization of atmospheric aerosols in the Antarctic region using Raman Spectroscopy and Scanning Electron Microscopy</t>
  </si>
  <si>
    <t>SPECTROCHIMICA ACTA PART A-MOLECULAR AND BIOMOLECULAR SPECTROSCOPY</t>
  </si>
  <si>
    <t>Antarctica; Atmospheric aerosols; Raman spectroscopy; Scanning electron microscopy Energy-Dispersive X-ray Spectroscopy (SEM-EDS); Microplastics</t>
  </si>
  <si>
    <t>PARTICULATE MATTER; SPECTRA; SURFACE; CARBON; PARTICLES; CLIMATE; SULFATE; VALLEY; BLACK; SNOW</t>
  </si>
  <si>
    <t>The non-destructive spectroscopic characterization of airborne particulate matter (PM) was performed to gain better knowledge of the internal structures of atmospheric aerosols at the particle level in the Antarctic region, along with their potential sources. PM and soil samples were collected during the 2016-2017 austral summer season at the surroundings of the Spanish Antarctic Research Station Gabriel de Castilla (Deception Island, South Shetland Islands). PM was deposited in a low-volume sampler air filter. Raman spectroscopy (RS) and Scanning Electron Microscopy with Energy-Dispersive X-ray Spectroscopy (SEM-EDS) were used to determine the elemental and molecular composition of the individual aerosol and soil particles. Filter spectra measured by these techniques revealed long-range atmospheric transport of organic compounds (polystyrene and bacteria), local single and cluster particles made of different kinds of black carbon (BC), exotic minerals (polyhalite, arcanite, niter, ammonium nitrate, syngenite and nitrogen, phosphorus, and potassium (NPK) fertilizer), and natural PM (sea salts, silicates, iron oxides, etc.). In addition to the filter samples, forsterite and plagioclase were discovered in the soil samples together with magnetite. This is the first report of the presence of a microplastic fiber in the Antarctic air. This fact, together with the presence of other pollutants, reflects that even pristine and remote regions are influenced by anthropogenic activities. (c) 2021 Elsevier B.V. All rights reserved.</t>
  </si>
  <si>
    <t>[Marina-Montes, Cesar; Anzano, Jesus] Univ Zaragoza, Fac Sci, Dept Analyt Chem, Laser Lab,Chem &amp; Environm Grp, Pedro Cerbuna 12, Zaragoza 50009, Spain; [Perez-Arribas, Luis, V; Caceres, Jorge O.] Univ Complutense Madrid, Fac Chem, Dept Analyt Chem, Laser Chem Res Grp, Plaza Ciencias 1, Madrid 28040, Spain; [Fdez-Ortiz de Vallejuelo, Silvia; Aramendia, Julene; Gomez-Nubla, Leticia; de Diego, Alberto; Manuel Madariaga, Juan] Univ Basque Country, Fac Sci &amp; Technol, Dept Analyt Chem, UPV EHU, Leioa, Spain</t>
  </si>
  <si>
    <t>University of Zaragoza; Complutense University of Madrid; University of Basque Country</t>
  </si>
  <si>
    <t>Cáceres, JO (corresponding author), Univ Complutense Madrid, Fac Chem, Dept Analyt Chem, Laser Chem Res Grp, Plaza Ciencias 1, Madrid 28040, Spain.</t>
  </si>
  <si>
    <t>jcaceres@ucm.es</t>
  </si>
  <si>
    <t>Marina-Montes, Cesar/AEU-5508-2022; Perez-Arribas, Luis V./K-5675-2018; aramendia, julene/I-4816-2015</t>
  </si>
  <si>
    <t>Marina-Montes, Cesar/0000-0001-5652-3677; Perez-Arribas, Luis V./0000-0002-3727-8132; Caceres, Jorge/0000-0003-4801-4172; aramendia, julene/0000-0003-3728-8370</t>
  </si>
  <si>
    <t>Spanish Ministry of Science research program [CTM2017-82929-R]; Government of Aragon [E23_17D, E49_20R]; Spanish Government; European Social Fund; University of Zaragoza</t>
  </si>
  <si>
    <t>Spanish Ministry of Science research program; Government of Aragon(Gobierno de Aragon); Spanish Government(Spanish Government); European Social Fund(European Social Fund (ESF)); University of Zaragoza</t>
  </si>
  <si>
    <t>The authors gratefully acknowledge the following Spanish universities for facilities and material resources: University of Zaragoza, Complutense University of Madrid and University of the Basque Country. This project forms part of the Spanish Ministry of Science research program (CTM2017-82929-R) in collaboration with the Government of Aragon proposal E23_17D and E49_20R. CMM's work was funded through a predoctoral contract (FPI) granted by the Spanish Government. Financial support from the European Social Fund &amp; University of Zaragoza is acknowledged. The authors thank the military staff at the Gabriel de Castilla Spanish Antarctic research station for help with the installation of equipment and sample collection. Fig. 1 has been taken from Google Earth Pro.</t>
  </si>
  <si>
    <t>1386-1425</t>
  </si>
  <si>
    <t>1873-3557</t>
  </si>
  <si>
    <t>SPECTROCHIM ACTA A</t>
  </si>
  <si>
    <t>Spectroc. Acta Pt. A-Molec. Biomolec. Spectr.</t>
  </si>
  <si>
    <t>FEB 5</t>
  </si>
  <si>
    <t>10.1016/j.saa.2021.120452</t>
  </si>
  <si>
    <t>Spectroscopy</t>
  </si>
  <si>
    <t>WK4RI</t>
  </si>
  <si>
    <t>WOS:000709714100011</t>
  </si>
  <si>
    <t>Riccardi, C; D'Angelo, C; Calvanese, M; Ricciardelli, A; Sellitto, A; Giurato, G; Tutino, ML; Weisz, A; Parrilli, E; Fondi, M</t>
  </si>
  <si>
    <t>Riccardi, Christopher; D'Angelo, Caterina; Calvanese, Marzia; Ricciardelli, Annarita; Sellitto, Assunta; Giurato, Giorgio; Tutino, Maria Luisa; Weisz, Alessandro; Parrilli, Ermenegilda; Fondi, Marco</t>
  </si>
  <si>
    <t>Whole-genome sequencing of Pseudomonas sp. TAE6080, a strain capable of inhibiting Staphylococcus epidermidis biofilm</t>
  </si>
  <si>
    <t>MARINE GENOMICS</t>
  </si>
  <si>
    <t>Anti-biofilm; Antarctic marine bacterium; Pseudomonas sp; NGS</t>
  </si>
  <si>
    <t>Antarctic bacteria are able to survive under extreme environmental conditions and have adapted to exploit some of the most ephemeral nutrient pockets. Importantly, such strains have been often shown to be capable of synthesizing compounds of valuable biotechnological importance. Here we show that Pseudomonas sp. TAE6080, a possibly new bacterium isolated in 1994 during water column samplings near the French Antarctic station Dumont d'Urville, is capable of inhibiting the formation of Staphylococcus epidermidis biofilm, known to be an important opportunistic pathogen in infections associated to medical devices. A better understanding of this bacterium can therefore provide useful insight on new bioactive molecules that could play a role against chronic infections. To this end, the anti-biofilm effect of cell-free supernatant of Pseudomonas sp. TAE6080 was evaluated on S. epidermidis RP62A biofilm formation, demonstrating that it significantly reduced its aggregation. Furthermore, genome sequencing, assembly and mining revealed a plethora of putative biosynthetic gene clusters that might be involved in biofilm disruption. The experimental and genomic data presented here open the venue to further investigations on the molecular basis underlying biofilm inhibition.</t>
  </si>
  <si>
    <t>[Riccardi, Christopher; Fondi, Marco] Univ Florence, Dept Biol, Via Madonna del Piano 6, Sesto Fiorentino, Italy; [D'Angelo, Caterina; Calvanese, Marzia; Ricciardelli, Annarita; Tutino, Maria Luisa; Parrilli, Ermenegilda] Univ Naples Federico II, Dept Chem Sci, Complesso Univ Monte S Angelo,Via Cinthia, I-80125 Naples, Italy; [Sellitto, Assunta; Giurato, Giorgio; Weisz, Alessandro] Univ Salerno, Dept Med Surg &amp; Dent, Scuola Med Salernitana, Via S Allende, I-84081 Baronissi, Italy; [Giurato, Giorgio; Weisz, Alessandro] Genome Res Ctr Hlth GRGS, Campus Med,Via S Allende, I-84081 Baronissi, Italy</t>
  </si>
  <si>
    <t>University of Florence; University of Naples Federico II; University of Salerno</t>
  </si>
  <si>
    <t>Riccardi, C (corresponding author), Univ Florence, Dept Biol, Via Madonna del Piano 6, Sesto Fiorentino, Italy.</t>
  </si>
  <si>
    <t>christopher.riccardi@unifi.it</t>
  </si>
  <si>
    <t>Weisz, Alessandro/A-1317-2014; TUTINO, MARIA LUISA/L-1834-2013; Sellitto, Assunta/AEL-1404-2022; Sellitto, Assunta/GXG-8297-2022; Giurato, Giorgio/K-3859-2018; parrilli, ermenegilda/K-4616-2016</t>
  </si>
  <si>
    <t>Weisz, Alessandro/0000-0003-0455-2083; Sellitto, Assunta/0000-0002-6555-2362; Riccardi, Christopher/0000-0002-5310-6437; Calvanese, Marzia/0000-0002-7554-0680; D'Angelo, Caterina/0000-0002-0372-7809; Ricciardelli, Annarita/0000-0003-2084-0579; parrilli, ermenegilda/0000-0002-9002-5409</t>
  </si>
  <si>
    <t>MIUR (Programma Nazionale di Ricerche in Antartide 2018) [PNRA18_00335]; Regione Campania (POR Campania FESR 2014/2020, Azione 1.5, grant 'GENOMAeSALUTE')</t>
  </si>
  <si>
    <t>MIUR (Programma Nazionale di Ricerche in Antartide 2018)(Ministry of Education, Universities and Research (MIUR)); Regione Campania (POR Campania FESR 2014/2020, Azione 1.5, grant 'GENOMAeSALUTE')</t>
  </si>
  <si>
    <t>Research supported by MIUR (Programma Nazionale di Ricerche in Antartide 2018, grant PNRA18_00335) and by Regione Campania (POR Campania FESR 2014/2020, Azione 1.5, grant 'GENOMAeSALUTE') .</t>
  </si>
  <si>
    <t>1874-7787</t>
  </si>
  <si>
    <t>1876-7478</t>
  </si>
  <si>
    <t>MAR GENOM</t>
  </si>
  <si>
    <t>Mar. Genom.</t>
  </si>
  <si>
    <t>10.1016/j.margen.2021.100887</t>
  </si>
  <si>
    <t>Genetics &amp; Heredity; Marine &amp; Freshwater Biology</t>
  </si>
  <si>
    <t>WH8OE</t>
  </si>
  <si>
    <t>WOS:000707929000004</t>
  </si>
  <si>
    <t>Majewski, W; Holzmann, M; Gooday, AJ; Majda, A; Mamos, T; Pawlowski, J</t>
  </si>
  <si>
    <t>Majewski, Wojciech; Holzmann, Maria; Gooday, Andrew J.; Majda, Aneta; Mamos, Tomasz; Pawlowski, Jan</t>
  </si>
  <si>
    <t>Cenozoic climatic changes drive evolution and dispersal of coastal benthic foraminifera in the Southern Ocean</t>
  </si>
  <si>
    <t>MOLECULAR PHYLOGENY; DRAKE PASSAGE; ANTARCTIC PENINSULA; EAST ANTARCTICA; SCOTIA SEA; ROSS SEA; EOCENE; DIVERSITY; BIOGEOGRAPHY; DIVERGENCE</t>
  </si>
  <si>
    <t>The Antarctic coastal fauna is characterized by high endemism related to the progressive cooling of Antarctic waters and their isolation by the Antarctic Circumpolar Current. The origin of the Antarctic coastal fauna could involve either colonization from adjoining deep-sea areas or migration through the Drake Passage from sub-Antarctic areas. Here, we tested these hypotheses by comparing the morphology and genetics of benthic foraminifera collected from Antarctica, sub-Antarctic coastal settings in South Georgia, the Falkland Islands and Patagonian fjords. We analyzed four genera (Cassidulina, Globocassidulina, Cassidulinoides, Ehrenbergina) of the family Cassidulinidae that are represented by at least nine species in our samples. Focusing on the genera Globocassidulina and Cassidulinoides, our results showed that the first split between sub-Antarctic and Antarctic lineages took place during the mid-Miocene climate reorganization, probably about 20 to 17 million years ago (Ma). It was followed by a divergence between Antarctic species similar to 10 Ma, probably related to the cooling of deep water and vertical structuring of the water-column, as well as broadening and deepening of the continental shelf. The gene flow across the Drake Passage, as well as between South America and South Georgia, seems to have occurred from the Late Miocene to the Early Pliocene. It appears that climate warming during 7-5 Ma and the migration of the Polar Front breached biogeographic barriers and facilitated inter-species hybridization. The latest radiation coincided with glacial intensification (similar to 2 Ma), which accelerated geographic fragmentation of populations, demographic changes, and genetic diversification in Antarctic species. Our results show that the evolution of Antarctic and sub-Antarctic coastal benthic foraminifera was linked to the tectonic and climatic history of the area, but their evolutionary response was not uniform and reflected species-specific ecological adaptations that influenced the dispersal patterns and biogeography of each species in different ways.</t>
  </si>
  <si>
    <t>[Majewski, Wojciech; Majda, Aneta] Polish Acad Sci, Inst Paleobiol, Twarda 51-55, PL-00818 Warsaw, Poland; [Holzmann, Maria] Univ Geneva, Dept Genet &amp; Evolut, Sci 3, 30 Quai Ernest Ansermet, CH-1211 Geneva 4, Switzerland; [Gooday, Andrew J.] Natl Oceanog Ctr, European Way, Southampton SO14 3ZH, Hants, England; [Mamos, Tomasz] Univ Lodz, Dept Invertebrate Zool &amp; Hydrobiol, Banacha 12-16, PL-90237 Lodz, Poland; [Pawlowski, Jan] Polish Acad Sci, Inst Oceanol, Powstaikow Warszawy 55, PL-81712 Sopot, Poland</t>
  </si>
  <si>
    <t>Polish Academy of Sciences; Institute of Paleobiology of the Polish Academy of Sciences; University of Geneva; NERC National Oceanography Centre; University of Southampton; University of Lodz; Polish Academy of Sciences; Institute of Oceanology of the Polish Academy of Sciences</t>
  </si>
  <si>
    <t>Majewski, W (corresponding author), Polish Acad Sci, Inst Paleobiol, Twarda 51-55, PL-00818 Warsaw, Poland.</t>
  </si>
  <si>
    <t>wmaj@twarda.pan.pl</t>
  </si>
  <si>
    <t>Pawlowski, Jan/JNS-6857-2023; Mamos, Tomasz/E-4529-2015; Majewski, Wojciech/D-9255-2017</t>
  </si>
  <si>
    <t>Mamos, Tomasz/0000-0002-0524-3015; Majewski, Wojciech/0000-0002-5407-1782</t>
  </si>
  <si>
    <t>Polish National Science Centre [NCN-2013/11/N/ST10/01663, NCN-2018/31/B/ST10/02886]; Swiss National Science Foundation [31003A_179125]; Schmidheiny Foundation, Geneva</t>
  </si>
  <si>
    <t>Polish National Science Centre; Swiss National Science Foundation(Swiss National Science Foundation (SNSF)); Schmidheiny Foundation, Geneva</t>
  </si>
  <si>
    <t>Sampling outside Antarctica would not be possible without help and dedication of Keri Pashuk and Greg Landreth with their SRV Saoirse. Paul Brickle (SAERI), Alistair Crame (BAS), and Robert Bialik (IBB PAS) are thanked for help in organizing fieldwork in the Falklands and South Georgia. The authors thank Sam Bowser for material collected in McMurdo Sound (Ross Sea) and to Frederic Sinniger for material collected at Rothera station. We are also grateful to Tomas Cedhagen and Sergey Korsun for help in collecting samples in Patagonia as well as to Witold Szczucinski and Piotr Rozwalak for assisting the fieldwork in South Georgia. At early stage, this work was supported by grant of the Polish National Science Centre to AM (Project Number NCN-2013/11/N/ST10/01663), while at final stage by grant to WM (project number NCN-2018/31/B/ST10/02886). JP and MH were supported by Swiss National Science Foundation grant 31003A_179125. MH was further supported by a grant from the Schmidheiny Foundation, Geneva.</t>
  </si>
  <si>
    <t>OCT 6</t>
  </si>
  <si>
    <t>10.1038/s41598-021-99155-6</t>
  </si>
  <si>
    <t>WF5ZA</t>
  </si>
  <si>
    <t>WOS:000706380800035</t>
  </si>
  <si>
    <t>Speakman, CN; Hoskins, AJ; Hindell, MA; Costa, DP; Hartog, JR; Hobday, AJ; Arnould, JPY</t>
  </si>
  <si>
    <t>Speakman, Cassie N.; Hoskins, Andrew J.; Hindell, Mark A.; Costa, Daniel P.; Hartog, Jason R.; Hobday, Alistair J.; Arnould, John P. Y.</t>
  </si>
  <si>
    <t>Influence of environmental variation on spatial distribution and habitat-use in a benthic foraging marine predator</t>
  </si>
  <si>
    <t>ROYAL SOCIETY OPEN SCIENCE</t>
  </si>
  <si>
    <t>Arctocephalus; central-place foraging (CPF); El Nino Southern Oscillation (ENSO); Indian Ocean Dipole (IOD); marine predator; otariid</t>
  </si>
  <si>
    <t>AUSTRALIAN FUR SEALS; EL-NINO; CLIMATE-CHANGE; INTERANNUAL VARIATION; REPRODUCTIVE SUCCESS; PSEUDOPHYCIS-BACHUS; MATERNAL-ATTENDANCE; UPWELLING SYSTEMS; BASS STRAIT; R PACKAGE</t>
  </si>
  <si>
    <t>The highly dynamic nature of the marine environment can have a substantial influence on the foraging behaviour and spatial distribution of marine predators, particularly in pelagic marine systems. However, knowledge of the susceptibility of benthic marine predators to environmental variability is limited. This study investigated the influence of local-scale environmental conditions and large-scale climate indices on the spatial distribution and habitat use in the benthic foraging Australian fur seal (Arctocephalus pusillus doriferus; AUFS). Female AUFS provisioning pups were instrumented with GPS or ARGOS platform terminal transmitter tags during the austral winters of 2001-2019 at Kanowna Island, south-eastern Australia. Individuals were most susceptible to changes in the Southern Oscillation Index that measures the strength of the El Nino Southern Oscillation, with larger foraging ranges, greater distances travelled and more dispersed movement associated with 1-yr lagged La Nina-like conditions. Additionally, the total distance travelled was negatively correlated with the current year sea surface temperature and 1-yr lagged Indian Ocean Dipole, and positively correlated with 1-yr lagged chlorophyll-a concentration. These results suggest that environmental variation may influence the spatial distribution and availability of prey, even within benthic marine systems.</t>
  </si>
  <si>
    <t>[Speakman, Cassie N.; Arnould, John P. Y.] Deakin Univ, Sch Life &amp; Environm Sci, Burwood, Vic, Australia; [Hoskins, Andrew J.] CSIRO Hlth &amp; Biosecur, Townsville, Qld, Australia; [Hindell, Mark A.] Univ Tasmania, Inst Marine &amp; Antarctic Studies, Hobart, Tas, Australia; [Costa, Daniel P.] Univ Calif Santa Cruz, Ecol &amp; Evolutionary Biol Dept, Santa Cruz, CA 95064 USA; [Hartog, Jason R.; Hobday, Alistair J.] CSIRO Oceans &amp; Atmosphere, Hobart, Tas, Australia</t>
  </si>
  <si>
    <t>Deakin University; Commonwealth Scientific &amp; Industrial Research Organisation (CSIRO); University of Tasmania; University of California System; University of California Santa Cruz; Commonwealth Scientific &amp; Industrial Research Organisation (CSIRO)</t>
  </si>
  <si>
    <t>Speakman, CN (corresponding author), Deakin Univ, Sch Life &amp; Environm Sci, Burwood, Vic, Australia.</t>
  </si>
  <si>
    <t>cspeakman@deakin.edu.au</t>
  </si>
  <si>
    <t>Hobday, Alistair/A-1460-2012; Speakman, Cassie/IST-8189-2023; Hindell, Mark A/K-1131-2013; Arnould, John/E-8386-2011</t>
  </si>
  <si>
    <t>Speakman, Cassie/0000-0002-0023-518X; Arnould, John/0000-0003-1124-9330; Hoskins, Andrew/0000-0001-8907-6682</t>
  </si>
  <si>
    <t>Australian Research Council [DP0664167, DP110102065]; Office of Naval Research Marine Mammals and Biological Oceanography Program Award [N00014-10-1-0385]; Sea World Research and Rescue Foundation [SWR42020]; Winnifred Violet Scott Trust [WVSE/08-11]; Holsworth Wildlife Research Endowment [06153]; Australian Research Council [DP0664167] Funding Source: Australian Research Council</t>
  </si>
  <si>
    <t>Australian Research Council(Australian Research Council); Office of Naval Research Marine Mammals and Biological Oceanography Program Award; Sea World Research and Rescue Foundation; Winnifred Violet Scott Trust; Holsworth Wildlife Research Endowment; Australian Research Council(Australian Research Council)</t>
  </si>
  <si>
    <t>This work was supported by the Australian Research Council (grant nos. DP0664167 and DP110102065); Office of Naval Research Marine Mammals and Biological Oceanography Program Award (grant no. N00014-10-1-0385); Sea World Research and Rescue Foundation (grant no. SWR42020); Winnifred Violet Scott Trust (grant no. WVSE/08-11); and Holsworth Wildlife Research Endowment (grant no. 06153).</t>
  </si>
  <si>
    <t>2054-5703</t>
  </si>
  <si>
    <t>ROY SOC OPEN SCI</t>
  </si>
  <si>
    <t>R. Soc. Open Sci.</t>
  </si>
  <si>
    <t>10.1098/rsos.211052</t>
  </si>
  <si>
    <t>WB9LZ</t>
  </si>
  <si>
    <t>WOS:000703888100005</t>
  </si>
  <si>
    <t>Hill, EA; Rosier, SHR; Gudmundsson, GH; Collins, M</t>
  </si>
  <si>
    <t>Hill, Emily A.; Rosier, Sebastian H. R.; Gudmundsson, G. Hilmar; Collins, Matthew</t>
  </si>
  <si>
    <t>Quantifying the potential future contribution to global mean sea level from the Filchner-Ronne basin, Antarctica</t>
  </si>
  <si>
    <t>ICE-SHEET MODEL; SURFACE MASS-BALANCE; PINE ISLAND GLACIER; WEST ANTARCTICA; GROUNDING-LINE; INTERCOMPARISON PROJECT; RESPONSE FUNCTIONS; MELT RATES; SHELF; FLOW</t>
  </si>
  <si>
    <t>The future of the Antarctic Ice Sheet in response to climate warming is one of the largest sources of uncertainty in estimates of future changes in global mean sea level (Delta GMSL). Mass loss is currently concentrated in regions of warm circumpolar deep water, but it is unclear how ice shelves currently surrounded by relatively cold ocean waters will respond to climatic changes in the future. Studies suggest that warm water could flush the Filchner-Ronne (FR) ice shelf cavity during the 21st century, but the inland ice sheet response to a drastic increase in ice shelf melt rates is poorly known. Here, we use an ice flow model and uncertainty quantification approach to project the GMSL contribution of the FR basin under RCP emissions scenarios, and we assess the forward propagation and proportional contribution of uncertainties in model parameters (related to ice dynamics and atmospheric/oceanic forcing) on these projections. Our probabilistic projections, derived from an extensive sample of the parameter space using a surrogate model, reveal that the FR basin is unlikely to contribute positively to sea level rise by the 23rd century. This is primarily due to the mitigating effect of increased accumulation with warming, which is capable of suppressing ice loss associated with ocean-driven increases in sub-shelf melt. Mass gain (negative Delta GMSL) from the FR basin increases with warming, but uncertainties in these projections also become larger. In the highest emission scenario RCP8.5, Delta GMSL is likely to range from -103 to 26 mm, and this large spread can be apportioned predominantly to uncertainties in parameters driving increases in precipitation (30 %) and sub-shelf melting (44 %). There is potential, within the bounds of our input parameter space, for major collapse and retreat of ice streams feeding the FR ice shelf, and a substantial positive contribution to GMSL (up to approx. 300 mm), but we consider such a scenario to be very unlikely. Adopting uncertainty quantification techniques in future studies will help to provide robust estimates of potential sea level rise and further identify target areas for constraining projections.</t>
  </si>
  <si>
    <t>[Hill, Emily A.; Collins, Matthew] Univ Exeter, Coll Engn Math &amp; Phys Sci, Exeter, Devon, England; [Hill, Emily A.; Rosier, Sebastian H. R.; Gudmundsson, G. Hilmar] Northumbria Univ, Dept Geog &amp; Environm Sci, Newcastle Upon Tyne, Tyne &amp; Wear, England</t>
  </si>
  <si>
    <t>University of Exeter; Northumbria University</t>
  </si>
  <si>
    <t>Hill, EA (corresponding author), Univ Exeter, Coll Engn Math &amp; Phys Sci, Exeter, Devon, England.;Hill, EA (corresponding author), Northumbria Univ, Dept Geog &amp; Environm Sci, Newcastle Upon Tyne, Tyne &amp; Wear, England.</t>
  </si>
  <si>
    <t>emily.hill@northumbria.ac.uk</t>
  </si>
  <si>
    <t>Collins, Matthew/F-8473-2011; Gudmundsson, Gudmundur Hilmar/AAU-5987-2020</t>
  </si>
  <si>
    <t>Collins, Matthew/0000-0003-3785-6008; Gudmundsson, Gudmundur Hilmar/0000-0003-4236-5369; Hill, Emily/0000-0003-3175-3163</t>
  </si>
  <si>
    <t>Natural Environment Research Council [NE/L013770/1]; Horizon 2020 [TiPACCs 820575]; NERC [NE/L013754/1, NE/L013770/1] Funding Source: UKRI</t>
  </si>
  <si>
    <t>Natural Environment Research Council(UK Research &amp; Innovation (UKRI)Natural Environment Research Council (NERC)); Horizon 2020(Horizon 2020); NERC(UK Research &amp; Innovation (UKRI)Natural Environment Research Council (NERC))</t>
  </si>
  <si>
    <t>This research has been supported by the Natural Environment Research Council (grant no. NE/L013770/1) and the Horizon 2020 (grant no. TiPACCs 820575).</t>
  </si>
  <si>
    <t>10.5194/tc-15-4675-2021</t>
  </si>
  <si>
    <t>WE9LE</t>
  </si>
  <si>
    <t>WOS:000705938300001</t>
  </si>
  <si>
    <t>Fudge, M; Alexander, K; Ogier, E; Leith, P; Haward, M</t>
  </si>
  <si>
    <t>Fudge, Maree; Alexander, Karen; Ogier, Emily; Leith, Peat; Haward, Marcus</t>
  </si>
  <si>
    <t>A critique of the participation norm in marine governance: Bringing legitimacy into the frame</t>
  </si>
  <si>
    <t>ENVIRONMENTAL SCIENCE &amp; POLICY</t>
  </si>
  <si>
    <t>Participation; Participation norm; Political representation; Social-ecological systems; Marine; Governance</t>
  </si>
  <si>
    <t>PROTECTED AREAS; CLIMATE-CHANGE; MANAGEMENT; SYSTEMS; RESILIENCE; SUSTAINABILITY; STAKEHOLDERS; ECOSYSTEMS; FISHERIES; OUTPUT</t>
  </si>
  <si>
    <t>Citizen and stakeholder participation is held to bolster the democratic legitimacy of. marine governance by building trust in the decision-making system through inclusion.However, a growing body of literature points to increasing disillusionment and.exclusion, and thus decreased legitimacy. In this study we apply a 'legitimacy lens' to.examine a dominant conceptualisation of participation in marine governance. We.argue that the socialecological systems paradigm (SES) exerts a substantial.intellectual influence within marine governance. We identify that an ontological.underpinning of the conceptualisation of participation within this paradigm results in the.absence of a coherent articulation of democratic legitimacy in marine governance.scholarship. We suggest that the development of a more nuanced and overt account of.democratic legitimacy is necessary to strengthening the application of SES-informed.marine governance practices</t>
  </si>
  <si>
    <t>[Fudge, Maree; Alexander, Karen; Ogier, Emily; Haward, Marcus] Univ Tasmania, Inst Marine &amp; Antarctic Studies, Private Bag 49, Hobart, Tas 7000, Australia; [Fudge, Maree; Alexander, Karen; Ogier, Emily; Leith, Peat; Haward, Marcus] Univ Tasmania, Ctr Marine Socioecol, Private Bag 49, Hobart, Tas 7000, Australia; [Leith, Peat] Univ Tasmania, Tasmanian Inst Agr, Private Bag 49, Hobart, Tas 7000, Australia</t>
  </si>
  <si>
    <t>Fudge, M (corresponding author), IMAS Hobart, Private Bag 129, Hobart, Tas 7001, Australia.</t>
  </si>
  <si>
    <t>maree.fudge@utas.edu.au</t>
  </si>
  <si>
    <t>Haward, Marcus/G-3369-2014; Alexander, Karen/O-7042-2017</t>
  </si>
  <si>
    <t>Ogier, Emily/0000-0001-6157-5279; Fudge, Maree/0000-0003-1327-0053; Alexander, Karen/0000-0001-8801-413X</t>
  </si>
  <si>
    <t>Australian Department of Educa-tion, Skills and Employment</t>
  </si>
  <si>
    <t>The study presented in this article was conducted as part of Maree Fudge's postdoctoral research, funded through a Research Training Program scholarship provided by the Australian Department of Educa-tion, Skills and Employment.</t>
  </si>
  <si>
    <t>1462-9011</t>
  </si>
  <si>
    <t>1873-6416</t>
  </si>
  <si>
    <t>ENVIRON SCI POLICY</t>
  </si>
  <si>
    <t>Environ. Sci. Policy</t>
  </si>
  <si>
    <t>10.1016/j.envsci.2021.09.015</t>
  </si>
  <si>
    <t>WJ1QB</t>
  </si>
  <si>
    <t>WOS:000708822900001</t>
  </si>
  <si>
    <t>Taylor, J; Devey, C; Le Saout, M; Petersen, S; Kwasnitschka, T; Frutos, I; Linse, K; Lörz, AN; Palgan, D; Tandberg, AH; Svavarsson, J; Thorhallsson, D; Tomkowicz, A; Egilsdóttir, H; Ragnarsson, SA; Renz, J; Markhaseva, EL; Gollner, S; Paulus, E; Kongsrud, J; Beermann, J; Kocot, KM; Meissner, K; Bartholomä, A; Hoffman, L; Vannier, P; Marteinsson, VP; Rapp, HT; Díaz-Agras, G; Tato, R; Brix, S</t>
  </si>
  <si>
    <t>Taylor, James; Devey, Colin; Le Saout, Morgane; Petersen, Sven; Kwasnitschka, Tom; Frutos, Inmaculada; Linse, Katrin; Loerz, Anne-Nina; Palgan, Dominik; Tandberg, Anne H.; Svavarsson, Jorundur; Thorhallsson, Daniel; Tomkowicz, Adrianna; Egilsdottir, Hronn; Ragnarsson, Stefan A.; Renz, Jasmin; Markhaseva, Elena L.; Gollner, Sabine; Paulus, Eva; Kongsrud, Jon; Beermann, Jan; Kocot, Kevin M.; Meissner, Karin; Bartholomae, Alexander; Hoffman, Leon; Vannier, Pauline; Marteinsson, Viggo P.; Rapp, Hans T.; Diaz-Agras, Guillermo; Tato, Ramiro; Brix, Saskia</t>
  </si>
  <si>
    <t>The Discovery and Preliminary Geological and Faunal Descriptions of Three New Steinaholl Vent Sites, Reykjanes Ridge, Iceland</t>
  </si>
  <si>
    <t>hydrothermal vent; VME; conservation; benthic fauna; infauna; bacteria; habitat; vent-associated</t>
  </si>
  <si>
    <t>MID-ATLANTIC RIDGE; GWEN HYDROTHERMAL VENT; DEEP-SEA; ANNELIDA POLYCHAETA; ISOPODS CRUSTACEA; NORTH-ATLANTIC; FIELD; COMMUNITIES; DIVERSITY; MOLLUSCA</t>
  </si>
  <si>
    <t>During RV MS Merian expedition MSM75, an international, multidisciplinary team explored the Reykjanes Ridge from June to August 2018. The first area of study, Steinaholl (150-350 m depth), was chosen based on previous seismic data indicating hydrothermal activity. The sampling strategy included ship- and AUV-mounted multibeam surveys, Remotely Operated Vehicle (ROV), Epibenthic Sledge (EBS), and van Veen grab (vV) deployments. Upon returning to Steinaholl during the final days of MSM75, hydrothermal vent sites were discovered using the ROV Phoca (Kiel, GEOMAR). Here we describe and name three new, distinct hydrothermal vent site vulnerable marine ecosystems (VMEs); Hafgufa, Stokkull, Lyngbakr. The hydrothermal vent sites consisted of multiple anhydrite chimneys with large quantities of bacterial mats visible. The largest of the three sites (Hafgufa) was mapped, and reconstructed in 3D. In total 23,310 individual biological specimens were sampled comprising 41 higher taxa. Unique fauna located in the hydrothermally venting areas included two putative new species of harpacticoid copepod (Tisbe sp. nov. and Amphiascus sp. nov.), as well as the sponge Lycopodina cupressiformis (Carter, 1874). Capitellidae Grube, 1862 and Dorvilleidae Chamberlin, 1919 families dominated hydrothermally influenced samples for polychaetes. Around the hydrothermally influenced sites we observed a notable lack of megafauna, with only a few species being present. While we observed hydrothermal associations, the overall species composition is very similar to that seen at other shallow water vent sites in the north of Iceland, such as the Mohns Ridge vent fields, particularly with peracarid crustaceans. We therefore conclude the community overall reflects the usual background fauna of Iceland rather than consisting of vent endemic communities as is observed in deeper vent systems, with a few opportunistic species capable of utilizing this specialist environment.</t>
  </si>
  <si>
    <t>[Taylor, James; Renz, Jasmin; Meissner, Karin; Brix, Saskia] Univ Hamburg, Senckenberg Meer, German Ctr Marine Biodivers Res DZMB, Bioctr Grindel,Ctr Nat Hist, Hamburg, Germany; [Devey, Colin; Le Saout, Morgane; Petersen, Sven; Kwasnitschka, Tom] GEOMAR Helmholtz Ctr Ocean Res Kiel, Kiel, Germany; [Frutos, Inmaculada] Univ Lodz, Dept Invertebrate Zool &amp; Hydrobiol, Lodz, Poland; [Linse, Katrin] British Antarctic Survey, Cambridge, England; [Loerz, Anne-Nina] Univ Hamburg, Inst Marine Ecosyst &amp; Fisheries Sci Ctr Earth Sys, Hamburg, Germany; [Palgan, Dominik; Tomkowicz, Adrianna] Univ Gdansk, Inst Oceanog, Gdynia, Poland; [Tandberg, Anne H.; Kongsrud, Jon] Univ Bergen, Univ Museum Bergen, Bergen, Norway; [Svavarsson, Jorundur; Thorhallsson, Daniel] Univ Iceland, Inst Biol, Reykjavik, Iceland; [Egilsdottir, Hronn; Ragnarsson, Stefan A.] Marine &amp; Freshwater Res Inst, Hafnarfjorour, Iceland; [Markhaseva, Elena L.] Russian Acad Sci, Zool Inst, St Petersburg, Russia; [Gollner, Sabine; Paulus, Eva] Royal Netherlands Inst Sea Res, Dept Ocean Syst, Bremerhaven, Germany; [Gollner, Sabine; Paulus, Eva] Univ Utrecht, Texel, Netherlands; [Beermann, Jan] Alfred Wegener Inst, Helmholtz Ctr Polar &amp; Marine Res, Bremerhaven, Germany; [Beermann, Jan] Helmholtz Inst Funct Marine Biodivers, Oldenburg, Germany; [Kocot, Kevin M.] Univ Alabama, Dept Biol Sci, Tuscaloosa, AL USA; [Kocot, Kevin M.] Univ Alabama, Alabama Museum Nat Hist, Tuscaloosa, AL USA; [Bartholomae, Alexander; Hoffman, Leon] Dept Marine Geol, Senckenberg, Germany; [Vannier, Pauline; Marteinsson, Viggo P.] MATIS, Dept Res &amp; Innovat, Reykjavik, Iceland; [Vannier, Pauline; Marteinsson, Viggo P.] Univ Iceland, Fac Food Sci &amp; Nutr, Reykjavik, Iceland; [Rapp, Hans T.] Univ Bergen, Dept Biol Sci &amp; KG Jebsen Ctr Deep Sea Res, Bergen, Norway; [Diaz-Agras, Guillermo; Tato, Ramiro] Univ Santiago de Compostela, Estn Biol Marina La Grana, La Coruna, Spain</t>
  </si>
  <si>
    <t>Senckenberg Gesellschaft fur Naturforschung (SGN); University of Hamburg; Helmholtz Association; GEOMAR Helmholtz Center for Ocean Research Kiel; University of Lodz; UK Research &amp; Innovation (UKRI); Natural Environment Research Council (NERC); NERC British Antarctic Survey; University of Hamburg; Fahrenheit Universities; University of Gdansk; University of Bergen; University of Iceland; Marine &amp; Freshwater Research Institute (MFRI); Russian Academy of Sciences; Zoological Institute of the Russian Academy of Sciences; Utrecht University; Helmholtz Association; Alfred Wegener Institute, Helmholtz Centre for Polar &amp; Marine Research; University of Alabama System; University of Alabama Tuscaloosa; University of Alabama System; University of Alabama Tuscaloosa; University of Iceland; University of Bergen; Universidade de Santiago de Compostela</t>
  </si>
  <si>
    <t>Taylor, J (corresponding author), Univ Hamburg, Senckenberg Meer, German Ctr Marine Biodivers Res DZMB, Bioctr Grindel,Ctr Nat Hist, Hamburg, Germany.</t>
  </si>
  <si>
    <t>james.taylor@senckenberg.de</t>
  </si>
  <si>
    <t>Petersen, Sven/N-9528-2016; Kocot, Kevin/K-9087-2016; Paulus, Eva/AHD-2972-2022; Le Saout, Morgane/AAQ-4845-2020; Díaz-Agras, Guillermo/ABG-7365-2021; Tandberg, Anne/AFP-4976-2022; Vannier, Pauline/GZZ-4844-2022; Tato, Ramiro/G-3890-2016; Palgan, Dominik/D-7831-2016; Devey, Colin/I-3898-2016</t>
  </si>
  <si>
    <t>Le Saout, Morgane/0000-0003-0398-073X; Díaz-Agras, Guillermo/0000-0002-3609-3689; Tandberg, Anne/0000-0003-3470-587X; Vannier, Pauline/0000-0002-7747-8534; Marteinsson, Viggo/0000-0001-8340-821X; Tato, Ramiro/0000-0002-4689-9192; Palgan, Dominik/0000-0003-3876-6274; Frutos, Inmaculada/0000-0003-0428-5261; Kwasnitschka, Tom/0000-0003-1046-1604; Beermann, Jan/0000-0001-5894-6817; Devey, Colin/0000-0002-0930-7274</t>
  </si>
  <si>
    <t>German Science Foundation [MSM75, BR3843/5-1]; Norwegian Species Initiative project [16_18-NorAmph2]; European Unions Horizon 2020 research and innovation programme through the SponGES project [679849]; NERC [bas0100036] Funding Source: UKRI</t>
  </si>
  <si>
    <t>German Science Foundation(German Research Foundation (DFG)); Norwegian Species Initiative project; European Unions Horizon 2020 research and innovation programme through the SponGES project; NERC(UK Research &amp; Innovation (UKRI)Natural Environment Research Council (NERC))</t>
  </si>
  <si>
    <t>Funding The biological part of cruise MSM75 and the follow-up sorting workshop was financed by the German Science Foundation under grant BR3843/5-1 (SB). The costs for the geological dives of ROV and AUV on the cruise were provided by GEOMAR/Helmholtz-Foundation (to CD). JT was completely supported by the German Science Foundation under contract no. BR 3843/5-1. HR and AT received funding from the European Unions Horizon 2020 research and innovation programme through the SponGES project (grant agreement No 679849). AT payed in part by Norwegian Species Initiative project 16_18-NorAmph2. This document reflects only the authors view and the Executive Agency for Small and Medium-sized Enterprises (EASME) is not responsible for any use that may be made of the information it contains.</t>
  </si>
  <si>
    <t>OCT 5</t>
  </si>
  <si>
    <t>10.3389/fmars.2021.520713</t>
  </si>
  <si>
    <t>WM3EB</t>
  </si>
  <si>
    <t>WOS:000710970700001</t>
  </si>
  <si>
    <t>Van de Putte, AP; Griffiths, HJ; Brooks, C; Bricher, P; Sweetlove, M; Halfter, S; Raymond, B</t>
  </si>
  <si>
    <t>Van de Putte, Anton P.; Griffiths, Huw J.; Brooks, Cassandra; Bricher, Pip; Sweetlove, Maxime; Halfter, Svenja; Raymond, Ben</t>
  </si>
  <si>
    <t>From Data to Marine Ecosystem Assessments of the Southern Ocean: Achievements, Challenges, and Lessons for the Future</t>
  </si>
  <si>
    <t>Southern Ocean; open science; MEASO; biodiversity data accessibility and use; action ecology</t>
  </si>
  <si>
    <t>ANTARCTIC PENINSULA; VARIABILITY; FRAMEWORK; SEALS</t>
  </si>
  <si>
    <t>Southern Ocean ecosystems offer numerous benefits to human society and the global environment, and maintaining them requires well-informed and effective ecosystem-based management. Up to date and accurate information is needed on the status of species, communities, habitats and ecosystems and the impacts of fisheries, tourism and climate change. This information can be used to generate indicators and undertake assessments to advise decision-makers. Currently, most marine assessments are derivative: reliant on the review of published peer-reviewed literature. More timely and accurate information for decision making requires an integrated Marine Biological Observing and Informatics System that combines and distributes data. For such a system to work, data needs to be shared according to the FAIR principles (Findable, Accessible, Interoperable, and Reusable), use transparent and reproducible science, adhere to the principle of action ecology and complement global initiatives. Here we aim to provide an overview of the components of such a system currently in place for the Southern Ocean, the existing gaps and a framework for a way forward.</t>
  </si>
  <si>
    <t>[Van de Putte, Anton P.; Sweetlove, Maxime] Royal Belgian Inst Nat Sci, OD Nat, Brussels, Belgium; [Van de Putte, Anton P.] Univ Libre Bruxelles, Marine Biol Lab, Brussels, Belgium; [Van de Putte, Anton P.] Katholieke Univ Leuven, Lab Biodivers &amp; Evolutionary Genom, Leuven, Belgium; [Griffiths, Huw J.] British Antarctic Survey, Cambridge, England; [Brooks, Cassandra] Univ Colorado, Environm Studies Program, Boulder, CO 80309 USA; [Bricher, Pip] Univ Tasmania, Southern Ocean Observing Syst, Hobart, Tas, Australia; [Halfter, Svenja; Raymond, Ben] Univ Tasmania, Inst Marine &amp; Antarctic Studies, Hobart, Tas, Australia; [Raymond, Ben] Australian Antarctic Div, Dept Agr Water &amp; Environm, Kingston, Tas, Australia</t>
  </si>
  <si>
    <t>Royal Belgian Institute of Natural Sciences; Universite Libre de Bruxelles; KU Leuven; UK Research &amp; Innovation (UKRI); Natural Environment Research Council (NERC); NERC British Antarctic Survey; University of Colorado System; University of Colorado Boulder; University of Tasmania; University of Tasmania; Australian Antarctic Division</t>
  </si>
  <si>
    <t>Van de Putte, AP (corresponding author), Royal Belgian Inst Nat Sci, OD Nat, Brussels, Belgium.;Van de Putte, AP (corresponding author), Univ Libre Bruxelles, Marine Biol Lab, Brussels, Belgium.;Van de Putte, AP (corresponding author), Katholieke Univ Leuven, Lab Biodivers &amp; Evolutionary Genom, Leuven, Belgium.</t>
  </si>
  <si>
    <t>avandeputte@naturalsciences.be</t>
  </si>
  <si>
    <t>Griffiths, Huw J/D-4234-2009; Bricher, Pip/JEO-3302-2023; Halfter, Svenja/AGW-5810-2022</t>
  </si>
  <si>
    <t>Griffiths, Huw J/0000-0003-1764-223X; Halfter, Svenja/0000-0002-0480-0350; Van de Putte, Anton/0000-0003-1336-5554</t>
  </si>
  <si>
    <t>Belgian Science Policy Office (BELSPO) [FR/36/AN1/AntaBIS]; British Antarctic Survey and NERC; Australian Research Council [FL160100131]; Pew Charitable Trusts; National Science Foundation</t>
  </si>
  <si>
    <t>Belgian Science Policy Office (BELSPO)(Belgian Federal Science Policy Office); British Antarctic Survey and NERC; Australian Research Council(Australian Research Council); Pew Charitable Trusts; National Science Foundation(National Science Foundation (NSF))</t>
  </si>
  <si>
    <t>nbsp;AV and MS were funded by the Belgian Science Policy Office (BELSPO, contract noFR/36/AN1/AntaBIS) in the Framework of EU-Lifewatch. HG funded by the British Antarctic Survey and NERC. SH was supported by the Australian Research Council through a Laureate awarded to Philip W. Boyd, IMAS, UTAS, Australia (FL160100131). CB receives support through the Pew Charitable Trusts and the National Science Foundation.</t>
  </si>
  <si>
    <t>10.3389/fmars.2021.637063</t>
  </si>
  <si>
    <t>WK5GT</t>
  </si>
  <si>
    <t>WOS:000709754500001</t>
  </si>
  <si>
    <t>Wang, RX; Clegg, JA; Scott, PM; Larkin, CS; Deng, FF; Thomas, AL; Zheng, XY; Piotrowski, AM</t>
  </si>
  <si>
    <t>Wang, Ruixue; Clegg, Josephine A.; Scott, Peter M.; Larkin, Christina S.; Deng, Feifei; Thomas, Alexander L.; Zheng, Xin-Yuan; Piotrowski, Alexander M.</t>
  </si>
  <si>
    <t>Reversible scavenging and advection - Resolving the neodymium paradox in the South Atlantic</t>
  </si>
  <si>
    <t>Neodymium isotopes; Neodymium cycling; Nd paradox; South Atlantic; GEOTRACES</t>
  </si>
  <si>
    <t>RARE-EARTH-ELEMENTS; ND ISOTOPE COMPOSITIONS; OCEAN CIRCULATION; SEAWATER; WATERS; DUST; DISTRIBUTIONS; SECTOR; PB; EPSILON(ND)</t>
  </si>
  <si>
    <t>Significant gaps in our understanding of the oceanic cycling of neodymium (Nd) and the other rare earth elements (REEs) remain despite decades of research. One important observation which has not been adequately explained is that the concentration of dissolved Nd typically increases with depth, similar to nutrient profiles, while Nd isotopes appear to reflect conservative water mass mixing in the intermediate and deep ocean; this has been termed the Nd paradox. Here we present a detailed study of the dissolved Nd isotopic composition across a section at 40 degrees S in the South Atlantic, collected by UK GEOTRACES cruise (section GA10). The South Atlantic represents a natural laboratory for our understanding of spatial controls on ocean geochemistry, because of the large variability of inputs, spatial differences in particulate cycling, and horizontal advection and mixing at depth between major northern and southern-sourced water masses. This variability has also made the South Atlantic a critical region subject to intense investigations that aim at reconstructing past changes in ocean processes, such as changes in biological productivity and deep ocean circulation. Our Nd isotope results from the GA10 section provide observational data show the signal of water mass mixing and reversible scavenging. In the surface ocean (0-600 m), Nd isotopic compositions are distinct between different surface ocean currents and spatially can be tied to various continental sources. In the intermediate ocean (600-2500 m), the vertical Nd isotope distribution exhibits distinct signals of different water masses by horizontal advection, including upper North Atlantic Deep Water and Antarctic Intermediate Water formed in the Atlantic Ocean or the Indian Ocean. The Nd isotope distribution also reflects influence of reversible scavenging that smears the signals downwards in the water column (i.e., offset to more radio genic values). In the deep ocean below 2500 m, Nd isotope distribution largely follows conservative water mass mixing model. Nd concentration in the deep ocean, however, deviates from conservative mixing and increases constantly with depth. We also observe that Nd isotopes appear to be shifted towards the composition of overlying water masses. These observations suggest that reversible scavenging of Nd onto organic and other types of particles is a major vertical process throughout the water column. We also suggest that this process can resolve the Nd paradox of decoupling of Nd concentration and isotopic composition due to mixing dynamics. Because abyssal water masses already have a high Nd concentration, a given amount of Nd added from the vertical process has less of an effect on Nd isotopic compositions in deep water masses than it does for intermediate water masses which have comparatively low Nd concentration. Crown Copyright (C) 2021 Published by Elsevier Ltd. All rights reserved.</t>
  </si>
  <si>
    <t>[Wang, Ruixue; Clegg, Josephine A.; Larkin, Christina S.; Piotrowski, Alexander M.] Univ Cambridge, Dept Earth Sci, Cambridge, England; [Scott, Peter M.; Deng, Feifei; Thomas, Alexander L.; Zheng, Xin-Yuan] Univ Oxford, Dept Earth Sci, Oxford, England; [Larkin, Christina S.] Univ Southampton, Natl Oceanog Ctr, Sch Ocean &amp; Earth Sci, Southampton, Hants, England; [Scott, Peter M.] Univ Western Australia, Ctr Microscopy Characterisat &amp; Anal, Nedlands, WA, Australia; [Deng, Feifei] Helmholtz Zentrum Geesthacht, Geesthacht, Germany; [Thomas, Alexander L.] Univ Edinburgh, Sch GeoSci, Edinburgh, Midlothian, Scotland; [Zheng, Xin-Yuan] Univ Minnesota, Dept Earth &amp; Environm Sci, Minneapolis, MN 55455 USA</t>
  </si>
  <si>
    <t>University of Cambridge; University of Oxford; University of Southampton; NERC National Oceanography Centre; University of Western Australia; Helmholtz Association; Helmholtz-Zentrum Hereon; University of Edinburgh; University of Minnesota System; University of Minnesota Twin Cities</t>
  </si>
  <si>
    <t>Wang, RX (corresponding author), Univ Cambridge, Dept Earth Sci, Cambridge, England.</t>
  </si>
  <si>
    <t>rw581@cam.ac.uk</t>
  </si>
  <si>
    <t>; Scott, Peter/N-4355-2017</t>
  </si>
  <si>
    <t>Thomas, Alexander/0000-0002-0734-9593; Scott, Peter/0000-0002-1352-5901; Deng, Feifei/0000-0002-5139-4631; Zheng, Xin-Yuan/0000-0002-7959-8046; Larkin, Christina/0000-0002-6420-0461</t>
  </si>
  <si>
    <t>NERC Consortium grant [NE/H008713/1]; NERC; US National Science Foundation [2049554]; CSC Cambridge International Scholarship - Cambridge TRUST; CSC Cambridge International Scholarship - China Scholarship Council; Division Of Ocean Sciences; Directorate For Geosciences [2049554] Funding Source: National Science Foundation; NERC [NE/H008713/1] Funding Source: UKRI</t>
  </si>
  <si>
    <t>NERC Consortium grant; NERC(UK Research &amp; Innovation (UKRI)Natural Environment Research Council (NERC)); US National Science Foundation(National Science Foundation (NSF)); CSC Cambridge International Scholarship - Cambridge TRUST; CSC Cambridge International Scholarship - China Scholarship Council; Division Of Ocean Sciences; Directorate For Geosciences(National Science Foundation (NSF)NSF - Directorate for Geosciences (GEO)); NERC(UK Research &amp; Innovation (UKRI)Natural Environment Research Council (NERC))</t>
  </si>
  <si>
    <t>The authors thank the captain, officers, crew, and scientific party during the UK GEOTRACES Legs D357 and JC068. We also specifically thank Gideon M. Henderson for organising the UK GEOTRACES effort, being chief scientist on Legs D357 and JC068, and for being lead PI on NERC Consortium grant (NE/H008713/1) Ocean Micronutrient Cycles: UK GEOTRACES and acknowledge the support of NERC through this Consortium grant. We thank Victoria Rennie for analysis of some initial samples at University of Cambridge. X.-Y. Zheng acknowledges support from US National Science Foundation (Award 2049554). Ruixue Wang is supported by CSC Cambridge International Scholarship jointly funded by Cambridge TRUST and China Scholarship Council. We also thank three anonymous reviewers and the editor, Tina van de Flierdt, for their insightful and helpful comments which greatly improved this manuscript.</t>
  </si>
  <si>
    <t>10.1016/j.gca.2021.09.015</t>
  </si>
  <si>
    <t>WG3GB</t>
  </si>
  <si>
    <t>WOS:000706883100001</t>
  </si>
  <si>
    <t>Bach, LT; Boyd, PW</t>
  </si>
  <si>
    <t>Bach, Lennart T.; Boyd, Philip W.</t>
  </si>
  <si>
    <t>Seeking natural analogs to fast-forward the assessment of marine CO2 removal</t>
  </si>
  <si>
    <t>negative emissions; artificial upwelling; ocean iron fertilization; ocean alkalinity enhancement; ocean afforestation</t>
  </si>
  <si>
    <t>CARBON-DIOXIDE REMOVAL; IRON FERTILIZATION; SOUTHERN-OCEAN; SEQUESTRATION; ATLANTIC; SEA; CYCLE</t>
  </si>
  <si>
    <t>Mitigating global climate change will require gigaton-scale carbon dioxide removal (CDR) as a supplement to rapid emissions reduction. The oceans cover 71% of the Earth surface and have the potential to provide much of the required CDR. However, none of the proposed marine CDR (mCDR) methods is sufficiently well understood to determine their real-world efficiency and environmental side effects. Here, we argue that using natural mCDR analogs should become the third interconnecting pillar in the mCDR assessment as they bridge the gap between numerical simulations (i.e., large scale/reduced complexity) and experimental studies (i.e., small scale/high complexity). Natural mCDR analogs occur at no cost, can provide a wealth of data to inform mCDR, and do not require legal permission or social license for their study. We propose four simple criteria to identify particularly useful analogs: 1) large scale, 2) abruptness of perturbation, 3) availability of unperturbed control sites, and 4) reoccurrence. Based on these criteria, we highlight four examples: 1) equatorial upwelling as a natural analog for artificial upwelling, 2) downstream of Kerguelen Island for ocean iron fertilization, 3) the Black and Caspian Seas for ocean alkalinity enhancement, and 4) the Great Atlantic Sargassum Belt for ocean afforestation. These natural analogs provide a reality check for experimental assessments and numerical modeling of mCDR. Ultimately, projections of mCDR efficacy and sustainability supported by observations from natural analogs will provide the real world context for the public debate and will facilitate political decisions on mCDR implementation. We anticipate that a rigorous investigation of natural analogs will fast-forward the urgently needed assessment of mCDR.</t>
  </si>
  <si>
    <t>[Bach, Lennart T.; Boyd, Philip W.] Univ Tasmania, Inst Marine &amp; Antarctic Studies, Hobart, Tas 7004, Australia</t>
  </si>
  <si>
    <t>Bach, LT (corresponding author), Univ Tasmania, Inst Marine &amp; Antarctic Studies, Hobart, Tas 7004, Australia.</t>
  </si>
  <si>
    <t>lennart.bach@utas.edu.au</t>
  </si>
  <si>
    <t>Boyd, Philip/0000-0001-7850-1911; Bach, Lennart/0000-0003-0202-3671</t>
  </si>
  <si>
    <t>Australian Research Council [FT200100846, FL160100131]; Australian Research Council [FL160100131, FT200100846] Funding Source: Australian Research Council</t>
  </si>
  <si>
    <t>We thank Norman Kuring (NASA's Ocean Biology Processing Group) , Jim Gower, and the NASA GES DISC for providing, developing, and maintaining satellite pictures or data; and two reviewers, who helped to improve this man-uscript, for their thoughtful comments. This study was funded by the Australian Research Council by Future Fellowship FT200100846 (to L.T.B.) and Laureate Fellowship FL160100131 (to P.W.B.) .</t>
  </si>
  <si>
    <t>1091-6490</t>
  </si>
  <si>
    <t>e2106147118</t>
  </si>
  <si>
    <t>10.1073/pnas.2106147118</t>
  </si>
  <si>
    <t>WE9ID</t>
  </si>
  <si>
    <t>Green Published, Bronze</t>
  </si>
  <si>
    <t>WOS:000705930300008</t>
  </si>
  <si>
    <t>Spolaor, A; Burgay, F; Fernandez, RP; Turetta, C; Cuevas, CA; Kim, K; Kinnison, DE; Lamarque, JF; de Blasi, F; Barbaro, E; Corella, JP; Vallelonga, P; Frezzotti, M; Barbante, C; Saiz-Lopez, A</t>
  </si>
  <si>
    <t>Spolaor, Andrea; Burgay, Francois; Fernandez, Rafael P.; Turetta, Clara; Cuevas, Carlos A.; Kim, Kitae; Kinnison, Douglas E.; Lamarque, Jean-Francois; de Blasi, Fabrizio; Barbaro, Elena; Corella, Juan Pablo; Vallelonga, Paul; Frezzotti, Massimo; Barbante, Carlo; Saiz-Lopez, Alfonso</t>
  </si>
  <si>
    <t>Antarctic ozone hole modifies iodine geochemistry on the Antarctic Plateau</t>
  </si>
  <si>
    <t>DOME-C; SEA-ICE; SNOW ACCUMULATION; MOLECULAR-IODINE; EAST ANTARCTICA; CHEMISTRY; EMISSIONS; BROMINE; VARIABILITY; TROPOSPHERE</t>
  </si>
  <si>
    <t>Polar stratospheric ozone has decreased since the 1970s due to anthropogenic emissions of chlorofluorocarbons and halons, resulting in the formation of an ozone hole over Antarctica. The effects of the ozone hole and the associated increase in incoming UV radiation on terrestrial and marine ecosystems are well established; however, the impact on geochemical cycles of ice photoactive elements, such as iodine, remains mostly unexplored. Here, we present the first iodine record from the inner Antarctic Plateau (Dome C) that covers approximately the last 212 years (1800-2012 CE). Our results show that the iodine concentration in ice remained constant during the pre-ozone hole period (1800-1974 CE) but has declined twofold since the onset of the ozone hole era (similar to 1975 CE), closely tracking the total ozone evolution over Antarctica. Based on ice core observations, laboratory measurements and chemistry-climate model simulations, we propose that the iodine decrease since similar to 1975 is caused by enhanced iodine re-emission from snowpack due to the ozone hole-driven increase in UV radiation reaching the Antarctic Plateau. These findings suggest the potential for ice core iodine records from the inner Antarctic Plateau to be as an archive for past stratospheric ozone trends. The Antarctic ozone hole has had far-reaching impacts, but effects on geochemical cycles in polar regions is still unknown. Iodine records from the interior of Antarctica provide evidence for human alteration of the natural geochemical cycle of this essential element.</t>
  </si>
  <si>
    <t>[Spolaor, Andrea; Turetta, Clara; de Blasi, Fabrizio; Barbaro, Elena; Barbante, Carlo] CNR, ISP, Inst Polar Sci, Campus Sci Via Torino 155, I-30172 Venice, Italy; [Spolaor, Andrea; Burgay, Francois; Turetta, Clara; de Blasi, Fabrizio; Barbaro, Elena; Barbante, Carlo] Univ Ca Foscari Venice, Dept Environm Sci Informat &amp; Stat, Via Torino 155, I-30172 Venice, Italy; [Burgay, Francois] Paul Scherrer Inst, Environm Chem Lab, CH-5232 Villigen, Switzerland; [Fernandez, Rafael P.] FCEN UNCuyo, Inst Interdisciplinary Sci Natl Res Council ICB, CONICET, RA-5501 Mendoza, Argentina; [Cuevas, Carlos A.; Corella, Juan Pablo; Saiz-Lopez, Alfonso] CSIC, Inst Phys Chem Rocasolano, Dept Atmospher Chem &amp; Climate, Madrid, Spain; [Kim, Kitae] Korea Polar Res Inst, Incheon 21990, South Korea; [Kinnison, Douglas E.; Lamarque, Jean-Francois] Natl Ctr Atmospher Res, POB 3000, Boulder, CO 80307 USA; [Corella, Juan Pablo] CIEMAT, Dept Environm, Av Complutense 40, Madrid 28040, Spain; [Vallelonga, Paul] Univ Copenhagen, Niels Bohr Inst, Phys Ice Climate &amp; Earth, Tagensvej 16, DK-2200 Copenhagen N, Denmark; [Vallelonga, Paul] Univ Western Australia, UWA Oceans Inst, Crawley, WA 6009, Australia; [Frezzotti, Massimo] Univ Roma Tre, Dept Sci, Largo S Leonardo Murialdo 1, I-00146 Rome, Italy</t>
  </si>
  <si>
    <t>Consiglio Nazionale delle Ricerche (CNR); Istituto di Scienze Polari (ISP-CNR); Universita Ca Foscari Venezia; Swiss Federal Institutes of Technology Domain; Paul Scherrer Institute; Consejo Nacional de Investigaciones Cientificas y Tecnicas (CONICET); Consejo Superior de Investigaciones Cientificas (CSIC); CSIC - Instituto de Quimica Fisica Rocasolano (IQFR); Korea Polar Research Institute (KOPRI); National Center Atmospheric Research (NCAR) - USA; Centro de Investigaciones Energeticas, Medioambientales Tecnologicas; University of Copenhagen; Niels Bohr Institute; University of Western Australia; Italfarmaco; Roma Tre University</t>
  </si>
  <si>
    <t>Spolaor, A (corresponding author), CNR, ISP, Inst Polar Sci, Campus Sci Via Torino 155, I-30172 Venice, Italy.;Spolaor, A (corresponding author), Univ Ca Foscari Venice, Dept Environm Sci Informat &amp; Stat, Via Torino 155, I-30172 Venice, Italy.;Saiz-Lopez, A (corresponding author), CSIC, Inst Phys Chem Rocasolano, Dept Atmospher Chem &amp; Climate, Madrid, Spain.</t>
  </si>
  <si>
    <t>andrea.spolaor@cnr.it; a.saiz@csic.es</t>
  </si>
  <si>
    <t>Corella, Juan Pablo/CAI-6873-2022; Barbante, Carlo/B-3195-2011; Fernandez, Rafael Pedro/ABF-2323-2020; Vallelonga, Paul/I-9650-2016; Saiz-Lopez, Alfonso/B-3759-2015; Turetta, Clara/O-2849-2015; Barbaro, Elena/AAX-8809-2020; Corella, Juan Pablo/CAG-0621-2022; Lamarque, Jean-Francois/L-2313-2014</t>
  </si>
  <si>
    <t>Corella, Juan Pablo/0000-0001-5127-9011; Fernandez, Rafael Pedro/0000-0002-4114-5500; Saiz-Lopez, Alfonso/0000-0002-0060-1581; Turetta, Clara/0000-0003-3130-2901; Barbaro, Elena/0000-0003-2639-7475; Corella, Juan Pablo/0000-0001-5127-9011; Spolaor, Andrea/0000-0001-8635-9193; de Blasi, Fabrizio/0000-0002-3915-0124; Barbante, Carlo/0000-0003-4177-2288; Lamarque, Jean-Francois/0000-0002-4225-5074; Burgay, Francois/0000-0002-2657-6900</t>
  </si>
  <si>
    <t>European Union [689443]; Programma Nazionale per la Ricerca in Antartide (PNRA) [PNRA16_00295]; European Research Council Executive Agency under the European Union's Horizon 2020 Research and Innovation programme [ERC-2016-COG 726349 CLIMAHAL]; National Science Foundation [1852977]; CONICET-UNCuyo [SIIP-06/M111]; ANPCyT [PICT 2015-0714]; Korea Polar Research Institute (KOPRI) project [PE20030]; Grant to Department of Science, Roma Tre University (MIUR-Italy Dipartimenti di Eccellenza)</t>
  </si>
  <si>
    <t>European Union(European Union (EU)); Programma Nazionale per la Ricerca in Antartide (PNRA); European Research Council Executive Agency under the European Union's Horizon 2020 Research and Innovation programme(European Research Council (ERC)); National Science Foundation(National Science Foundation (NSF)); CONICET-UNCuyo; ANPCyT(ANPCyT); Korea Polar Research Institute (KOPRI) project(Korea Polar Research Institute of Marine Research Placement (KOPRI)); Grant to Department of Science, Roma Tre University (MIUR-Italy Dipartimenti di Eccellenza)</t>
  </si>
  <si>
    <t>This project received funding from the European Union's Horizon 2020 Research and Innovation program under grant agreement no. 689443 via project iCUPE (Integrative and Comprehensive Understanding on Polar Environments), part of the European Commission (ERA-PLANET) and by the Programma Nazionale per la Ricerca in Antartide (PNRA, project number PNRA16_00295). This study also received funding from the European Research Council Executive Agency under the European Union's Horizon 2020 Research and Innovation programme (Project 'ERC-2016-COG 726349 CLIMAHAL'). NCAR is sponsored by the National Science Foundation under Grant Number 1852977. R.P.F. would like to express thanks for the financial support from CONICET-UNCuyo (SIIP-06/M111) and ANPCyT (PICT 2015-0714). This research was also supported by the Korea Polar Research Institute (KOPRI) project (PE20030) and by the Grant to Department of Science, Roma Tre University (MIUR-Italy Dipartimenti di Eccellenza).</t>
  </si>
  <si>
    <t>10.1038/s41467-021-26109-x</t>
  </si>
  <si>
    <t>WC1ES</t>
  </si>
  <si>
    <t>WOS:000704007700009</t>
  </si>
  <si>
    <t>Schroeter, B; Green, TGA; Pintado, A; Türk, R; Sancho, LG</t>
  </si>
  <si>
    <t>Schroeter, Burkhard; Green, T. G. Allan; Pintado, Ana; Turk, Roman; Sancho, Leopoldo G.</t>
  </si>
  <si>
    <t>Summer activity patterns for a moss and lichen in the maritime Antarctic with respect to altitude</t>
  </si>
  <si>
    <t>Chlorophyll fluorescence; Microclimate; Photosynthesis; Poikilohydric; PSII activity; Altitudinal gradient</t>
  </si>
  <si>
    <t>SOUTHERN VICTORIA LAND; TERRESTRIAL VEGETATION; ROSS SEA; TAYLOR VALLEY; GROWTH-RATES; GAS-EXCHANGE; CAPE HALLETT; DRY VALLEYS; MICROCLIMATE; FLUORESCENCE</t>
  </si>
  <si>
    <t>There is considerable scientific interest as to how terrestrial biodiversity in Antarctica might respond, or be expected to respond, to climate change. The two species of vascular plant confined to the Antarctic Peninsula have shown clear gains in density and range extension. However, little information exists for the dominant components of the flora, lichens and bryophytes. One approach has been to look at change in biodiversity using altitude as a proxy for temperature change and previous results for Livingston Island suggested that temperature was the controlling factor. We have extended this study at the same site by using chlorophyll fluorometers to monitor activity and microclimate of the lichen, Usnea aurantiaco-atra, and the moss, Hymenoloma crispulum. We confirmed the same lapse rate in temperature but show that changes in water relations with altitude is probably the main driver. There were differences in water source with U. aurantiaco-atra benefitting from water droplet harvesting and the species performed substantially better at the summit. In contrast, activity duration, chlorophyll fluorescence and photosynthetic modelling all show desiccation to have a large negative impact on the species at the lowest site. We conclude that water relations are the main drivers of biodiversity change along the altitudinal gradient with nutrients, not measured here, as another possible contributor.</t>
  </si>
  <si>
    <t>[Schroeter, Burkhard] Leibniz Inst Sci &amp; Math Educ IPN, D-24098 Kiel, Germany; [Green, T. G. Allan] Univ Waikato, Biol Sci, Private Bag 3105, Hamilton, New Zealand; [Green, T. G. Allan; Pintado, Ana; Sancho, Leopoldo G.] Univ Complutense, Fac Farm, Sect Bot, Madrid 28040, Spain; [Turk, Roman] Salzburg Univ, Dept Organism Biol, Salzburg, Austria</t>
  </si>
  <si>
    <t>Leibniz Institut fur die Padagogik der Naturwissenschaften und Mathematik an der Universitat Kiel (IPN); University of Waikato; Complutense University of Madrid; Salzburg University</t>
  </si>
  <si>
    <t>Green, TGA (corresponding author), Univ Waikato, Biol Sci, Private Bag 3105, Hamilton, New Zealand.;Green, TGA; Sancho, LG (corresponding author), Univ Complutense, Fac Farm, Sect Bot, Madrid 28040, Spain.</t>
  </si>
  <si>
    <t>greentga@waikato.ac.nz; sancholg@ucm.es</t>
  </si>
  <si>
    <t>SANCHO, LEOPOLDO/G-9120-2015</t>
  </si>
  <si>
    <t>SANCHO, LEOPOLDO/0000-0002-4751-7475</t>
  </si>
  <si>
    <t>Deutsche Forschungs-Gemeinschaft [DFG SCHR 473/ 4-7]; Spanish MCI (ANTEX) [REN2003-07366-C02-01]; Ramon y Cajal Fellowship at Biologia Vegetal II, Farmacia, Universidad Complutense, Madrid, Spain; FRST grant; Spanish MCI [PID2019-105469RB-C21]</t>
  </si>
  <si>
    <t>Deutsche Forschungs-Gemeinschaft(German Research Foundation (DFG)); Spanish MCI (ANTEX); Ramon y Cajal Fellowship at Biologia Vegetal II, Farmacia, Universidad Complutense, Madrid, Spain; FRST grant; Spanish MCI(Spanish Government)</t>
  </si>
  <si>
    <t>BS gratefully acknowledges financial support by Deutsche Forschungs-Gemeinschaft (DFG SCHR 473/ 4-7) and by Spanish MCI (ANTEX, REN2003-07366-C02-01). LGS and AP were supported by Spanish MCI (PID2019-105469RB-C21), we also thank the staff of the Spanish Antarctic Station, Juan Carlos I, for their support. TGAG was supported by Ramon y Cajal Fellowship at Biologia Vegetal II, Farmacia, Universidad Complutense, Madrid, Spain, and by a FRST grant (Understanding, valuing and protecting Antarctica's unique terrestrial ecosystems: predicting biocomplexity in Dry Valley ecosystems) during the writing of this paper. Permits for the research came from the Spanish Polar Committee (reference number: CPE-EIA-1999B). The constructive comments on this paper by Dr. Helga Bultmann and two other anonymous reviewers are gratefully acknowledged.</t>
  </si>
  <si>
    <t>10.1007/s00300-021-02939-9</t>
  </si>
  <si>
    <t>WOS:000703808500001</t>
  </si>
  <si>
    <t>Bunde, A; Ludescher, J; Schellnhuber, HJ</t>
  </si>
  <si>
    <t>Bunde, Armin; Ludescher, Josef; Schellnhuber, Hans Joachim</t>
  </si>
  <si>
    <t>How to determine the statistical significance of trends in seasonal records: application to Antarctic temperatures</t>
  </si>
  <si>
    <t>Seasonal records; Persistence; Trends; Statistical significance; Multiple testing</t>
  </si>
  <si>
    <t>LONG-RANGE CORRELATIONS; SEA-ICE EXTENT; TIPPING POINTS; TERM-MEMORY; PERSISTENCE; OZONE</t>
  </si>
  <si>
    <t>We consider trends in the m seasonal subrecords of a record. To determine the statistical significance of the m trends, one usually determines the p value of each season either numerically or analytically and compares it with a significance level (alpha) over tilde. We show in great detail for short- and long-term persistent records that this procedure, which is standard in climate science, is inadequate since it produces too many false positives (false discoveries). We specify, on the basis of the family wise error rate and by adapting ideas from multiple testing correction approaches, how the procedure must be changed to obtain more suitable significance criteria for the m trends. Our analysis is valid for data with all kinds of persistence. Specifically for long-term persistent data, we derive simple analytical expressions for the quantities of interest, which allow to determine easily the statistical significance of a trend in a seasonal record. As an application, we focus on 17 Antarctic station data. We show that only four trends in the seasonal temperature data are outside the bounds of natural variability, in marked contrast to earlier conclusions.</t>
  </si>
  <si>
    <t>[Bunde, Armin] Justus Liebig Univ Giessen, Inst Theoret Phys, D-35392 Giessen, Germany; [Ludescher, Josef; Schellnhuber, Hans Joachim] Potsdam Inst Climate Impact Res, D-14473 Potsdam, Germany</t>
  </si>
  <si>
    <t>Justus Liebig University Giessen; Potsdam Institut fur Klimafolgenforschung</t>
  </si>
  <si>
    <t>Ludescher, J (corresponding author), Potsdam Inst Climate Impact Res, D-14473 Potsdam, Germany.</t>
  </si>
  <si>
    <t>josef.ludescher@pik-potsdam.de</t>
  </si>
  <si>
    <t>Schellnhuber, Hans Joachim/B-2607-2012</t>
  </si>
  <si>
    <t>10.1007/s00382-021-05974-8</t>
  </si>
  <si>
    <t>ZV2UZ</t>
  </si>
  <si>
    <t>WOS:000703818700002</t>
  </si>
  <si>
    <t>Neuhaus, SU; Tulaczyk, SM; Stansell, ND; Coenen, JJ; Scherer, RP; Mikucki, JA; Powell, RD</t>
  </si>
  <si>
    <t>Neuhaus, Sarah U.; Tulaczyk, Slawek M.; Stansell, Nathan D.; Coenen, Jason J.; Scherer, Reed P.; Mikucki, Jill A.; Powell, Ross D.</t>
  </si>
  <si>
    <t>Did Holocene climate changes drive West Antarctic grounding line retreat and readvance?</t>
  </si>
  <si>
    <t>ROSS ICE SHELF; SUBGLACIAL LAKE WHILLANS; SEDIMENTS BENEATH; SEA; SHEET; STREAM; SURFACE; WATER; CHRONOLOGY; DIFFUSION</t>
  </si>
  <si>
    <t>Knowledge of past ice sheet configurations is useful for informing projections of future ice sheet dynamics and for calibrating ice sheet models. The topology of grounding line retreat in the Ross Sea sector of Antarctica has been much debated, but it has generally been assumed that the modern ice sheet is as small as it has been for more than 100 000 years (Conway et al., 1999; Lee et al., 2017; Lowry et al., 2019; McKay et al., 2016; Scherer et al., 1998). Recent findings suggest that the West Antarctic Ice Sheet (WAIS) grounding line retreated beyond its current location earlier in the Holocene and subsequently readvanced to reach its modern position (Bradley et al., 2015; Kingslake et al., 2018). Here, we further constrain the post-LGM (Last Glacial Maximum) grounding line retreat and readvance in the Ross Sea sector using a two-phase model of radiocarbon input and decay in subglacial sediments from six sub-ice sampling locations. In addition, we reinterpret high basal temperature gradients, measured previously at three sites in this region (Engelhardt, 2004), which we explain as resulting from recent ice shelf re-grounding accompanying grounding line readvance. At one location - Whillans Subglacial Lake (SLW) - for which a sediment porewater chemistry profile is known, we estimate the grounding line readvance by simulating ionic diffusion. Collectively, our analyses indicate that the grounding line retreated over SLW 4300(-2500)(+1500) years ago, and over sites on Whillans Ice Stream (WIS), Kamb Ice Stream (KIS), and Bindschadler Ice Stream (BIS) 4700(-2300)(+1500), 1800(-700)(+2700), and 1700(-600)(+2800) years ago, respectively. The grounding line only recently readvanced back over those sites 1100(-100)(+200), 1500(-200)(+500), 1000(-300)(+200), and 800 +/- 100 years ago for SLW, WIS, KIS, and BIS, respectively. The timing of grounding line retreat coincided with a warm period in the mid-Holocene to late Holocene. Conversely, grounding line readvance is coincident with cooling climate in the last 1000-2000 years. Our estimates for the timing of grounding line retreat and readvance are also consistent with relatively low carbon-tonitrogen ratios measured in our subglacial sediment samples (suggesting a marine source of organic matter) and with the lack of grounding zone wedges in front of modern grounding lines. Based on these results, we propose that the Siple Coast grounding line motions in the mid-Holocene to late Holocene were primarily driven by relatively modest changes in regional climate, rather than by ice sheet dynamics and glacioisostatic rebound, as hypothesized previously (Kingslake et al., 2018).</t>
  </si>
  <si>
    <t>[Neuhaus, Sarah U.; Tulaczyk, Slawek M.] Univ Calif Santa Cruz, Earth &amp; Planetary Sci, Santa Cruz, CA 95064 USA; [Stansell, Nathan D.; Coenen, Jason J.; Scherer, Reed P.; Powell, Ross D.] Northern Illinois Univ, Dept Geol &amp; Environm Geosci, De Kalb, IL 60115 USA; [Mikucki, Jill A.] Univ Tennessee, Dept Microbiol, Knoxville, TN 37996 USA</t>
  </si>
  <si>
    <t>University of California System; University of California Santa Cruz; Northern Illinois University; University of Tennessee System; University of Tennessee Knoxville</t>
  </si>
  <si>
    <t>Neuhaus, SU (corresponding author), Univ Calif Santa Cruz, Earth &amp; Planetary Sci, Santa Cruz, CA 95064 USA.</t>
  </si>
  <si>
    <t>suneuhau@ucsc.edu</t>
  </si>
  <si>
    <t>Tulaczyk, Slawek/O-7375-2018</t>
  </si>
  <si>
    <t>Tulaczyk, Slawek/0000-0002-9711-4332; Coenen, Jason/0000-0001-5848-5424</t>
  </si>
  <si>
    <t>National Science Foundation [0838947, 0839142, 1739027]</t>
  </si>
  <si>
    <t>This research has been supported by the National Science Foundation (grant nos. 0838947, 0839142, and 1739027).</t>
  </si>
  <si>
    <t>10.5194/tc-15-4655-2021</t>
  </si>
  <si>
    <t>WB9SF</t>
  </si>
  <si>
    <t>WOS:000703904600001</t>
  </si>
  <si>
    <t>Le, H; Samaras, D; Lynch, HJ</t>
  </si>
  <si>
    <t>Le, Hieu; Samaras, Dimitris; Lynch, Heather J.</t>
  </si>
  <si>
    <t>A convolutional neural network architecture designed for the automated survey of seabird colonies</t>
  </si>
  <si>
    <t>REMOTE SENSING IN ECOLOGY AND CONSERVATION</t>
  </si>
  <si>
    <t>Adelie penguin; convolutional neural network; high-resolution satellite imagery; prior information</t>
  </si>
  <si>
    <t>IMAGERY; PENGUINS; LAND</t>
  </si>
  <si>
    <t>Satellite imagery is now well established as a method of finding and estimating the abundance of Antarctic penguin colonies. However, the delineation and classification of penguin colonies in sub-meter satellite imagery has required the use of expert observers and is highly labor intensive, precluding regular censuses at the pan-Antarctic scale. Here we present the first automated pipeline for the segmentation and classification of seabird colonies in high-resolution satellite imagery. Our method leverages site-fidelity by using images from previous years to improve classification performance but is robust to georegistration artifacts imposed by misalignment between sensors or terrain correction. We use a segmentation network with an additional branch that extracts the useful information from the prior mask of the input image. This prior branch provides the main model information on the location and size of guano in a prior annotation yet automatically learns to compensate for potential misalignment between the prior mask and the input image being classified. Our approach outperforms the previous approach by 44%, improving the average Intersection-over-Union segmentation score from 0.34 to 0.50. While penguin guano remains a challenging target for segmentation due to its indistinct and highly variable appearance, the inclusion of prior information represents a key step toward automated image annotation for population monitoring. Moreover, this method can be adapted for other ecological applications where the dynamics of landscape change are slow relative to the repeat frequency of available imagery and prior information may be available to aid with image annotation.</t>
  </si>
  <si>
    <t>[Le, Hieu; Samaras, Dimitris] SUNY Stony Brook, Dept Comp Sci, 263 New Comp Sci Bldg, Stony Brook, NY 11794 USA; [Lynch, Heather J.] SUNY Stony Brook, Dept Ecol &amp; Evolut, 650 Life Sci Bldg, Stony Brook, NY 11794 USA; [Lynch, Heather J.] SUNY Stony Brook, Inst Adv Computat Sci, 163 IACS Bldg, Stony Brook, NY 11794 USA</t>
  </si>
  <si>
    <t>State University of New York (SUNY) System; State University of New York (SUNY) Stony Brook; State University of New York (SUNY) System; State University of New York (SUNY) Stony Brook; State University of New York (SUNY) System; State University of New York (SUNY) Stony Brook</t>
  </si>
  <si>
    <t>Lynch, HJ (corresponding author), SUNY Stony Brook, Dept Ecol &amp; Evolut, 650 Life Sci Bldg, Stony Brook, NY 11794 USA.</t>
  </si>
  <si>
    <t>heather.lynch@stonybrook.edu</t>
  </si>
  <si>
    <t>Lynch, Heather/0000-0002-9026-1612</t>
  </si>
  <si>
    <t>National Science Foundation EarthCube program [1740595]; Polar Geospatial Center under NSF-OPP [1043681, 1559691]; ICER; Directorate For Geosciences [1740595] Funding Source: National Science Foundation</t>
  </si>
  <si>
    <t>National Science Foundation EarthCube program; Polar Geospatial Center under NSF-OPP; ICER; Directorate For Geosciences(National Science Foundation (NSF)NSF - Directorate for Geosciences (GEO))</t>
  </si>
  <si>
    <t>We thank the Institute for Advanced Computational Science, National Geographic/Microsoft's AI for Earth program and the National Science Foundation EarthCube program (Award 1740595) for funding this work. Geospatial support for this work was provided by the Polar Geospatial Center under NSF-OPP awards 1043681 and 1559691.</t>
  </si>
  <si>
    <t>111 RIVER ST, HOBOKEN, NJ 07030 USA</t>
  </si>
  <si>
    <t>2056-3485</t>
  </si>
  <si>
    <t>REMOTE SENS ECOL CON</t>
  </si>
  <si>
    <t>Remote Sens. Ecol. Conserv.</t>
  </si>
  <si>
    <t>10.1002/rse2.240</t>
  </si>
  <si>
    <t>Ecology; Remote Sensing</t>
  </si>
  <si>
    <t>Environmental Sciences &amp; Ecology; Remote Sensing</t>
  </si>
  <si>
    <t>0O7GY</t>
  </si>
  <si>
    <t>WOS:000703505500001</t>
  </si>
  <si>
    <t>Faucher, B; Lacelle, D; Marsh, NB; Jasperse, L; Clark, ID; Andersen, DT</t>
  </si>
  <si>
    <t>Faucher, Benoit; Lacelle, Denis; Marsh, Nicole Britney; Jasperse, Liam; Clark, Ian Douglas; Andersen, Dale Thomas</t>
  </si>
  <si>
    <t>Glacial lake outburst floods enhance benthic microbial productivity in perennially ice-covered Lake Untersee (East Antarctica)</t>
  </si>
  <si>
    <t>DISSOLVED INORGANIC CARBON; AMS LABORATORY OTTAWA; ORGANIC-CARBON; ISOTOPE; CO2; BIOGEOCHEMISTRY; SEDIMENTATION; VALLEY; HOARE; C-14</t>
  </si>
  <si>
    <t>Large periodic glacial outburst flood events replenish inorganic carbon concentrations and fuel the primary productivity of benthic microbial communities in the perennially ice-covered Lake Untersee. Benthic ecosystems of perennially ice-covered lakes in Antarctica are highly sensitive to climate-driven changes. Lake Untersee has been in hydrological steady-state for several hundred years with a high pH water column and extremely low levels of dissolved inorganic carbon. Here, we show that glacial lake outburst floods can replenish carbon dioxide-depleted lakes with carbon, enhancing phototrophic activity of the benthic ecosystem. In 2019, a glacial lake outburst flood brought 17.5 million m(3) of water to Lake Untersee, the most substantial reported increase for any surface lake in Antarctica. High-resolution grain-size and carbon isotope analyses of microbial mats suggest that glacial lake outburst floods have occurred periodically over the Holocene and help explain the complex patterns of carbon cycling and sequestration observed in the lake. Our findings suggest that periodic flooding events may provide biological stimuli to other carbon dioxide-depleted Antarctic ecosystems and perhaps even icy lakes on early Mars.</t>
  </si>
  <si>
    <t>[Faucher, Benoit; Lacelle, Denis] Univ Ottawa, Dept Geog Environm &amp; Geomat, Ottawa, ON, Canada; [Marsh, Nicole Britney; Jasperse, Liam; Clark, Ian Douglas] Univ Ottawa, Dept Earth &amp; Environm Sci, Ottawa, ON, Canada; [Andersen, Dale Thomas] SETI Inst, Carl Sagan Ctr, Mountain View, CA USA</t>
  </si>
  <si>
    <t>University of Ottawa; University of Ottawa</t>
  </si>
  <si>
    <t>Faucher, B (corresponding author), Univ Ottawa, Dept Geog Environm &amp; Geomat, Ottawa, ON, Canada.</t>
  </si>
  <si>
    <t>bfaucher@uottawa.ca</t>
  </si>
  <si>
    <t>Andersen, Dale T/B-4816-2013</t>
  </si>
  <si>
    <t>Andersen, Dale T/0000-0001-8827-1259; Faucher, Benoit/0000-0002-3954-8386</t>
  </si>
  <si>
    <t>TAWANI Foundation; Trottier Family Foundation; NASA's Exobiology program; Natural Sciences and Engineering Research Council of Canada</t>
  </si>
  <si>
    <t>TAWANI Foundation; Trottier Family Foundation; NASA's Exobiology program(National Aeronautics &amp; Space Administration (NASA)); Natural Sciences and Engineering Research Council of Canada(Natural Sciences and Engineering Research Council of Canada (NSERC)CGIAR)</t>
  </si>
  <si>
    <t>This work was made possible by the Antarctic Logistics Centre International, Cape Town, South Africa, and the Arctic and Antarctic Research Institute/Russian Antarctic Expedition. We are grateful to Colonel (I.L.) J.N. Pritzker, IL ARNG (retired), Lorne Trottier, and fellow field team members for their support during the expeditions. Funding for this research project was provided by the TAWANI Foundation (D. Andersen), the Trottier Family Foundation (D. Andersen), NASA's Exobiology program (D. Andersen), and the Natural Sciences and Engineering Research Council of Canada (D. Lacelle, I.D. Clark &amp; B. Faucher).</t>
  </si>
  <si>
    <t>10.1038/s43247-021-00280-x</t>
  </si>
  <si>
    <t>WB9KV</t>
  </si>
  <si>
    <t>WOS:000703885100001</t>
  </si>
  <si>
    <t>Stahl-Rommel, S; Kalra, I; D'Silva, S; Hahn, MM; Popson, D; Cvetkovska, M; Morgan-Kiss, RM</t>
  </si>
  <si>
    <t>Stahl-Rommel, Sarah; Kalra, Isha; D'Silva, Susanna; Hahn, Mark M.; Popson, Devon; Cvetkovska, Marina; Morgan-Kiss, Rachael M.</t>
  </si>
  <si>
    <t>Cyclic electron flow (CEF) and ascorbate pathway activity provide constitutive photoprotection for the photopsychrophile, Chlamydomonas sp. UWO 241 (renamed Chlamydomonas priscuii)</t>
  </si>
  <si>
    <t>PHOTOSYNTHESIS RESEARCH</t>
  </si>
  <si>
    <t>Antarctica; Ascorbate; Cyclic electron flow; Photosystem I; Psychrophile; ROS</t>
  </si>
  <si>
    <t>LIGHT-HARVESTING COMPLEX; ANTARCTIC GREEN-ALGA; WATER-WATER CYCLE; PHOTOSYSTEM-I; OXIDATIVE STRESS; PHOTOSYNTHETIC APPARATUS; ENERGY-DISTRIBUTION; HYDROGEN-PEROXIDE; LOW-TEMPERATURE; SALT TOLERANCE</t>
  </si>
  <si>
    <t>Under environmental stress, plants and algae employ a variety of strategies to protect the photosynthetic apparatus and maintain photostasis. To date, most studies on stress acclimation have focused on model organisms which possess limited to no tolerance to stressful extremes. We studied the ability of the Antarctic alga Chlamydomonas sp. UWO 241 (UWO 241) to acclimate to low temperature, high salinity or high light. UWO 241 maintained robust growth and photosynthetic activity at levels of temperature (2 degrees C) and salinity (700 mM NaCl) which were nonpermissive for a mesophilic sister species, Chlamydomonas raudensis SAG 49.72 (SAG 49.72). Acclimation in the mesophile involved classic mechanisms, including downregulation of light harvesting and shifts in excitation energy between photosystem I and II. In contrast, UWO 241 exhibited high rates of PSI-driven cyclic electron flow (CEF) and a larger capacity for nonphotochemical quenching (NPQ). Furthermore, UWO 241 exhibited constitutively high activity of two key ascorbate cycle enzymes, ascorbate peroxidase and glutathione reductase and maintained a large ascorbate pool. These results matched the ability of the psychrophile to maintain low ROS under short-term photoinhibition conditions. We conclude that tight control over photostasis and ROS levels are essential for photosynthetic life to flourish in a native habitat of permanent photooxidative stress. We propose to rename this organism Chlamydomonas priscuii.</t>
  </si>
  <si>
    <t>[Stahl-Rommel, Sarah; Kalra, Isha; D'Silva, Susanna; Hahn, Mark M.; Popson, Devon; Morgan-Kiss, Rachael M.] Miami Univ, Dept Microbiol, Oxford, OH 45045 USA; [Stahl-Rommel, Sarah] JES Tech, Houston, TX 77058 USA; [Cvetkovska, Marina] Univ Ottawa, Dept Biol, Ottawa, ON K1N 6N5, Canada; [Morgan-Kiss, Rachael M.] Miami Univ, Dept Microbiol, 700 E High St,212 Pearson Hall, Oxford, OH 45056 USA</t>
  </si>
  <si>
    <t>University System of Ohio; Miami University; University of Ottawa; University System of Ohio; Miami University</t>
  </si>
  <si>
    <t>Morgan-Kiss, RM (corresponding author), Miami Univ, Dept Microbiol, Oxford, OH 45045 USA.;Morgan-Kiss, RM (corresponding author), Miami Univ, Dept Microbiol, 700 E High St,212 Pearson Hall, Oxford, OH 45056 USA.</t>
  </si>
  <si>
    <t>morganr2@miamioh.edu</t>
  </si>
  <si>
    <t>Morgan-kiss, Rachael/0000-0003-4783-5358; Cvetkovska, Marina/0000-0002-7080-8203; Hahn, Mark/0000-0002-4955-7497</t>
  </si>
  <si>
    <t>National Science Foundation, Office of Polar Programs [OPP-1056396]; U.S. Department of Energy (DOE), Office of Science, Basic Energy Sciences (BES) [DE-SC0019138]; National Sciences and Engineering Research Council of Canada (NSERC) [RGPIN-2019-05763]; University of Ottawa; U.S. Department of Energy (DOE) [DE-SC0019138] Funding Source: U.S. Department of Energy (DOE)</t>
  </si>
  <si>
    <t>National Science Foundation, Office of Polar Programs(National Science Foundation (NSF)NSF - Directorate for Geosciences (GEO)); U.S. Department of Energy (DOE), Office of Science, Basic Energy Sciences (BES)(United States Department of Energy (DOE)); National Sciences and Engineering Research Council of Canada (NSERC)(Natural Sciences and Engineering Research Council of Canada (NSERC)); University of Ottawa; U.S. Department of Energy (DOE)(United States Department of Energy (DOE))</t>
  </si>
  <si>
    <t>RMK, SS-R, and MH were supported by the National Science Foundation, Office of Polar Programs under Award #OPP-1056396 (growth physiology, photoinhibition, antioxidant measurements). IK, SD and DP were supported by the U.S. Department of Energy (DOE), Office of Science, Basic Energy Sciences (BES) under Award #DE-SC0019138 (PSI, CEF, -H2O2 measurements). MC is supported by a National Sciences and Engineering Research Council of Canada (NSERC) Discovery Grant RGPIN-2019-05763 and University of Ottawa start-up funding (genome screening).</t>
  </si>
  <si>
    <t>0166-8595</t>
  </si>
  <si>
    <t>1573-5079</t>
  </si>
  <si>
    <t>PHOTOSYNTH RES</t>
  </si>
  <si>
    <t>Photosynth. Res.</t>
  </si>
  <si>
    <t>10.1007/s11120-021-00877-5</t>
  </si>
  <si>
    <t>ZX7NO</t>
  </si>
  <si>
    <t>WOS:000703952800001</t>
  </si>
  <si>
    <t>Han, YD; Mironov, SV; Kim, JH; Min, GS</t>
  </si>
  <si>
    <t>Han, Yeong-Deok; Mironov, Sergey V.; Kim, Jeong-Hoon; Min, Gi-Sik</t>
  </si>
  <si>
    <t>Feather mites (Acariformes, Astigmata) from marine birds of the Barton Peninsula (King George Island, Antarctica), with descriptions of two new species</t>
  </si>
  <si>
    <t>ZOOKEYS</t>
  </si>
  <si>
    <t>Alloptes; Analgoidea; Antarctica; feather mites; Ingrassia; systematics</t>
  </si>
  <si>
    <t>ANALGOIDEA; XOLALGIDAE; SPECIATION; ORIGIN; ACARI; HOST</t>
  </si>
  <si>
    <t>We report on the first investigation of feather mites associated with birds living on the Barton Peninsula (King George Island, Antarctica). We found seven feather mite species of the superfamily Analgoidea from four host species. Two new species are described from two charadriiform hosts: Alloptes (Sternalloptes) antarcticus sp. nov. (Alloptidae) from Stercomrius maccormicki Saunders (Stercorariidae), and Ingrassia chionis sp. nov. (Xolalgidae) from Chionis albus (Gmelin) (Chionidae). Additionally, we provide partial sequences of the mitochondrial cytochrome c oxidase subunit I (COI), which was utilized as a DNA barcode, for all seven feather mite species.</t>
  </si>
  <si>
    <t>[Han, Yeong-Deok; Min, Gi-Sik] Inha Univ, Dept Biol Sci, Incheon 22212, South Korea; [Han, Yeong-Deok] Natl Inst Ecol, Res Ctr Endangered Species, Restorat Assessment Team, Gowol Gil 23, Yeongyang Gun 36531, South Korea; [Mironov, Sergey V.] Russian Acad Sci, Zool Inst, Univ Skaya Embankment 1, St Petersburg 199034, Russia; [Kim, Jeong-Hoon] Korea Polar Res Inst, Incheon 21990, South Korea</t>
  </si>
  <si>
    <t>Inha University; National Institute of Ecology; Russian Academy of Sciences; Zoological Institute of the Russian Academy of Sciences; Korea Polar Research Institute (KOPRI)</t>
  </si>
  <si>
    <t>Min, GS (corresponding author), Inha Univ, Dept Biol Sci, Incheon 22212, South Korea.;Kim, JH (corresponding author), Korea Polar Res Inst, Incheon 21990, South Korea.</t>
  </si>
  <si>
    <t>jhkim94@kopri.re.kr; mingisik@inha.ac.kr</t>
  </si>
  <si>
    <t>Han, Yeong-Deok/GWR-0467-2022</t>
  </si>
  <si>
    <t>This study was supported by Korea Polar Research Institute's projects on the Ecophysiology of Antarctic terrestrial organisms to reveal mechanisms of adaptation to changing environment (PE21130). The authors wish to thank Ji-Young Lee (Chonnam National University, Korea) for sample collection. The permit for catching birds was officially approved the Korean Ministry of Foreign Affairs and Trade through the Korea Polar Research Institute.</t>
  </si>
  <si>
    <t>PENSOFT PUBLISHERS</t>
  </si>
  <si>
    <t>SOFIA</t>
  </si>
  <si>
    <t>12 PROF GEORGI ZLATARSKI ST, SOFIA, 1700, BULGARIA</t>
  </si>
  <si>
    <t>1313-2989</t>
  </si>
  <si>
    <t>1313-2970</t>
  </si>
  <si>
    <t>ZooKeys</t>
  </si>
  <si>
    <t>OCT 4</t>
  </si>
  <si>
    <t>10.3897/zookeys.1061.71212</t>
  </si>
  <si>
    <t>0U5TK</t>
  </si>
  <si>
    <t>WOS:000787713100002</t>
  </si>
  <si>
    <t>Chen, LJ; Zhang, XJ; Artemyev, A; Zheng, LH; Xia, ZY; Breneman, AW; Horne, RB</t>
  </si>
  <si>
    <t>Chen, Lunjin; Zhang, Xiao-Jia; Artemyev, Anton; Zheng, Liheng; Xia, Zhiyang; Breneman, Aaron W.; Horne, Richard B.</t>
  </si>
  <si>
    <t>Electron Microbursts Induced by Nonducted Chorus Waves</t>
  </si>
  <si>
    <t>FRONTIERS IN ASTRONOMY AND SPACE SCIENCES</t>
  </si>
  <si>
    <t>chorus; microbursts; radiation belts; precipitation; wave-particle interaction</t>
  </si>
  <si>
    <t>WHISTLER-MODE WAVES; RADIATION-BELT ELECTRONS; VAN ALLEN PROBES; SOURCE REGION; AURORAL-ZONE; GENERATION; MAGNETOSPHERE; PRECIPITATION; ACCELERATION; ASSOCIATION</t>
  </si>
  <si>
    <t>Microbursts, short-lived but intense electron precipitation observed by low-Earth-orbiting satellites, may contribute significantly to the losses of energetic electrons in the outer radiation belt. Their origin is likely due to whistler mode chorus waves, as evidenced by a strong overlap in spatial correlation of the two. Despite previous efforts on modeling bursty electron precipitation induced by chorus waves, most, if not all, rely on the assumption that chorus waves are ducted along the field line with zero wave normal angle. Such ducting is limited to cases when fine-scale plasma density irregularities are present. In contrast, chorus waves propagate in a nonducted way in plasmas with smoothly varying density, allowing wave normals to gradually refract away from the magnetic field line. In this study, the interaction of ducted and nonducted chorus waves with energetic electrons is investigated using test particle simulation. Substantial differences in electron transport are found between the two different scenarios, and resultant electron precipitation patterns are compared. Such a comparison is valuable for interpreting low Earth-orbiting satellite observations of electron flux variation in response to the interaction with magnetospheric chorus waves.</t>
  </si>
  <si>
    <t>[Chen, Lunjin; Zheng, Liheng; Xia, Zhiyang] Univ Texas Dallas, Dept Phys, Richardson, TX 75083 USA; [Zhang, Xiao-Jia; Artemyev, Anton] Univ Calif Los Angeles, Dept Earth Planetary &amp; Space Sci, Los Angeles, CA USA; [Artemyev, Anton] RAS, Space Res Inst, Moscow, Russia; [Breneman, Aaron W.] NASA, Goddard Space Flight Ctr, Greenbelt, MD USA; [Horne, Richard B.] British Antarctic Survey, Cambridge, England</t>
  </si>
  <si>
    <t>University of Texas System; University of Texas Dallas; University of California System; University of California Los Angeles; Russian Academy of Sciences; Space Research Institute of the Russian Academy of Sciences; National Aeronautics &amp; Space Administration (NASA); NASA Goddard Space Flight Center; UK Research &amp; Innovation (UKRI); Natural Environment Research Council (NERC); NERC British Antarctic Survey</t>
  </si>
  <si>
    <t>Chen, LJ (corresponding author), Univ Texas Dallas, Dept Phys, Richardson, TX 75083 USA.</t>
  </si>
  <si>
    <t>lunjin.chen@gmail.com</t>
  </si>
  <si>
    <t>Horne, Richard B/U-3764-2019; Chen, Lunjin/L-1250-2013</t>
  </si>
  <si>
    <t>Horne, Richard B/0000-0002-0412-6407; Xia, Zhiyang/0000-0001-8922-6484; Zhang, Xiao-Jia/0000-0002-4185-5465</t>
  </si>
  <si>
    <t>NASA [80NSSC18K1224, 80NSSC19K0282, 80NSSC19K0283, 80NSSC21K0728, 80NSSC21K1320]; NSF [1914594]; NERC Highlight Topic Grant [NE/P01738X/1]; NERC [NE/V00249X/1]; Directorate For Geosciences; Div Atmospheric &amp; Geospace Sciences [1914594] Funding Source: National Science Foundation; SPF [NE/V00249X/1] Funding Source: UKRI</t>
  </si>
  <si>
    <t>NASA(National Aeronautics &amp; Space Administration (NASA)); NSF(National Science Foundation (NSF)); NERC Highlight Topic Grant; NERC(UK Research &amp; Innovation (UKRI)Natural Environment Research Council (NERC)); Directorate For Geosciences; Div Atmospheric &amp; Geospace Sciences(National Science Foundation (NSF)NSF - Directorate for Geosciences (GEO)); SPF</t>
  </si>
  <si>
    <t>This work at UTD was supported by the NASA grants 80NSSC18K1224, 80NSSC19K0282, 80NSSC19K0283, 80NSSC21K0728, and 80NSSC21K1320. XZ and AA were supported by NSF grant 1914594. RH was supported by NERC Highlight Topic Grant NE/P01738X/1 (Rad-Sat) and NERC grant NE/V00249X/1 (Sat-Risk).</t>
  </si>
  <si>
    <t>2296-987X</t>
  </si>
  <si>
    <t>FRONT ASTRON SPACE</t>
  </si>
  <si>
    <t>Front. Astron. Space Sci.</t>
  </si>
  <si>
    <t>10.3389/fspas.2021.745927</t>
  </si>
  <si>
    <t>WV3TM</t>
  </si>
  <si>
    <t>WOS:000717162700001</t>
  </si>
  <si>
    <t>Ade, PAR; Ahmed, Z; Amiri, M; Barkats, D; Thakur, RB; Bischoff, CA; Beck, D; Bock, JJ; Boenish, H; Bullock, E; Buza, V; Cheshire, IV; Connors, J; Cornelison, J; Crumrine, M; Cukierman, A; Denison, EV; Dierickx, M; Duband, L; Eiben, M; Fatigoni, S; Filippini, JP; Fliescher, S; Goeckner-Wald, N; Goldfinger, DC; Grayson, J; Grimes, P; Hall, G; Halal, G; Halpern, M; Hand, E; Harrison, S; Henderson, S; Hildebrandt, SR; Hilton, GC; Hubmayr, J; Hui, H; Irwin, KD; Kang, J; Karkare, KS; Karpel, E; Kefeli, S; Kernasovskiy, SA; Kovac, JM; Kuo, CL; Lau, K; Leitch, EM; Lennox, A; Megerian, KG; Minutolo, L; Moncelsi, L; Nakato, Y; Namikawa, T; Nguyen, HT; O'Brient, R; Ogburn, RW; Palladino, S; Prouve, T; Pryke, C; Racine, B; Reintsema, CD; Richter, S; Schillaci, A; Schwarz, R; Schmitt, BL; Sheehy, CD; Soliman, A; St Germaine, T; Steinbach, B; Sudiwala, RV; Teply, GP; Thompson, KL; Tolan, JE; Tucker, C; Turner, AD; Umiltà, C; Vergès, C; Vieregg, AG; Wandui, A; Weber, AC; Wiebe, DV; Willmert, J; Wong, CL; Wu, WLK; Yang, H; Yoon, KW; Young, E; Yu, C; Zeng, L; Zhang, C; Zhang, S</t>
  </si>
  <si>
    <t>Ade, P. A. R.; Ahmed, Z.; Amiri, M.; Barkats, D.; Thakur, R. Basu; Bischoff, C. A.; Beck, D.; Bock, J. J.; Boenish, H.; Bullock, E.; Buza, V; Cheshire, J. R.; Connors, J.; Cornelison, J.; Crumrine, M.; Cukierman, A.; Denison, E., V; Dierickx, M.; Duband, L.; Eiben, M.; Fatigoni, S.; Filippini, J. P.; Fliescher, S.; Goeckner-Wald, N.; Goldfinger, D. C.; Grayson, J.; Grimes, P.; Hall, G.; Halal, G.; Halpern, M.; Hand, E.; Harrison, S.; Henderson, S.; Hildebrandt, S. R.; Hilton, G. C.; Hubmayr, J.; Hui, H.; Irwin, K. D.; Kang, J.; Karkare, K. S.; Karpel, E.; Kefeli, S.; Kernasovskiy, S. A.; Kovac, J. M.; Kuo, C. L.; Lau, K.; Leitch, E. M.; Lennox, A.; Megerian, K. G.; Minutolo, L.; Moncelsi, L.; Nakato, Y.; Namikawa, T.; Nguyen, H. T.; O'Brient, R.; Ogburn, R. W.; Palladino, S.; Prouve, T.; Pryke, C.; Racine, B.; Reintsema, C. D.; Richter, S.; Schillaci, A.; Schwarz, R.; Schmitt, B. L.; Sheehy, C. D.; Soliman, A.; St Germaine, T.; Steinbach, B.; Sudiwala, R., V; Teply, G. P.; Thompson, K. L.; Tolan, J. E.; Tucker, C.; Turner, A. D.; Umilta, C.; Verges, C.; Vieregg, A. G.; Wandui, A.; Weber, A. C.; Wiebe, D., V; Willmert, J.; Wong, C. L.; Wu, W. L. K.; Yang, H.; Yoon, K. W.; Young, E.; Yu, C.; Zeng, L.; Zhang, C.; Zhang, S.</t>
  </si>
  <si>
    <t>BICEP Keck Collaboration</t>
  </si>
  <si>
    <t>Improved Constraints on Primordial Gravitational Waves using Planck, WMAP, and BICEP/Keck Observations through the 2018 Observing Season</t>
  </si>
  <si>
    <t>PHYSICAL REVIEW LETTERS</t>
  </si>
  <si>
    <t>GRAVITY-WAVES; POLARIZATION; MODEL</t>
  </si>
  <si>
    <t>We present results from an analysis of all data taken by the BICEP2, Keck Array, and BICEP3 CMB polarization experiments up to and including the 2018 observing season. We add additional Keck Array observations at 220 GHz and BICEP3 observations at 95 GHz to the previous 95/150/220 GHz dataset. The Q/U maps now reach depths of 2.8, 2.8, and 8.8 mu K-CMP arcmin at 95, 150, and 220 GHz, respectively, over an effective area of approximate to 600 square degrees at 95 GHz and approximate to 400 square degrees at 150 and 220 GHz. The 220 GHz maps now achieve a signal-to-noise ratio on polarized dust emission exceeding that of Planck at 353 GHz. We take auto- and cross-spectra between these maps and publicly available WMAP and Planck maps at frequencies from 23 to 353 GHz and evaluate the joint likelihood of the spectra versus a multicomponent model of lensed ACDM + r + dust + synchrotron + noise. The foreground model has seven parameters, and no longer requires a prior on the frequency spectral index of the dust emission taken from measurements on other regions of the sky. This model is an adequate description of the data at the current noise levels. The likelihood analysis yields the constraint r(0.05) &lt; 0.036 at 95% confidence. Running maximum likelihood search on simulations we obtain unbiased results and find that sigma(r) = 0.009. These are the strongest constraints to date on primordial gravitational waves.</t>
  </si>
  <si>
    <t>[Ade, P. A. R.; Sudiwala, R., V; Tucker, C.] Cardiff Univ, Sch Phys &amp; Astron, Cardiff CF24 3AA, Wales; [Ahmed, Z.; Beck, D.; Cukierman, A.; Henderson, S.; Irwin, K. D.; Kuo, C. L.; Ogburn, R. W.; Thompson, K. L.; Wu, W. L. K.; Yoon, K. W.; Young, E.] SLAC Natl Accelerator Lab, Kavli Inst Particle Astrophys &amp; Cosmol, 2575 Sand Hill Rd, Menlo Pk, CA 94025 USA; [Amiri, M.; Fatigoni, S.; Halpern, M.; Wiebe, D., V] Univ British Columbia, Dept Phys &amp; Astron, Vancouver, BC V6T 1Z1, Canada; [Barkats, D.; Boenish, H.; Connors, J.; Cornelison, J.; Dierickx, M.; Eiben, M.; Goldfinger, D. C.; Grimes, P.; Harrison, S.; Karkare, K. S.; Kovac, J. M.; Racine, B.; Richter, S.; Schmitt, B. L.; St Germaine, T.; Verges, C.; Wong, C. L.; Zeng, L.] Harvard &amp; Smithsonian, Ctr Astrophys, Cambridge, MA 02138 USA; [Thakur, R. Basu; Bock, J. J.; Hildebrandt, S. R.; Hui, H.; Kang, J.; Kefeli, S.; Minutolo, L.; Moncelsi, L.; O'Brient, R.; Schillaci, A.; Soliman, A.; Steinbach, B.; Teply, G. P.; Wandui, A.; Zhang, C.; Zhang, S.] CALTECH, Dept Phys, Pasadena, CA 91125 USA; [Bischoff, C. A.; Hand, E.; Palladino, S.; Umilta, C.] Univ Cincinnati, Dept Phys, Cincinnati, OH 45221 USA; [Beck, D.; Cukierman, A.; Goeckner-Wald, N.; Grayson, J.; Halal, G.; Irwin, K. D.; Kang, J.; Karpel, E.; Kernasovskiy, S. A.; Kuo, C. L.; Nakato, Y.; Ogburn, R. W.; Thompson, K. L.; Tolan, J. E.; Yang, H.; Yoon, K. W.; Young, E.; Yu, C.] Stanford Univ, Dept Phys, Stanford, CA 94305 USA; [Bock, J. J.; Hildebrandt, S. R.; Megerian, K. G.; Nguyen, H. T.; O'Brient, R.; Turner, A. D.; Weber, A. C.] Jet Prop Lab, Pasadena, CA 91109 USA; [Bullock, E.; Cheshire, J. R.; Pryke, C.] Univ Minnesota, Minnesota Inst Astrophys, Minneapolis, MN 55455 USA; [Buza, V; Karkare, K. S.; Leitch, E. M.; Vieregg, A. G.] Univ Chicago, Kavli Inst Cosmol Phys, Chicago, IL 60637 USA; [Crumrine, M.; Fliescher, S.; Hall, G.; Lau, K.; Pryke, C.; Schwarz, R.; Willmert, J.] Univ Minnesota, Sch Phys &amp; Astron, Minneapolis, MN 55455 USA; [Denison, E., V; Hilton, G. C.; Hubmayr, J.; Irwin, K. D.; Reintsema, C. D.] NIST, Boulder, CO 80305 USA; [Duband, L.; Prouve, T.] Commissariat Energie Atom, Serv Basses Temp, F-38054 Grenoble, France; [Filippini, J. P.; Lennox, A.; Umilta, C.] Univ Illinois, Dept Phys, Urbana, IL 61801 USA; [Filippini, J. P.] Univ Illinois, Dept Astron, Urbana, IL 61801 USA; [Kovac, J. M.; St Germaine, T.; Wong, C. L.] Harvard Univ, Dept Phys, Cambridge, MA 02138 USA; [Namikawa, T.] Univ Tokyo, Kavli Inst Phys &amp; Math Universe WPI, UTIAS, Kashiwa, Chiba 2778583, Japan; [Racine, B.] Aix Marseille Univ, CPPM, CNRS, IN2P3, F-13288 Marseille, France; [Sheehy, C. D.] Brookhaven Natl Lab, Phys Dept, Upton, NY 11973 USA; [Vieregg, A. G.] Univ Chicago, Enrico Fermi Inst, Dept Phys, Chicago, IL 60637 USA</t>
  </si>
  <si>
    <t>Cardiff University; Stanford University; United States Department of Energy (DOE); SLAC National Accelerator Laboratory; University of British Columbia; Smithsonian Institution; California Institute of Technology; University System of Ohio; University of Cincinnati; Stanford University; National Aeronautics &amp; Space Administration (NASA); NASA Jet Propulsion Laboratory (JPL); University of Minnesota System; University of Minnesota Twin Cities; University of Chicago; University of Minnesota System; University of Minnesota Twin Cities; National Institute of Standards &amp; Technology (NIST) - USA; Communaute Universite Grenoble Alpes; Universite Grenoble Alpes (UGA); CEA; University of Illinois System; University of Illinois Urbana-Champaign; University of Illinois System; University of Illinois Urbana-Champaign; Harvard University; University of Tokyo; Centre National de la Recherche Scientifique (CNRS); CNRS - National Institute of Nuclear and Particle Physics (IN2P3); Aix-Marseille Universite; United States Department of Energy (DOE); Brookhaven National Laboratory; University of Chicago</t>
  </si>
  <si>
    <t>Pryke, C (corresponding author), Univ Minnesota, Minnesota Inst Astrophys, Minneapolis, MN 55455 USA.;Pryke, C (corresponding author), Univ Minnesota, Sch Phys &amp; Astron, Minneapolis, MN 55455 USA.</t>
  </si>
  <si>
    <t>pryke@physics.umn.edu</t>
  </si>
  <si>
    <t>Chen, Shuo/JEO-6350-2023; Zeng, Lingzhen/V-4602-2019; sun, huan/JEO-7152-2023; Nguyễn, Hương/JUV-6128-2023; Nguyen, H.T/AAG-1974-2021; Moncelsi, Lorenzo/AAU-1009-2020</t>
  </si>
  <si>
    <t>Zeng, Lingzhen/0000-0001-6924-9072; Nguyen, H.T/0000-0001-5580-2877; Moncelsi, Lorenzo/0000-0002-4242-3015; Willmert, Justin/0000-0002-6452-4693; Schillaci, Alessandro/0000-0002-0512-1042; Bischoff, Colin/0000-0001-9185-6514; Cheshire, James/0000-0002-1630-7854; Halal, George/0000-0003-2221-3018; Wu, Kimmy/0000-0001-5411-6920; Dierickx, Marion/0000-0002-3519-8593; Kovac, John/0009-0003-5432-7180; Irwin, Kent/0000-0002-2998-9743; Kang, Jae Hwan/0000-0002-3470-2954; Racine, Benjamin/0000-0001-8861-3052; Namikawa, Toshiya/0000-0003-3070-9240; Grimes, Paul/0000-0001-9292-6297; Lau, King/0000-0002-6445-2407; Ahmed, Zeeshan/0000-0002-9957-448X; Zhang, Cheng/0000-0001-8288-5823; Tucker, Carole/0000-0002-1851-3918; Pryke, Clement/0000-0003-3983-6668</t>
  </si>
  <si>
    <t>National Science Foundation [0742818, 0742592, 1044978, 1110087, 1145172, 1145143, 1145248, 1639040, 1638957, 1638978, 1638970]; Keck Foundation; JPL Research and Technology Development Fund; NASA [06-ARPA206-0040, 10-SAT10-0017, 12SAT12-0031, 14-SAT14-0009, 16-SAT-160002]; Gordon and Betty Moore Foundation at Caltech; Canada Foundation for Innovation grant; UK STFC [ST/N000706/1]; FAS Science Division Research Computing Group at Harvard University; U.S. DOE Office of Science; Directorate For Geosciences; Division Of Polar Programs [1110087] Funding Source: National Science Foundation</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</si>
  <si>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 grant(Canada Foundation for Innovation); UK STFC(UK Research &amp; Innovation (UKRI)Science &amp; Technology Facilities Council (STFC)); FAS Science Division Research Computing Group at Harvard University; U.S. DOE Office of Science(United States Department of Energy (DOE)); Directorate For Geosciences; Division Of Polar Programs(National Science Foundation (NSF)NSF - Directorate for Geosciences (GEO))</t>
  </si>
  <si>
    <t>The BICEP/Keck projects have been made possible through a series of grants from the National Science Foundation including Grants No. 0742818, No. 0742592, No. 1044978, No. 1110087, No. 1145172, No. 1145143, No. 1145248, No. 1639040, No. 1638957, No. 1638978, and No. 1638970, and by the Keck Foundation. The development of antenna-coupled detector technology was supported by the JPL Research and Technology Development Fund, and by NASA Grants No. 06-ARPA206-0040, No. 10-SAT10-0017, No. 12SAT12-0031, No. 14-SAT14-0009, and No. 16-SAT-160002. The development and testing of focal planes were supported by the Gordon and Betty Moore Foundation at Caltech. Readout electronics were supported by a Canada Foundation for Innovation grant to UBC. Support for quasioptical filtering was provided by UK STFC Grant No. ST/N000706/1. The computations in this Letter were run on the Odyssey/Cannon cluster supported by the FAS Science Division Research Computing Group at Harvard University. The analysis effort at Stanford and S. L. A. C. is partially supported by the U.S. DOE Office of Science. We thank the staff of the U.S. Antarctic Program and in particular the South Pole Station without whose help this research would not have been possible. Most special thanks go to our heroic winter-overs Robert Schwarz, Steffen Richter, Sam Harrison, Grantland Hall, and Hans Boenish. We thank all those who have contributed past efforts to the BICEP/Keck series of experiments, including the BICEP1 team. We also thank the Planck and WMAP teams for the use of their data, and are grateful to the Planck team for helpful discussions.</t>
  </si>
  <si>
    <t>0031-9007</t>
  </si>
  <si>
    <t>1079-7114</t>
  </si>
  <si>
    <t>PHYS REV LETT</t>
  </si>
  <si>
    <t>Phys. Rev. Lett.</t>
  </si>
  <si>
    <t>10.1103/PhysRevLett.127.151301</t>
  </si>
  <si>
    <t>WD1FI</t>
  </si>
  <si>
    <t>Y</t>
  </si>
  <si>
    <t>N</t>
  </si>
  <si>
    <t>WOS:000704694900001</t>
  </si>
  <si>
    <t>Mittlefehldt, DW; Greenwood, RC; Berger, EL; Le, L; Peng, ZX; Ross, DK</t>
  </si>
  <si>
    <t>Mittlefehldt, David W.; Greenwood, Richard C.; Berger, Eve L.; Le, Loan; Peng, Zhan X.; Ross, D. Kent</t>
  </si>
  <si>
    <t>Eucrite-type achondrites: Petrology and oxygen isotope compositions†</t>
  </si>
  <si>
    <t>MAGMA OCEAN CRYSTALLIZATION; CORE FORMATION; SULFIDE SATURATION; PARENT BODY; ANOMALOUS EUCRITE; TRACE-ELEMENT; METALLIC IRON; CAMEL DONGA; ORIGIN; VESTA</t>
  </si>
  <si>
    <t>We report petrologic studies and oxygen isotope analyses of normal and anomalous eucrites, termed eucrite-type achondrites. Petrologically anomalous eucrite-type achondrites can have normal oxygen isotope compositions, and vice versa. Two basaltic eucrites with normal oxygen isotope compositions contain pyroxenes with anomalous Fe/Mn engendered by parent body processes acting on normal eucrites: solid-state reduction by S gas in EET 87542, and reduction during crystallization by magmatic S in QUE 94484. Cataclastic basaltic breccias PCA 82502 and PCA 91007 are paired (petrology, anomalous oxygen). Although isotopically like Pasamonte, they are petrologically distinct. We confirm the petrological and isotopic anomalies of cumulate gabbro EET 92023; likely formed by impact melting of mixed cumulate and basaltic materials. Many main group eucrites include plagioclases that retain near-liquidus compositions despite metamorphic overprinting. Stannern group eucrites contain more sodic plagioclase, which is consistent with the melt hybridization hypothesis for Stannern group magma formation. The lack of more calcic plagioclase suggests reactive exchange of the anorthite component of the primary melt with the albitic component of the crust. Asteroids that are modestly different in composition can produce virtually indistinguishable basalts, providing a ready explanation for the eucrite-type achondrite suite. Small stochastic variations in petrologic evolution can cause substantial differences in rocks produced on an asteroid.</t>
  </si>
  <si>
    <t>[Mittlefehldt, David W.] NASA, Johnson Space Ctr, Astromat Res Off, Mail Code X13, Houston, TX 77058 USA; [Greenwood, Richard C.] Open Univ, Sch Phys Sci, Planetary &amp; Space Sci, Walton Hall, Milton Keynes MK7 6AA, Bucks, England; [Berger, Eve L.] Texas State Univ, Johnson Space Ctr, NASA, Jacobs JETS Contract, Houston, TX 77058 USA; [Le, Loan; Peng, Zhan X.; Ross, D. Kent] Jacobs JETS NASA, Johnson Space Ctr, Houston, TX 77058 USA; [Ross, D. Kent] UTEP CASSMAR, El Paso, TX 79968 USA; [Peng, Zhan X.] Calif State Univ Northridge, Dept Geol Sci, Northridge, CA 91330 USA</t>
  </si>
  <si>
    <t>National Aeronautics &amp; Space Administration (NASA); NASA Johnson Space Center; Open University - UK; National Aeronautics &amp; Space Administration (NASA); NASA Johnson Space Center; Texas State University System; Texas State University San Marcos; California State University System; California State University Northridge</t>
  </si>
  <si>
    <t>Mittlefehldt, DW (corresponding author), NASA, Johnson Space Ctr, Astromat Res Off, Mail Code X13, Houston, TX 77058 USA.</t>
  </si>
  <si>
    <t>david.w.mittlefehldt@nasa.gov</t>
  </si>
  <si>
    <t>Mittlefehldt, David/JUV-2877-2023</t>
  </si>
  <si>
    <t>Greenwood, Richard/0000-0002-5544-8027</t>
  </si>
  <si>
    <t>National Science Foundation; NASA; NASA's Emerging Worlds Program; UK Science and Technology Facilities Council [ST/T000228/1]; Planetary Science Research Program; STFC [ST/T000228/1] Funding Source: UKRI</t>
  </si>
  <si>
    <t>National Science Foundation(National Science Foundation (NSF)); NASA(National Aeronautics &amp; Space Administration (NASA)); NASA's Emerging Worlds Program; UK Science and Technology Facilities Council(UK Research &amp; Innovation (UKRI)Science &amp; Technology Facilities Council (STFC)); Planetary Science Research Program; STFC(UK Research &amp; Innovation (UKRI)Science &amp; Technology Facilities Council (STFC))</t>
  </si>
  <si>
    <t>We thank the National Science Foundation and NASA for funding the ANSMET collecting teams that brought back the Antarctic samples studied here, and the Meteorite Working Group, NASA-Johnson Space Center, and the National Museum of Natural History (Smithsonian Institution) for allocation of the samples. We thank the Arizona State University Center for Meteorite Studies, the British Museum (Natural History), the Smithsonian Institution, and M. E. Zolensky for the loan of some of the samples used in this study. We thank J. Malley for his help with oxygen isotope analysis work. We thank K. Righter for providing an internal review of a section added during revisions after the journal reviews. We thank the Associate Editor C. Goodrich, and the reviewers R. Mayne, A. H. Treiman, and A. Zhang for their comments on this manuscript which helped us improve it. Support for this research was provided by NASA's Emerging Worlds Program to DWM, and the Planetary Science Research Program. Oxygen isotope studies at the Open University are funded via Consolidated Grant ST/T000228/1 from the UK Science and Technology Facilities Council.</t>
  </si>
  <si>
    <t>10.1111/maps.13730</t>
  </si>
  <si>
    <t>YY8RT</t>
  </si>
  <si>
    <t>WOS:000703092300001</t>
  </si>
  <si>
    <t>Menéndez-Blázquez, J; Soto, F; Negrete, J; Colominas-Ciuró, R; Marín-Sierra, A; Ricca, M; Barbosa, A</t>
  </si>
  <si>
    <t>Menendez-Blazquez, Javier; Soto, Florencia; Negrete, Javier; Colominas-Ciuro, Roger; Marin-Sierra, Andrea; Ricca, Melina; Barbosa, Andres</t>
  </si>
  <si>
    <t>Leukocyte counts in blood smears of Antarctic seals and penguins: a new less time-consuming method</t>
  </si>
  <si>
    <t>Cell counts; Cellular immune response; Marine birds; Marine mammals; Methodology</t>
  </si>
  <si>
    <t>ABNORMALITIES; PARAMETERS; MORPHOLOGY</t>
  </si>
  <si>
    <t>Research on immune response in polar fauna is gaining great importance due to different scenarios of environmental change. Total leukocyte counts in blood smears are one of the most widespread practices and provide useful information about the health status of individuals. However, there is no methodological agreement for these analyses. Total leukocyte counts can be performed at x400 magnification in optical microscopy using 10,000 erythrocytes for standardizing. However, counting such number of erythrocytes is costly and time-consuming. Here, we describe a new technique to simplify leukocyte counts in blood smears from Antarctic wildlife based on the number of microscope fields instead of the number of erythrocytes which reduces considerably the time spent. We have counted total leukocytes using both methods in the three penguin species of the genus Pygoscelis-Adelie (P. adeliae), gentoo (P. papua), and chinstrap penguin (P. antarcticus)-and four Antarctic mammal species: crabeater seal (Lobodon carcinophaga), leopard seal (Hydrurga leptonyx), weddell seal (Leptonychotes weddellii), and southern elephant seal (Mirounga leonina) for validation. Our results show a high correlation between the total leukocyte counts using 10,000 erythrocytes or 10 microscope fields for standardizing. These results show the reliability of the latter method for counting the total number of leukocytes in different species of birds and mammals saving time and effort.</t>
  </si>
  <si>
    <t>[Menendez-Blazquez, Javier; Colominas-Ciuro, Roger; Marin-Sierra, Andrea; Barbosa, Andres] CSIC, Museo Nacl Ciencias Nat, Dept Ecol Evolut, C Jose Gutierrez Abascal 2, Madrid 28006, Spain; [Soto, Florencia; Ricca, Melina] Inst Biol Organismos Marinos IBIOMAR, Blvd Brown 2915,U9120ACF, Puerto Madryn, Chubut, Argentina; [Negrete, Javier] UNSAM, Inst Antartico Argentino, Dept Biol Predadores Tope, Ave 25 Mayo 1150, Gen San Martin, Argentina; [Negrete, Javier] Univ Nacl La Plata, Fac Ciencias Nat &amp; Museo, Ave 122 &amp; 60, La Plata, Argentina</t>
  </si>
  <si>
    <t>Consejo Superior de Investigaciones Cientificas (CSIC); CSIC - Museo Nacional de Ciencias Naturales (MNCN); Instituto Antartico Argentino; National University of La Plata; Museo La Plata</t>
  </si>
  <si>
    <t>Menéndez-Blázquez, J (corresponding author), CSIC, Museo Nacl Ciencias Nat, Dept Ecol Evolut, C Jose Gutierrez Abascal 2, Madrid 28006, Spain.</t>
  </si>
  <si>
    <t>jmenendezblazquez@gmail.com</t>
  </si>
  <si>
    <t>Colominas Ciuró, Roger/HOF-9267-2023; Menéndez-Blázquez, Javier/AAX-3852-2021; Colominas-Ciuro, Roger/ADL-7809-2022; Barbosa, Andres/C-3208-2008</t>
  </si>
  <si>
    <t>Menéndez-Blázquez, Javier/0000-0002-1882-7896; Soto, Florencia/0000-0003-0139-9327; Colominas-Ciuro, Roger/0000-0001-6312-0702; Negrete, Javier/0000-0001-6853-8307; Marin-Sierra, Andrea/0000-0003-0526-9116; Barbosa, Andres/0000-0001-8434-3649</t>
  </si>
  <si>
    <t>Spanish Ministry of Economy and Competitiveness [CTM2011-24427, CTM201564720, PID2019-108597]; Direccion Nacional del Antartico, Instituto Antartico Argentino [PICTA 2010-01]</t>
  </si>
  <si>
    <t>Spanish Ministry of Economy and Competitiveness(Spanish Government); Direccion Nacional del Antartico, Instituto Antartico Argentino</t>
  </si>
  <si>
    <t>The study was funded by the Spanish Ministry of Economy and Competitiveness through projects CTM2011-24427, CTM201564720, and PID2019-108597 and by the Direccion Nacional del Antartico, Instituto Antartico Argentino (PICTA 2010-01).</t>
  </si>
  <si>
    <t>10.1007/s00300-021-02950-0</t>
  </si>
  <si>
    <t>WOS:000703368500001</t>
  </si>
  <si>
    <t>Chee, SY; Yee, JC; Cheah, CB; Evans, AJ; Firth, LB; Hawkins, SJ; Strain, EMA</t>
  </si>
  <si>
    <t>Chee, Su Yin; Yee, Jean Chai; Cheah, Chee Ban; Evans, Ally Jane; Firth, Louise B.; Hawkins, Stephen John; Strain, Elisabeth Marijke Anne</t>
  </si>
  <si>
    <t>Habitat Complexity Affects the Structure but Not the Diversity of Sessile Communities on Tropical Coastal Infrastructure</t>
  </si>
  <si>
    <t>nature-based solutions; ecological engineering; complexity; greening-of-grey infrastructure; blue-green infrastructure; transplant</t>
  </si>
  <si>
    <t>OCEAN SPRAWL; URBAN INFRASTRUCTURE; INTERTIDAL SEAWALLS; SUSPENSION-FEEDERS; MARINE; RECRUITMENT; IMPACTS; URBANIZATION; BIODIVERSITY; CONSEQUENCES</t>
  </si>
  <si>
    <t>Increasing human population, urbanisation, and climate change have resulted in the proliferation of hard coastal infrastructure such as seawalls and breakwaters. There is increasing impetus to create multifunctional coastal defence structures with the primary function of protecting people and property in addition to providing habitat for marine organisms through eco-engineering - a nature-based solutions approach. In this study, the independent and synergistic effects of physical complexity and seeding with native oysters in promoting diversity and abundances of sessile organisms were assessed at two locations on Penang Island, Malaysia. Concrete tiles with varying physical and biological complexity (flat, 2.5 cm ridges and crevices, and 5 cm ridges and crevices that were seeded or unseeded with oysters) were deployed and monitored over 12 months. The survival of the seeded oysters was not correlated with physical complexity. The addition of physical and biological complexity interacted to promote distinct community assemblages, but did not consistently increase the richness, diversity, or abundances of sessile organisms through time. These results indicate that complexity, whether physical or biological, is only one of many influences on biodiversity on coastal infrastructure. Eco-engineering interventions that have been reported to be effective in other regions may not work as effectively in others due to the highly dynamic conditions in coastal environment. Thus, it is important that other factors such as the local species pools, environmental setting (e.g., wave action), biological factors (e.g., predators), and anthropogenic stressors (e.g., pollution) should also be considered when designing habitat enhancements. Such factors acting individually or synergistically could potentially affect the outcomes of any planned eco-engineering interventions.</t>
  </si>
  <si>
    <t>[Chee, Su Yin; Yee, Jean Chai] Univ Sains Malaysia, Ctr Marine &amp; Coastal Studies, George Town, Malaysia; [Cheah, Chee Ban] Univ Sains Malaysia, Sch Housing Bldg &amp; Planning, George Town, Malaysia; [Evans, Ally Jane] Aberystwyth Univ, Inst Biol Environm &amp; Rural Sci, Aberystwyth, Dyfed, Wales; [Evans, Ally Jane; Hawkins, Stephen John] Univ Southampton, Natl Oceanog Ctr Southampton, Sch Ocean &amp; Earth Sci, Southampton, Hants, England; [Firth, Louise B.; Hawkins, Stephen John] Univ Plymouth, Sch Biol &amp; Marine Sci, Plymouth, Devon, England; [Hawkins, Stephen John] Marine Biol Assoc UK, Lab, Plymouth, Devon, England; [Strain, Elisabeth Marijke Anne] Univ Tasmania, Inst Marine &amp; Antarctic Studies, Hobart, Tas, Australia</t>
  </si>
  <si>
    <t>Universiti Sains Malaysia; Universiti Sains Malaysia; UK Research &amp; Innovation (UKRI); Biotechnology and Biological Sciences Research Council (BBSRC); Institute of Biological, Environmental, Rural &amp; Sciences (IBERS); Aberystwyth University; University of Southampton; NERC National Oceanography Centre; University of Plymouth; Marine Biological Association United Kingdom; University of Tasmania</t>
  </si>
  <si>
    <t>Chee, SY (corresponding author), Univ Sains Malaysia, Ctr Marine &amp; Coastal Studies, George Town, Malaysia.</t>
  </si>
  <si>
    <t>suyinchee@usm.my</t>
  </si>
  <si>
    <t>Strain, Elisabeth/U-3520-2017; Chee, Su Yin/E-2977-2018; Cheah, Chee Ban/F-2556-2012</t>
  </si>
  <si>
    <t>Cheah, Chee Ban/0000-0003-2261-2991; Chee, Su Yin/0000-0001-5239-0563</t>
  </si>
  <si>
    <t>Rufford Foundation [20933-2]; EO Berhad; E&amp;O Property (Penang) Sdn. Bhd.; Macro Dimension Concrete Sdn. Bhd.; Universiti Sains Malaysia Research University grants [304/PPANTAI/650876/E117, 304/PPANTAI/650827/E118]; Royal Society International Exchanges Grant [IE150435]; British Ecological Society Small Grant [5546-6590]; Ian Potter Foundation; Harding Miller Foundation; New South Wales Government Office of Science and Research; Ecostructure project - European Regional Development Fund (ERDF) through the Ireland Wales Cooperation Programme 2014-2022</t>
  </si>
  <si>
    <t>Rufford Foundation; EO Berhad; E&amp;O Property (Penang) Sdn. Bhd.; Macro Dimension Concrete Sdn. Bhd.; Universiti Sains Malaysia Research University grants(Universiti Sains Malaysia); Royal Society International Exchanges Grant(Royal Society); British Ecological Society Small Grant; Ian Potter Foundation; Harding Miller Foundation; New South Wales Government Office of Science and Research; Ecostructure project - European Regional Development Fund (ERDF) through the Ireland Wales Cooperation Programme 2014-2022(European Union (EU)Marie Curie Actions)</t>
  </si>
  <si>
    <t>This study was supported financially by The Rufford Foundation (Project no.: 20933-2), E&amp;O Berhad, E&amp;O Property (Penang) Sdn. Bhd., Macro Dimension Concrete Sdn. Bhd., Universiti Sains Malaysia Research University grants (Grant no.: 304/PPANTAI/650876/E117 and 304/PPANTAI/650827/E118), the Royal Society International Exchanges Grant (IE150435), the British Ecological Society Small Grant (5546-6590), the Ian Potter Foundation, Harding Miller Foundation, and The New South Wales Government Office of Science and Research. AE was supported by the Ecostructure project, which is part-funded by the European Regional Development Fund (ERDF) through the Ireland Wales Cooperation Programme 2014-2022.</t>
  </si>
  <si>
    <t>10.3389/fevo.2021.673227</t>
  </si>
  <si>
    <t>WV4FE</t>
  </si>
  <si>
    <t>WOS:000717193100001</t>
  </si>
  <si>
    <t>Holeyappa, SA; Kaur, A; Bansal, N; Ansal, MD; Patil, JG; Thammegowda, NB; Kaur, VI; Sethi, RS</t>
  </si>
  <si>
    <t>Holeyappa, Shanthanagouda Admane; Kaur, Amandeep; Bansal, Neelam; Ansal, Meera D.; Patil, Jawahar G.; Thammegowda, Naveenkumar Billekallu; Kaur, Vaneet Inder; Sethi, Ram Saran</t>
  </si>
  <si>
    <t>Biomarker-assisted assessment of aquatic health using the cosmopolitan common carp, Cyprinus carpio (L): a case study of bisphenol-A exposures</t>
  </si>
  <si>
    <t>ENVIRONMENTAL SCIENCE AND POLLUTION RESEARCH</t>
  </si>
  <si>
    <t>BPA; Hematology; Histomorphology; Hormone disruption; Molecular response</t>
  </si>
  <si>
    <t>ENDOCRINE-DISRUPTING CHEMICALS; MEDAKA ORYZIAS-LATIPES; FRESH-WATER FISH; OXIDATIVE STRESS; DNA METHYLATION; IMMUNE-RESPONSE; GENE-EXPRESSION; IN-VITRO; TOXICITY; GILLS</t>
  </si>
  <si>
    <t>Monitoring aquatic health from environmental pollutants is critical, none more so than bisphenol-A (BPA), a ubiquitous endocrine-disrupting chemical (EDC). The present study brings out the responses of selected transcripts, hormone levels, and tissue histomorphology in a widely distributed fish species Cyprinus carpio (Linn.), following exposure to environmentally relevant (10, 100 ng/L) and higher (1000 ng/L) concentration of BPA. The response of cyp19a1a, cyp19a1b, and c3 significantly decreased, while that of vtg increased in their respective tissue domains. The hematological parameters TEC, Hb, and Hct decreased significantly in contrast to TLC (p &lt; 0.05) at all exposure concentrations, whereas none of the erythrocytic indices (MCV, MCH, and MCHC) was perturbed. The steroidogenic hormone levels, such as estradiol and progesterone, increased significantly with increasing BPA concentrations. In contrast, the testosterone and all the thyroid hormones (T-3, T-4, and TSH) were suppressed significantly (p &lt; 0.05). At the histological level, the BPA induced chondrocyte proliferation, which was accompanied by hemorrhage of the gill lamellae, increased melanomacrophagic centers (MMCs), and degeneration of tubules and fluid accumulation in the kidney. In parallel, binucleated hepatocytes and inflammations were prominent in the liver. Collectively, the histomorphology confirmed induction of degenerative effects in all the tissues investigated, while the cyclic responses of biochemical markers suggest an ability to regulate the impacts. However, a chronic exposure could result in overriding the endemic reproductive pathways with potential population-level effects. In conclusion, the study identified multiple molecular, cellular, and physiological markers that could be employed to detect early signs of BPA and more broadly EDC exposures. These markers in combination with a wide distribution of C. carpio should allow comparative studies of pollutants at environmental concentrations.</t>
  </si>
  <si>
    <t>[Holeyappa, Shanthanagouda Admane; Thammegowda, Naveenkumar Billekallu] Guru Angad Dev Vet &amp; Anim Sci Univ, Coll Fisheries, Dept Aquat Environm, Ludhiana, Punjab, India; [Kaur, Amandeep; Ansal, Meera D.; Kaur, Vaneet Inder] Guru Angad Dev Vet &amp; Anim Sci Univ, Coll Fisheries, Dept Aquaculture, Ludhiana, Punjab, India; [Bansal, Neelam] Guru Angad Dev Vet &amp; Anim Sci Univ, Coll Vet Sci, Dept Vet Anat, Ludhiana, Punjab, India; [Patil, Jawahar G.] Univ Tasmania, Fisheries &amp; Aquaculture Ctr, Inst Marine &amp; Antarctic Studies, Hobart, Tas, Australia; [Sethi, Ram Saran] Guru Angad Dev Vet &amp; Anim Sci Univ, Coll Anim Biotechnol, Ludhiana, Punjab, India</t>
  </si>
  <si>
    <t>Guru Angad Dev Veterinary &amp; Animal Sciences University (GADVASU); Guru Angad Dev Veterinary &amp; Animal Sciences University (GADVASU); Guru Angad Dev Veterinary &amp; Animal Sciences University (GADVASU); University of Tasmania; Guru Angad Dev Veterinary &amp; Animal Sciences University (GADVASU)</t>
  </si>
  <si>
    <t>Holeyappa, SA (corresponding author), Guru Angad Dev Vet &amp; Anim Sci Univ, Coll Fisheries, Dept Aquat Environm, Ludhiana, Punjab, India.;Ansal, MD (corresponding author), Guru Angad Dev Vet &amp; Anim Sci Univ, Coll Fisheries, Dept Aquaculture, Ludhiana, Punjab, India.</t>
  </si>
  <si>
    <t>shanthanagouda@gmail.com; ansalmd@email.com</t>
  </si>
  <si>
    <t>SETHI, RS/ABC-5353-2020</t>
  </si>
  <si>
    <t>SETHI, RS/0000-0003-0416-8946; Admane Holeyappa, shanthanagouda/0000-0002-9907-1129; Kaur, Amandeep/0000-0001-9821-9622</t>
  </si>
  <si>
    <t>0944-1344</t>
  </si>
  <si>
    <t>1614-7499</t>
  </si>
  <si>
    <t>ENVIRON SCI POLLUT R</t>
  </si>
  <si>
    <t>Environ. Sci. Pollut. Res.</t>
  </si>
  <si>
    <t>10.1007/s11356-021-16778-y</t>
  </si>
  <si>
    <t>YS2BO</t>
  </si>
  <si>
    <t>WOS:000702813600005</t>
  </si>
  <si>
    <t>Baker, GB; Garnett, S; Olsen, P</t>
  </si>
  <si>
    <t>Baker, G. Barry; Garnett, Stephen; Olsen, Penelope</t>
  </si>
  <si>
    <t>Fellows of BirdLife Australia: citations</t>
  </si>
  <si>
    <t>EMU-AUSTRAL ORNITHOLOGY</t>
  </si>
  <si>
    <t>[Baker, G. Barry] Univ Tasmania, Inst Marine &amp; Antarctic Studies, Hobart, Tas, Australia; [Garnett, Stephen] Charles Darwin Univ, Res Inst Environm &amp; Livelihoods, Darwin, NT, Australia; [Olsen, Penelope] Australian Natl Univ, Res Sch Biol, Canberra, ACT, Australia</t>
  </si>
  <si>
    <t>University of Tasmania; Charles Darwin University; Australian National University</t>
  </si>
  <si>
    <t>Baker, GB (corresponding author), Univ Tasmania, Inst Marine &amp; Antarctic Studies, Hobart, Tas, Australia.</t>
  </si>
  <si>
    <t>barry.baker@latitude42.com.au</t>
  </si>
  <si>
    <t>Garnett, Stephen T/M-3877-2013</t>
  </si>
  <si>
    <t>TAYLOR &amp; FRANCIS AUSTRALIA</t>
  </si>
  <si>
    <t>MELBOURNE</t>
  </si>
  <si>
    <t>LEVEL 2, 11 QUEENS RD, MELBOURNE, VIC 3004, AUSTRALIA</t>
  </si>
  <si>
    <t>0158-4197</t>
  </si>
  <si>
    <t>1448-5540</t>
  </si>
  <si>
    <t>EMU</t>
  </si>
  <si>
    <t>Emu</t>
  </si>
  <si>
    <t>10.1080/01584197.2021.1993530</t>
  </si>
  <si>
    <t>Ornithology</t>
  </si>
  <si>
    <t>XP4HS</t>
  </si>
  <si>
    <t>WOS:000730828500014</t>
  </si>
  <si>
    <t>Nieva, LV; Peck, LS; Clark, MS</t>
  </si>
  <si>
    <t>Nieva, Leyre Villota; Peck, Lloyd S.; Clark, Melody S.</t>
  </si>
  <si>
    <t>Variable heat shock response in Antarctic biofouling serpulid worms</t>
  </si>
  <si>
    <t>CELL STRESS &amp; CHAPERONES</t>
  </si>
  <si>
    <t>Spirorbid; Romanchella perrieri; Protolaeospira stalagmia; HSP70; HSP90; Stress; Warming</t>
  </si>
  <si>
    <t>EXPRESSION; FAMILY; FISH; SEQUENCES; PROTEINS</t>
  </si>
  <si>
    <t>The classical heat shock response (HSR) with up-regulation of hsp70 in response to warming is often absent in Antarctic marine species. Whilst in Antarctic fish, this is due to a mutation in the gene promoter region resulting in permanent constitutive expression of the inducible form of hsp70; there are further questions as to whether evolution to life below 0 degrees C has resulted in a generalised alteration to the HSR in Antarctic marine invertebrates. However, the number of species investigated to date is limited. In the first evaluation of the HSR in two spirorbid polychaetes Romanchella perrieri and Protolaeospira stalagmia, we show highly variable results of HSR induction depending on warming regimes. These animals were subjected to in situ warming (+ 1 degrees C and + 2 degrees C above ambient conditions) using heated settlement panels for 18 months, and then the HSR was tested in R. perrieri using acute and chronic temperature elevation trials. The classic HSR was not induced in response to acute thermal challenge in this species (2 h at 15 degrees C) and significant down-regulation of hsp90 occurred during chronic warming at 4 degrees C for 30 days. Analysis of heat shock protein (HSP) genes in a transcriptome study of P. stalagmia, which had been warmed in situ for 18 months, showed up-regulation of HSP70 and HSP90 family members, thus further emphasising the complexity of the response in Antarctic marine species. It is increasingly apparent that the Antarctic HSR has evolved in a species-specific manner to life in the cold.</t>
  </si>
  <si>
    <t>[Nieva, Leyre Villota; Peck, Lloyd S.; Clark, Melody S.] NERC, British Antarctic Survey, Madingley Rd, Cambridge CB3 0ET, England; [Nieva, Leyre Villota] Bangor Univ, Sch Ocean Sci, Menai Bridge LL59 5AB, Gwynedd, Wales</t>
  </si>
  <si>
    <t>UK Research &amp; Innovation (UKRI); Natural Environment Research Council (NERC); NERC British Antarctic Survey; Bangor University</t>
  </si>
  <si>
    <t>Clark, MS (corresponding author), NERC, British Antarctic Survey, Madingley Rd, Cambridge CB3 0ET, England.</t>
  </si>
  <si>
    <t>mscl@bas.ac.uk</t>
  </si>
  <si>
    <t>Clark, Melody/D-7371-2014</t>
  </si>
  <si>
    <t>Clark, Melody/0000-0002-3442-3824</t>
  </si>
  <si>
    <t>NERC standard grant [NE/J007501/1]; NERC [NE/J007501/1] Funding Source: UKRI</t>
  </si>
  <si>
    <t>NERC standard grant(UK Research &amp; Innovation (UKRI)Natural Environment Research Council (NERC)); NERC(UK Research &amp; Innovation (UKRI)Natural Environment Research Council (NERC))</t>
  </si>
  <si>
    <t>The work was funded by NERC standard grant NE/J007501/1 awarded to LSP, which included a tied studentship awarded to LV-N.</t>
  </si>
  <si>
    <t>1355-8145</t>
  </si>
  <si>
    <t>1466-1268</t>
  </si>
  <si>
    <t>CELL STRESS CHAPERON</t>
  </si>
  <si>
    <t>Cell Stress Chaperones</t>
  </si>
  <si>
    <t>10.1007/s12192-021-01235-z</t>
  </si>
  <si>
    <t>Cell Biology</t>
  </si>
  <si>
    <t>WU3RC</t>
  </si>
  <si>
    <t>hybrid, Green Accepted, Green Published</t>
  </si>
  <si>
    <t>WOS:000702788200001</t>
  </si>
  <si>
    <t>Simms, AR; Bentley, MJ; Simkins, LM; Zurbuchen, J; Reynolds, LC; DeWitt, R; Thomas, ER</t>
  </si>
  <si>
    <t>Simms, Alexander R.; Bentley, Michael J.; Simkins, Lauren M.; Zurbuchen, Julie; Reynolds, Laura C.; DeWitt, Regina; Thomas, Elizabeth R.</t>
  </si>
  <si>
    <t>Evidence for a Little Ice Age glacial advance within the Antarctic Peninsula - Examples from glacially-overrun raised beaches</t>
  </si>
  <si>
    <t>Neoglacial; Antarctica; Climate change; Holocene; Coast; Sea level; Shallow marine; Glacial advance</t>
  </si>
  <si>
    <t>SOUTH SHETLAND ISLANDS; OPTICALLY STIMULATED LUMINESCENCE; SURFACE MASS-BALANCE; PRINCE GUSTAV CHANNEL; LATE-HOLOCENE ADVANCE; RAPID BEDROCK UPLIFT; KING-GEORGE-ISLAND; MARGUERITE BAY; ISOSTATIC-ADJUSTMENT; SNOW ACCUMULATION</t>
  </si>
  <si>
    <t>Recognition of how dynamic the Antarctic ice sheets and glaciers were during the late Holocene has grown in recent years. Proxy data suggests the presence of Neoglacial advances but few moraines or glacial features from this time have been dated compared to glaciated landscapes of the Northern Hemisphere. Debate continues on whether parts of Antarctica experienced glacial advance at the same time as the Little Ice Age (LIA), which is well-documented in the Northern Hemisphere. We provide new evidence for late Holocene glacial fluctuations at three locations along the Antarctic Peninsula. A moraine or till sheet from a tidewater glacier cross cuts a series of dated raised beaches at Tay Head, Joinville Island along the northwestern Weddell Sea. At Spark Point, on Greenwich Island, a glacier has overrun Holocene raised beaches and a shell-bearing marine deposit is reworked into a glacial diamicton. A third site in Calmette Bay within the larger Marguerite Bay also contains a recent moraine that cuts across a series of dated raised beach ridges. The new ages constraining these glacial advances are in broad agreement with the handful of other existing ages on moraines and proxy records suggestive of cooler conditions within the Antarctic Peninsula. Combining available timing constraints into a Bayesian model yields an age of 400 to 90 cal BP (1550-1860 CE; 95%) for the LIA across the Antarctica Peninsula. Consideration of a two-phase glacial advance within our Bayesian framework does fit more of the data from across the Antarctic Peninsula and suggests advances from 575 to 330 cal BP (1375-1620 CE) and 400 to 50 cal BP (1550-1900 CE). However, more work is needed to determine if such a two-phase advance occurred. Regardless, its similar timing within the Antarctic Peninsula to that of the Northern Hemisphere supports recent assertions of a volcanic or solar forcing for the LIA. These recent readvances also provide a possible mechanism for changes in the rates of Holocene relative sea-level change recorded across the Antarctic Peninsula suggesting that the Antarctic ice sheets may have been more responsive to past climate changes than previously thought and glacial isostatic adjustment from the LIA and possibly other Holocene glacial oscillations is superimposed upon the longer relaxation from the Last Glacial Maximum. (C) 2021 The Authors. Published by Elsevier Ltd.</t>
  </si>
  <si>
    <t>[Simms, Alexander R.; Zurbuchen, Julie] Univ Calif Santa Barbara, Dept Earth Sci, 1006 Webb Hall, Santa Barbara, CA 93106 USA; [Bentley, Michael J.] Univ Durham, Dept Geog, Durham DH1 3LE, England; [Simkins, Lauren M.] Univ Virginia, Dept Environm Sci, Clark Hall 205,291 McCormick Rd, Charlottesville, VA 22904 USA; [DeWitt, Regina] East Carolina Univ, Dept Phys, Howell Sci Complex,Rm C-209,1000 E 5th St, Greenville, NC 27858 USA; [Reynolds, Laura C.] Worcester State Univ, Dept Earth Environm &amp; Phys, 486 Chandler St, Worcester, MA 01602 USA; [Thomas, Elizabeth R.] British Antarctic Survey, Ice Dynam &amp; Paleoclimate, Cambridge CB3 0ET, England</t>
  </si>
  <si>
    <t>University of California System; University of California Santa Barbara; Durham University; University of Virginia; University of North Carolina; East Carolina University; Massachusetts System of Public Higher Education; Worcester State University; UK Research &amp; Innovation (UKRI); Natural Environment Research Council (NERC); NERC British Antarctic Survey</t>
  </si>
  <si>
    <t>Simms, AR (corresponding author), Univ Calif Santa Barbara, Dept Earth Sci, 1006 Webb Hall, Santa Barbara, CA 93106 USA.</t>
  </si>
  <si>
    <t>asimms@geol.ucsb.edu</t>
  </si>
  <si>
    <t>Simms, Alexander R/E-5609-2012; Thomas, Elizabeth Ruth/ADF-3660-2022; IPO, PAGES/JXY-7546-2024</t>
  </si>
  <si>
    <t>Thomas, Elizabeth Ruth/0000-0002-3010-6493; Zurbuchen, Julie/0000-0002-5275-5494; DeWitt, Regina/0000-0003-2876-5489; Simms, Alexander/0000-0001-5034-2189</t>
  </si>
  <si>
    <t>National Science Foundation Office of Polar Programs [1644197, 0838781]; Swiss Academy of Sciences; Chinese Academy of Sciences; Directorate For Geosciences; Office of Polar Programs (OPP) [1644197] Funding Source: National Science Foundation; Office of Polar Programs (OPP); Directorate For Geosciences [0838781] Funding Source: National Science Foundation</t>
  </si>
  <si>
    <t>National Science Foundation Office of Polar Programs(National Science Foundation (NSF)NSF - Directorate for Geosciences (GEO)); Swiss Academy of Sciences; Chinese Academy of Sciences(Chinese Academy of Sciences); Directorate For Geosciences; Office of Polar Programs (OPP)(National Science Foundation (NSF)NSF - Directorate for Geosciences (GEO)); Office of Polar Programs (OPP); Directorate For Geosciences(National Science Foundation (NSF)NSF - Directorate for Geosciences (GEO))</t>
  </si>
  <si>
    <t>This work was funded in part by the National Science Foundation Office of Polar Programs through awards 1644197 and 0838781. We also thank Chris Denker, Cara Ferrier, Daniel Livsey, Chris Garcia, and the Captains and Crews of the R/V Nathaniel B. Palmer, R/V Laurence M. Gould, and the ARA Almirante Irizar for their help in the field. We also thank John Southon and Chanda Bertrand for their help with 14C dating at the University of California Irvine's W.M. Keck Carbon Cycle Accelerator Mass Spectrometer and Eric Benton for the gamma spectrometry measurements. The Spark Point data were collected by M.B. as part of a contribution to the British Antarctic Survey programme GRADES-QWAD, and we are grateful to the crew and pilots of HMS Endurance and field operations team at British Antarctic Survey for their support of the work. We thank the NERC Radiocarbon laboratory for the Spark Point ages, which were provided as part of allocation no. 15.7001 to M.B. The authors acknowledge PALSEA, a working group of the International Union for Quaternary Sciences (INQUA) and Past Global Changes (PAGES), which in turn received support from the Swiss Academy of Sciences and the Chinese Academy of Sciences. This research is a contribution to the SCAR SERCE program. We thank reviewers David Sugden and an additional anonymous reviewer for their beneficial comments.</t>
  </si>
  <si>
    <t>10.1016/j.quascirev.2021.107195</t>
  </si>
  <si>
    <t>WA7XH</t>
  </si>
  <si>
    <t>WOS:000703097800007</t>
  </si>
  <si>
    <t>Ryan, KL; Shaw, J; Tracey, SR; Lyle, JM</t>
  </si>
  <si>
    <t>Ryan, Karina L.; Shaw, Jenny; Tracey, Sean R.; Lyle, Jeremy M.</t>
  </si>
  <si>
    <t>Recreational fishers' perceptions of climate change</t>
  </si>
  <si>
    <t>citizen science; climate change; fisher heterogeneity; recreational fishing; survey sampling</t>
  </si>
  <si>
    <t>LEEUWIN CURRENT; CITIZEN SCIENCE; RANGE; OCEAN; IMPACTS; SHIFTS; AUSTRALIA; ABUNDANCE; BEHAVIOR</t>
  </si>
  <si>
    <t>Shifts in marine species distributions associated with climate change occur across large spatial areas and long time periods. Marine recreational fishing occurs in most countries with many participants interacting regularly with the environment, yet there have been few studies on the views of recreational fishers towards climate change. This study aims to assess perceptions of climate change for a boat-based recreational fishery in Western Australia, where fishing occurs across a wide latitudinal range, from tropical to temperate waters. Perceptions of climate change were assessed by fisher demographics and fishing behaviour. One in two respondents noticed changes in species types and distributions, with metropolitan residents and avid fishers more likely to notice these changes. Two out of three respondents considered climate change is occurring, recognition of which was higher amongst metropolitan residents, females, and younger respondents. Males and older respondents, on the other hand considered themselves to have more knowledge of climate change science. This study provides a baseline to assist in informing policy changes that might be required to address the impacts of climate change. Studies of this kind can also build support for citizen science programs to enhance data collection across the spatial and temporal time scales required to observe climate change.</t>
  </si>
  <si>
    <t>[Ryan, Karina L.] Western Australian Fisheries &amp; Marine Res Labs, Dept Primary Ind &amp; Reg Dev, POB 20, North Beach, WA 6920, Australia; [Ryan, Karina L.; Tracey, Sean R.; Lyle, Jeremy M.] Univ Tasmania, Inst Marine &amp; Antarctic Studies, Private Bag 49, Hobart, Tas 7001, Australia; [Shaw, Jenny] Univ Western Australia, Western Australian Marine Sci Inst, 35 Stirling Highway, Crawley, WA 6009, Australia; [Tracey, Sean R.] Univ Tasmania, Ctr Marine Socioecol, Private Bag 49, Hobart, Tas 7001, Australia</t>
  </si>
  <si>
    <t>Western Australian Fisheries &amp; Marine Research Laboratories; University of Tasmania; Western Australian Marine Science Institution (WAMSI); University of Western Australia; University of Tasmania</t>
  </si>
  <si>
    <t>Ryan, KL (corresponding author), Western Australian Fisheries &amp; Marine Res Labs, Dept Primary Ind &amp; Reg Dev, POB 20, North Beach, WA 6920, Australia.;Ryan, KL (corresponding author), Univ Tasmania, Inst Marine &amp; Antarctic Studies, Private Bag 49, Hobart, Tas 7001, Australia.</t>
  </si>
  <si>
    <t>karina.ryan@dpird.wa.gov.au</t>
  </si>
  <si>
    <t>Ryan, Karina L/AHA-8569-2022; Lyle, Jeremy M/J-7170-2014; Tracey, Sean/J-7446-2014</t>
  </si>
  <si>
    <t>Ryan, Karina L/0000-0001-9712-252X; Tracey, Sean/0000-0002-6735-5899</t>
  </si>
  <si>
    <t>Department of Primary Industries and Regional Development, Edith Cowan University; University of Tasmania</t>
  </si>
  <si>
    <t>This work was supported by the Department of Primary Industries and Regional Development, Edith Cowan University, and the University of Tasmania. This research was conducted with approval of the Edith Cowan University Human Research Ethics Committee (2010-6146).</t>
  </si>
  <si>
    <t>MAR 10</t>
  </si>
  <si>
    <t>10.1093/icesjms/fsab194</t>
  </si>
  <si>
    <t>ZQ0OR</t>
  </si>
  <si>
    <t>WOS:000766813800024</t>
  </si>
  <si>
    <t>Bray, MT; Cavallo, SM; Bluestein, HB</t>
  </si>
  <si>
    <t>Bray, Matthew T.; Cavallo, Steven M.; Bluestein, Howard B.</t>
  </si>
  <si>
    <t>Examining the Relationship between Tropopause Polar Vortices and Tornado Outbreaks</t>
  </si>
  <si>
    <t>WEATHER AND FORECASTING</t>
  </si>
  <si>
    <t>Arctic; Severe storms; Synoptic-scale processes; Potential vorticity; Tropopause; Operational forecasting</t>
  </si>
  <si>
    <t>SOUTHERN-OSCILLATION ENSO; MERGER CYCLOGENESIS EVENT; 25-26 JANUARY 1978; JET STREAKS; CLIMATOLOGY; DIAGNOSIS; SUPERPOSITION; IMPACT; STORMS; WINTER</t>
  </si>
  <si>
    <t>Midlatitude jet streaks are known to produce conditions broadly supportive of tornado outbreaks, including forcing for large-scale ascent, increased wind shear, and decreased static stability. Although many processes may initiate a jet streak, we focus here on the development of jet maxima by interactions between the polar jet and tropopause polar vortices (TPVs). Originating from the Arctic, TPVs are long-lived circulations on the tropopause, which can be advected into the midlatitudes. We hypothesize that when these vortices interact with the jet, they may contribute supplemental forcing for ascent and shear to tornado outbreaks, assuming other environmental conditions supportive of tornado development exist. Using a case set of significant tornado outbreak days from three states-Oklahoma, Illinois, and Alabama-we show that a vortex-jet streak structure is present (within 1250 km) in around two-thirds of tornado outbreaks. These vortices are commonly Arctic in origin (i.e., are TPVs) and are advected through a consistent path of entry into the midlatitudes in the week before the outbreak, moving across the northern Pacific and into the Gulf of Alaska before turning equatorward along the North American coast. These vortices are shown to be more intense and longer-lived than average. We further demonstrate that statistically significant patterns of wind shear, quasigeostrophic forcing for ascent, and low static stability are present over the outbreak regions on the synoptic scale. In addition, we find that TPVs associated with tornadic events occur most often in the spring and are associated with greater low-level moisture when compared to non-tornadic TPV cases. SIGNIFICANCE STATEMENt Tornado outbreaks over the United States have the potential to cause significant loss of life and property. To ensure adequate preparation time and minimize these losses, forecasting these events well before their occurrence is essential; however, it is currently difficult to predict tornado outbreaks more than a few days in advance. This work investigates a potential connection between atmospheric features known as tropopause polar vortices (TPVs) and tornado outbreaks in the United States. Due to their physical characteristics, TPVs have the potential to be forecasted up to weeks in advance. Although further work will be needed to confirm this link, our findings could provide a tool for long-term prediction of future tornado outbreaks.</t>
  </si>
  <si>
    <t>[Bray, Matthew T.; Cavallo, Steven M.; Bluestein, Howard B.] Univ Oklahoma, Sch Meteorol, Norman, OK 73019 USA</t>
  </si>
  <si>
    <t>Bray, MT (corresponding author), Univ Oklahoma, Sch Meteorol, Norman, OK 73019 USA.</t>
  </si>
  <si>
    <t>matthewbray1@ou.edu</t>
  </si>
  <si>
    <t>Bray, Matthew/0009-0002-6444-4383</t>
  </si>
  <si>
    <t>Office of Naval Research [N00014-16-1-2489]; National Science Foundation Graduate Research Fellowship Program [105411900]</t>
  </si>
  <si>
    <t>Office of Naval Research(Office of Naval Research); National Science Foundation Graduate Research Fellowship Program(National Science Foundation (NSF))</t>
  </si>
  <si>
    <t>We thank the members of the University of Oklahoma Arctic and Antarctic Atmospheric Research Group for their advice and support. This work was supported under Office of Naval Research Grant N00014-16-1-2489 and is based on work supported by the National Science Foundation Graduate Research Fellowship Program under Grant 105411900. Any opinions, findings, and conclusions or recommendations expressed in this material are those of the author(s) and do not necessarily reflect the views of the National Science Foundation.</t>
  </si>
  <si>
    <t>0882-8156</t>
  </si>
  <si>
    <t>1520-0434</t>
  </si>
  <si>
    <t>WEATHER FORECAST</t>
  </si>
  <si>
    <t>Weather Forecast.</t>
  </si>
  <si>
    <t>10.1175/WAF-D-21-0058.1</t>
  </si>
  <si>
    <t>ZC2XD</t>
  </si>
  <si>
    <t>WOS:000757388300014</t>
  </si>
  <si>
    <t>Mundim, JV; Dantas, TS; Henriques, DK; de Faria, JEQ; dos Anjos, DAA; Bordin, J; Câmara, PEAS; Carvalho-Silva, M</t>
  </si>
  <si>
    <t>Mundim, Julia, V; Dantas, Tamara S.; Henriques, Diego K.; de Faria-Junior, Jair E. Q.; dos Anjos, Dafne A. A.; Bordin, Jucara; Camara, Paulo E. A. S.; Carvalho-Silva, Micheline</t>
  </si>
  <si>
    <t>Small areas and small plants: Updates on Antarctic bryophytes</t>
  </si>
  <si>
    <t>ACTA BOTANICA BRASILICA</t>
  </si>
  <si>
    <t>Bryophyta; flora; Maritime Antarctica; new occurrence; South Shetlands</t>
  </si>
  <si>
    <t>SOUTH-SHETLAND; ISLANDS; VEGETATION; PENINSULA; RECORDS</t>
  </si>
  <si>
    <t>Snow Island is part of the South Shetland Archipelago in Antarctica. Most of its surface is permanently covered by snow, yet it has an important paleobotanical site. There are no protected areas on the island and no recent data regarding its vegetation. This study aimed to collect and identify fresh samples of bryophytes from President Head Peninsula of Snow Island. Samples were collected during the summers of 2015 and 2018. Among the 24 bryophyte species identified in this work, 19 are new occurrences for Snow Island, bringing the total known for the island to 29 species. The most diverse family is Pottiaceae, with four species of two genera, followed by Bryaceae and Polytrichaceae, with three species each. The results show that the diversity of mosses on Snow Island is greater than previously reported. We here demonstrated the region's importance and the 190 % increase in Snow Island species number. This study also updated the Antarctic distribution of some species.</t>
  </si>
  <si>
    <t>[Mundim, Julia, V; Dantas, Tamara S.; Henriques, Diego K.; dos Anjos, Dafne A. A.; Camara, Paulo E. A. S.; Carvalho-Silva, Micheline] Univ Brasilia, BR-70910900 Brasilia, DF, Brazil; [de Faria-Junior, Jair E. Q.] Jardim Bot Brasilia, BR-71680001 Brasilia, DF, Brazil; [Bordin, Jucara] Univ Estadual Rio Grande do Sul, BR-95520000 Osorio, RS, Brazil</t>
  </si>
  <si>
    <t>Universidade de Brasilia; Universidade Estadual do Rio Grande do Sul (UERGS)</t>
  </si>
  <si>
    <t>Mundim, JV (corresponding author), Univ Brasilia, BR-70910900 Brasilia, DF, Brazil.</t>
  </si>
  <si>
    <t>mundimjv@gmail.com</t>
  </si>
  <si>
    <t>Bordin, Juçara/CAF-1661-2022; Faria Júnior, Jair/GLT-9985-2022; Camara, Paulo/GPP-2054-2022</t>
  </si>
  <si>
    <t>Faria Júnior, Jair/0000-0001-7875-6797; Camara, Paulo/0000-0002-3944-996X; Bordin, Jucara/0000-0002-6964-7334; Anjos, Dafne/0000-0002-0769-2279; Viegas Mundim, Julia/0000-0001-7569-5183; Silva, Micheline/0000-0002-2389-3804; Henriques, Diego Knop/0000-0003-2839-8877</t>
  </si>
  <si>
    <t>PROANTAR; CNPq (National Council for Scientific and Technological Development); Ministry of Science Technology and Innovation (MCTI); CAPES (Coordenacao de Aperfeicoamento de Pessoal de Nivel Superior)</t>
  </si>
  <si>
    <t>PROANTAR; CNPq (National Council for Scientific and Technological Development)(Conselho Nacional de Desenvolvimento Cientifico e Tecnologico (CNPQ)); Ministry of Science Technology and Innovation (MCTI); CAPES (Coordenacao de Aperfeicoamento de Pessoal de Nivel Superior)(Coordenacao de Aperfeicoamento de Pessoal de Nivel Superior (CAPES))</t>
  </si>
  <si>
    <t>To the Brazilian Navy and Air Force for logistic support. The authors are also grateful to Barbara Guedes Costa Silva for helping with the maps. PROANTAR and CNPq (National Council for Scientific and Technological Development) and the Ministry of Science Technology and Innovation (MCTI) for providing funds. The first and second authors thank CAPES (Coordenacao de Aperfeicoamento de Pessoal de Nivel Superior) for partial funding of the study.</t>
  </si>
  <si>
    <t>SOC BOTANICA BRASIL</t>
  </si>
  <si>
    <t>SAO PAULO SP</t>
  </si>
  <si>
    <t>CAIXA POSTAL 3005, SAO PAULO SP, 01061-970, BRAZIL</t>
  </si>
  <si>
    <t>0102-3306</t>
  </si>
  <si>
    <t>1677-941X</t>
  </si>
  <si>
    <t>ACTA BOT BRAS</t>
  </si>
  <si>
    <t>Acta Bot. Bras.</t>
  </si>
  <si>
    <t>OCT-DEC</t>
  </si>
  <si>
    <t>10.1590/0102-33062020abb0431</t>
  </si>
  <si>
    <t>YX6PA</t>
  </si>
  <si>
    <t>WOS:000754221300004</t>
  </si>
  <si>
    <t>Patterson, M; Woollings, T; Bracegirdle, TJ</t>
  </si>
  <si>
    <t>Patterson, Matthew; Woollings, Tim; Bracegirdle, Thomas J.</t>
  </si>
  <si>
    <t>Tropical and Subtropical Forcing of Future Southern Hemisphere Stationary Wave Changes</t>
  </si>
  <si>
    <t>Southern Hemisphere; Stationary waves; Climate change; Climate models</t>
  </si>
  <si>
    <t>SEA-SURFACE TEMPERATURE; ATMOSPHERIC CIRCULATION; CLIMATE-CHANGE; HADLEY-CELL; EL-NINO; CMIP5; UNCERTAINTY; PROPAGATION; WINTER; JET</t>
  </si>
  <si>
    <t>Stationary wave changes play a significant role in the regional climate change response in Southern Hemisphere (SH) winter. In particular, almost all CMIP5 models feature a substantial strengthening of the westerlies to the south of Australia and enhancement of the subtropical jet over the eastern Pacific in winter. In this study we investigate the mechanisms behind these changes, finding that the stationary wave response can largely be explained via reductions in the magnitude of the upper-level Rossby wave source over the tropical/subtropical east Pacific. The Rossby wave source changes in this region are robust across the model ensemble and are strongly correlated with changes to low-latitude circulation patterns, in particular, the projected southward migration of the Hadley cell and weakening of the Walker circulation. To confirm our mechanism of future changes, we employ a series of barotropic model experiments in which the barotropic model is given a background state identical to a particular CMIP5 model and an anomalous Rossby wave source is imposed. This simple approach is able to capture the primary features of the ensemble-mean change, including the cyclonic anomaly south of Australia, and is also able to capture many of the intermodel differences. These findings will help to advance our understanding of the mechanisms underpinning SH extratropical circulation changes under climate change.</t>
  </si>
  <si>
    <t>[Patterson, Matthew; Woollings, Tim] Univ Oxford, Atmospher Ocean &amp; Planetary Phys, Oxford, England; [Bracegirdle, Thomas J.] British Antarctic Survey, Cambridge, England</t>
  </si>
  <si>
    <t>Patterson, M (corresponding author), Univ Oxford, Atmospher Ocean &amp; Planetary Phys, Oxford, England.</t>
  </si>
  <si>
    <t>matthew.patterson@physics.ox.ac.uk</t>
  </si>
  <si>
    <t>Natural Environment Research Council [NE/L002612/1]; Natural Environment Research Council; NERC [bas0100032]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</si>
  <si>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</si>
  <si>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three reviewers for their insightful comments that helped to substantially improve this manuscript. We acknowledge World Climate Research Programme's Working Group on Coupled Modelling, which is responsible for CMIP and also ECMWF for making available ERA-Interim data. We also thank the climate modeling groups (listed in the online supplemental material) for producing and making available their model output. MP was funded by the Natural Environment Research Council (Grant NE/L002612/1). Much of the content in this study forms a part of MP's PhD thesis. TJB was supported by the Natural Environment Research Council as part of the British Antarctic Survey research programme Polar Science for Planet Earth.</t>
  </si>
  <si>
    <t>10.1175/JCLI-D-21-0075.1</t>
  </si>
  <si>
    <t>YV3MD</t>
  </si>
  <si>
    <t>WOS:000752634100008</t>
  </si>
  <si>
    <t>Coburn, J; Pryor, SC</t>
  </si>
  <si>
    <t>Coburn, Jacob; Pryor, S. C.</t>
  </si>
  <si>
    <t>Differential Credibility of Climate Modes in CMIP6</t>
  </si>
  <si>
    <t>Antarctic Oscillation; Arctic Oscillation; ENSO; Teleconnections; Pacific decadal oscillation; Pacific-North American pattern/oscillation; Empirical orthogonal functions; Ranking methods; Spectral analysis/models/distribution; Climate models; Reanalysis data</t>
  </si>
  <si>
    <t>NORTH AMERICAN TELECONNECTION; ANNULAR MODE; GEOPOTENTIAL HEIGHT; ARCTIC OSCILLATION; VARIABILITY; PACIFIC; ENSO; PREDICTABILITY; PROJECTION; PATTERN</t>
  </si>
  <si>
    <t>This work quantitatively evaluates the fidelity with which the northern annular mode (NAM), southern annular mode (SAM), Pacific-North American pattern (PNA), El Nino-Southern Oscillation (ENSO), Pacific decadal oscillation (PDO), Atlantic multidecadal oscillation (AMO), and the first-order mode interactions are represented in Earth system model (ESM) output from the CMIP6 archive. Several skill metrics are used as part of a differential credibility assessment (DCA) of both spatial and temporal characteristics of the modes across ESMs, ESM families, and specific ESM realizations relative to ERA5. The spatial patterns and probability distributions are generally well represented but skill scores that measure the degree to which the frequencies of maximum variance are captured are consistently lower for most ESMs and climate modes. Substantial variability in skill scores manifests across realizations from individual ESMs for the PNA and oceanic modes. Further, the ESMs consistently overestimate the strength of the NAM-PNA first-order interaction and underestimate the NAM-AMO connection. These results suggest that the choice of ESM and ESM realizations will continue to play a critical role in determining climate projections at the global and regional scale at least in the near term.</t>
  </si>
  <si>
    <t>[Coburn, Jacob; Pryor, S. C.] Cornell Univ, Dept Earth &amp; Atmospher Sci, Ithaca, NY 14850 USA</t>
  </si>
  <si>
    <t>Cornell University</t>
  </si>
  <si>
    <t>Coburn, J; Pryor, SC (corresponding author), Cornell Univ, Dept Earth &amp; Atmospher Sci, Ithaca, NY 14850 USA.</t>
  </si>
  <si>
    <t>jjc457@cornell.edu; sp2279@cornell.edu</t>
  </si>
  <si>
    <t>Coburn, Jacob/IAS-0562-2023</t>
  </si>
  <si>
    <t>Coburn, Jacob/0000-0003-0953-8117</t>
  </si>
  <si>
    <t>U.S. Department of Energy (DoE) [DE-SC0016605]; National Science Foundation (NSF): Extreme Science and Engineering Discovery Environment (XSEDE) [TG-ATM170024]</t>
  </si>
  <si>
    <t>U.S. Department of Energy (DoE)(United States Department of Energy (DOE)); National Science Foundation (NSF): Extreme Science and Engineering Discovery Environment (XSEDE)(National Science Foundation (NSF))</t>
  </si>
  <si>
    <t>We acknowledge the climate modeling groups for making their model output available to the scientific community via the CMIP archives and the coordination of these efforts from the World Climate Research Programme. This work is supported by the U.S. Department of Energy (DoE) (DE-SC0016605) and used computing resources from the National Science Foundation (NSF): Extreme Science and Engineering Discovery Environment (XSEDE) (allocation award to SCP is TG-ATM170024).</t>
  </si>
  <si>
    <t>10.1175/JCLI-D-21-0359.1</t>
  </si>
  <si>
    <t>YV3NK</t>
  </si>
  <si>
    <t>WOS:000752637600004</t>
  </si>
  <si>
    <t>Pohl, B; Lorrey, A; Sturman, A; Quénol, H; Renwick, J; Fauchereau, N; Pergaud, J</t>
  </si>
  <si>
    <t>Pohl, Benjamin; Lorrey, Andrew; Sturman, Andrew; Quenol, Herve; Renwick, James; Fauchereau, Nicolas; Pergaud, Julien</t>
  </si>
  <si>
    <t>Beyond Weather Regimes: Descriptors Monitoring Atmospheric Centers of Action-A Case Study for Aotearoa New Zealanda</t>
  </si>
  <si>
    <t>Atmosphere; Southern Hemisphere; Antarctic Oscillation; Synoptic climatology; Climate classification/ regimes; Climate variability; Classification</t>
  </si>
  <si>
    <t>SOUTHERN ANNULAR MODE; MADDEN-JULIAN OSCILLATION; SELF-ORGANIZING MAPS; NORTH-ATLANTIC; CIRCULATION REGIMES; AFRICAN RAINFALL; CLUSTER-ANALYSIS; EL-NINO; CLIMATE; VARIABILITY</t>
  </si>
  <si>
    <t>This paper introduces a set of descriptors applied to weather regimes that allow for a detailed monitoring of the location and intensity of their atmospheric centers of action (e.g., troughs and ridges) and the gradients between them, when applicable. Descriptors are designed to document the effect of climate variability and change in modulating the character of daily weather regimes, rather than merely their occurrence statistics. As a case study, the methodology is applied to Aotearoa New Zealand (ANZ), using ERAS ensemble reanalysis data for the period 1979-2019. Here, we analyze teleconnections between the regimes and their descriptors and large-scale climate variability. Results show a significant modulation of centers of action by the phase of the southern annular mode, with a strong relationship identified with the latitude of atmospheric ridges. Significant associations with El Nino-Southern Oscillation are also identified. Modes of large-scale variability have a stronger influence on the regimes' intrinsic features than their occurrence. This demonstrates the usefulness of such descriptors, which help explain the relationship between midlatitude transient perturbations and large-scale modes of climate variability. In future research, this methodological framework will be applied to analyze (i) low-frequency changes in weather regimes under climate change, in line with the southward shift of storm tracks, and (ii) regional-scale effects on the climate of ANZ, resulting from interaction with its topography.</t>
  </si>
  <si>
    <t>[Pohl, Benjamin; Pergaud, Julien] Univ Bourgogne Franche Comte, CNRS, UMR6282, Biogeosci, Dijon, France; [Lorrey, Andrew; Fauchereau, Nicolas] Natl Inst Water &amp; Atmospher Res, Auckland, New Zealand; [Sturman, Andrew] Univ Canterbury, Sch Earth &amp; Environm, Christchurch, New Zealand; [Quenol, Herve] Univ Rennes 2, UMR6554 LETG CNRS, Rennes, France; [Renwick, James] Victoria Univ Wellington, Sch Geog Environm &amp; Earth Sci, Wellington, New Zealand</t>
  </si>
  <si>
    <t>Universite de Bourgogne; Centre National de la Recherche Scientifique (CNRS); CNRS - Institute of Ecology &amp; Environment (INEE); National Institute of Water &amp; Atmospheric Research (NIWA) - New Zealand; University of Canterbury; Universite Rennes 2; Universite de Rennes; Victoria University Wellington</t>
  </si>
  <si>
    <t>Pohl, B (corresponding author), Univ Bourgogne Franche Comte, CNRS, UMR6282, Biogeosci, Dijon, France.</t>
  </si>
  <si>
    <t>amin.pohl@u-bourgogne.fr</t>
  </si>
  <si>
    <t>Pohl, Benjamin/L-7696-2017</t>
  </si>
  <si>
    <t>University of Burgundy; NIWA Strategic Science Investment Fund project Climate Present and Past''</t>
  </si>
  <si>
    <t>The authors thank the Journal of Climate editorial staff, and two anonymous reviewers whose constructive comments helped to improve this work. This study is a contribution to the International Research Programme VinAdapt funded by France and New Zealand, and sea4seas project funded by the University of Burgundy. AL and NF were supported by the NIWA Strategic Science Investment Fund project ``Climate Present and Past''. All analyses were made with Python (numpy, pandas, scipy, sklearn, math, matplotlib, cartopy, seaborn, and netCDF4), the developers of which are thanked. Calculations were performed using HPC resources from DNUM CCUB (Centre de Calcul de l'Universite de Bourgogne).</t>
  </si>
  <si>
    <t>10.1175/JCLI-D-21-0102.1</t>
  </si>
  <si>
    <t>WOS:000752637600015</t>
  </si>
  <si>
    <t>Smirnov, VG; Bychkova, IA; Zakhvatkina, NY; Mikhal'tseva, SV; Platonova, EV</t>
  </si>
  <si>
    <t>Smirnov, V. G.; Bychkova, I. A.; Zakhvatkina, N. Yu; Mikhal'tseva, S., V; Platonova, E., V</t>
  </si>
  <si>
    <t>Estimation of the Ice-free Period Length for the Russian Arctic Seas Based on Satellite Data for 2018-2020</t>
  </si>
  <si>
    <t>Arctic seas; ice cover; ice-free period; radar images; neural networks</t>
  </si>
  <si>
    <t>The paper describes the experience of using routine satellite radar data to estimate the length of the ice-free period in the Northern Sea Route using a neural network method for the ice cover classification. An earlier onset of melt and a later freezing of ice in the Russian Arctic seas as compared to long-term dates is confirmed.</t>
  </si>
  <si>
    <t>[Smirnov, V. G.; Bychkova, I. A.; Zakhvatkina, N. Yu; Mikhal'tseva, S., V; Platonova, E., V] Arctic &amp; Antarctic Res Inst, Ul Beringa 38, St Petersburg 199397, Russia; [Zakhvatkina, N. Yu] Nansen Int Environm &amp; Remote Sensing Ctr, VO, Chetyrnadtsataya Liniya 7, St Petersburg 199034, Russia</t>
  </si>
  <si>
    <t>Arctic &amp; Antarctic Research Institute; Nansen Environmental &amp; Remote Sensing Center (NERSC)</t>
  </si>
  <si>
    <t>Smirnov, VG (corresponding author), Arctic &amp; Antarctic Res Inst, Ul Beringa 38, St Petersburg 199397, Russia.</t>
  </si>
  <si>
    <t>vgs@aari.ru</t>
  </si>
  <si>
    <t>10.3103/S1068373921100058</t>
  </si>
  <si>
    <t>XX7UN</t>
  </si>
  <si>
    <t>WOS:000736495600005</t>
  </si>
  <si>
    <t>Blount, C; Komyakova, V; Barnes, L; Smith, ML; Zhang, D; Reeds, K; McPhee, D; Taylor, MD; Macbeth, W; Needham, E</t>
  </si>
  <si>
    <t>Blount, Craig; Komyakova, Valeriya; Barnes, Lachlan; Smith, Marcus Lincoln; Zhang, Dilys; Reeds, Kate; McPhee, Daryl; Taylor, Matthew; Macbeth, William; Needham, Evan</t>
  </si>
  <si>
    <t>Using ecological evidence to refine approaches to deploying offshore artificial reefs for recreational fisheries</t>
  </si>
  <si>
    <t>BULLETIN OF MARINE SCIENCE</t>
  </si>
  <si>
    <t>Article; Proceedings Paper</t>
  </si>
  <si>
    <t>10th FSU-Mote International Symposium on Fisheries Ecology / 6th International Symposium on Stock Enhancement and Sea Ranching</t>
  </si>
  <si>
    <t>NOV 10-14, 2019</t>
  </si>
  <si>
    <t>Mote Marine Lab, Sarasota, FL</t>
  </si>
  <si>
    <t>Mote Marine Lab</t>
  </si>
  <si>
    <t>Proceedings of the 1oth FSU-; Mote International Symposium; on Fisheries Ecology and 6th; International Symposium on Stock; Enhancement and Sea Ranching</t>
  </si>
  <si>
    <t>SNAPPER LUTJANUS-CAMPECHANUS; ONTOGENIC HABITAT-SHIFTS; GREAT-BARRIER-REEF; RED SNAPPER; FISH ASSEMBLAGES; RECRUITMENT PATTERNS; PETROLEUM PLATFORMS; POPULATION-DYNAMICS; MOVEMENT PATTERNS; STOCK ENHANCEMENT</t>
  </si>
  <si>
    <t>reefs have many applications but are best known for their deployments to enhance recreational fisheries by creating new habitat in areas where natural reef is otherwise limited. The expectation is that fish assemblages will take up residence on artificial reefs and that these assemblages will become at least similar, if not more diverse and abundant, to those on natural reefs. Although designed, purpose-built artificial reefs are becoming more widely used in support of recreational fisheries and many of the historic issues have been resolved, conservation practitioners and managers still face challenges as to the type, number, and arrangement of structures and where to deploy them to maximize benefits and minimize risks. The ecological literature was reviewed to develop and enhance contemporary principles of artificial reef best practices for utilization. Our review identified optimal shapes, vertical relief, void spaces, and unit arrangements for increasing volumes and diversity of catch to recreational fishers and we provide a tool for identifying the least constrained areas for artificial reef deployment. We suggest; (a) monitoring of noncatch motivators in combination with quantitative indicators of the fishing activity (e.g., catch rate and effort) will provide the best understanding of success or failure of an artificial reef deployment; (b) choosing target species for informing purpose-built artificial reef designs to be reef associated, demersal, philopatric, territorial, and obligatory reef species that are desired by local recreational fishers; and (c) considering the ecosystem services provided by artificial reefs beyond those associated with recreational fishing.</t>
  </si>
  <si>
    <t>[Blount, Craig; Smith, Marcus Lincoln; Zhang, Dilys; Reeds, Kate; Macbeth, William] Cardno NSW ACT Pty Ltd, POB 19, St Leonards, NSW 1590, Australia; [Komyakova, Valeriya] Univ Tasmania, Inst Marine &amp; Antarctic Studies, Hobart, Tas 7001, Australia; [Komyakova, Valeriya] Univ Tasmania, Ctr Marine Socioecol, Hobart, Tas 7001, Australia; [Smith, Marcus Lincoln] Macquarie Univ, Dept Biol Sci, Macquarie Pk, NSW 2109, Australia; [McPhee, Daryl] Bond Univ, Fac Soc &amp; Design, Robina, Qld 4229, Australia; [Taylor, Matthew] New South Wales Dept Primary Ind, Port Stephens Fisheries Inst, Locked Bag 1, Nelson Bay, NSW 2315, Australia; [Needham, Evan] Northern Terr Govt, Dept Primary Ind &amp; Resources, Berrimah Business Pk,33 Vaughan St, Darwin, NT 0801, Australia</t>
  </si>
  <si>
    <t>University of Tasmania; University of Tasmania; Macquarie University; Bond University; NSW Department of Primary Industries; Northern Territory Government</t>
  </si>
  <si>
    <t>Blount, C (corresponding author), Cardno NSW ACT Pty Ltd, POB 19, St Leonards, NSW 1590, Australia.</t>
  </si>
  <si>
    <t>craig.blount@cardno.com.au</t>
  </si>
  <si>
    <t>McPhee, Daryl/AFK-5258-2022; Taylor, Matthew/HMP-1929-2023; Taylor, Matthew David/IRZ-9539-2023; Komyakova, Valeriya/H-4632-2013</t>
  </si>
  <si>
    <t>Taylor, Matthew David/0000-0002-1519-9521;</t>
  </si>
  <si>
    <t>ROSENSTIEL SCH MAR ATMOS SCI</t>
  </si>
  <si>
    <t>MIAMI</t>
  </si>
  <si>
    <t>4600 RICKENBACKER CAUSEWAY, MIAMI, FL 33149 USA</t>
  </si>
  <si>
    <t>0007-4977</t>
  </si>
  <si>
    <t>1553-6955</t>
  </si>
  <si>
    <t>B MAR SCI</t>
  </si>
  <si>
    <t>Bull. Mar. Sci.</t>
  </si>
  <si>
    <t>10.5343/bms.2020.0059</t>
  </si>
  <si>
    <t>Science Citation Index Expanded (SCI-EXPANDED); Conference Proceedings Citation Index - Science (CPCI-S)</t>
  </si>
  <si>
    <t>XR1WG</t>
  </si>
  <si>
    <t>WOS:000732027900010</t>
  </si>
  <si>
    <t>Shimada, S; Nakai, R; Aoki, K; Kudoh, S; Imura, S; Shimoeda, N; Ohno, G; Watanabe, K; Miyazaki, Y; Ishii, Y; Tateda, K</t>
  </si>
  <si>
    <t>Shimada, Sho; Nakai, Ryosuke; Aoki, Kotaro; Kudoh, Sakae; Imura, Satoshi; Shimoeda, Norifumi; Ohno, Giichiro; Watanabe, Kentaro; Miyazaki, Yasunari; Ishii, Yoshikazu; Tateda, Kazuhiro</t>
  </si>
  <si>
    <t>Characterization of the First Cultured Psychrotolerant Representative of Legionella from Antarctica Reveals Its Unique Genome Structure</t>
  </si>
  <si>
    <t>MICROBIOLOGY SPECTRUM</t>
  </si>
  <si>
    <t>Legionella; psychrotolerant; insertion sequence; horizontal gene transfer; comparative genomic analysis; cellular fatty acids; mobile genetic elements</t>
  </si>
  <si>
    <t>CODON USAGE; PNEUMOPHILA; BACTERIUM; SEQUENCE; WATER; TEMPERATURE; DIVERSITY; MECHANISMS; ADAPTATION; ORGANISMS</t>
  </si>
  <si>
    <t>Culture-independent analysis shows that Legionella spp. inhabit a wide range of low-temperature environments, but to date, no psychrotolerant or psychrophilic strains have been reported. Here, we characterized the first cultivated psychrotolerant representative, designated strain TUM19329(T), isolated from an Antarctic lake using a polyphasic approach and comparative genomic analysis. A genome-wide phylogenetic tree indicated that this strain was phylogenetically separate at the species level. Strain TUM19329(T) shared common physiological traits (e.g., Gram-negative, limited growth on buffered charcoal-yeast extract a- ketoglutarate [BCYE alpha] agar with L-cysteine requirements) with its relatives, but it also showed psychrotolerant growth properties (e.g., growth at 4 degrees C to 25 degrees C). Moreover, this strain altered its own cellular fatty acid composition to accumulate unsaturated fatty acid at a lower temperature, which may help maintain the cell membrane fluidity. Through comparative genomic analysis, we found that this strain possessed massive mobile genetic elements compared with other species, amounting to up to 17% of the total genes. The majority of the elements were the result of the spread of only a few insertion sequences (ISs), which were spread throughout the genome by a copy-and-paste mechanism. Furthermore, we found metabolic genes, such as fatty acid synthesis-related genes, acquired by horizontal gene transfer (HGT). The expansion of ISs and HGT events may play a major role in shaping the phenotype and physiology of this strain. On the basis of the features presented here, we propose a new species-Legionella antarctica sp. nov.-represented by strain TUM19329(T) (= GTC 22699(T) = NCTC 14581(T)). IMPORTANCE This study characterized a unique cultivated representative of the genus Legionella isolated from an Antarctic lake. This psychrotolerant strain had some common properties of known Legionella species but also displayed other characteristics, such as plasticity in fatty acid composition and an enrichment of mobile genes in the genome. These remarkable properties, as well as other factors, may contribute to cold hardiness, and this first cultivated cold-tolerant strain of the genus Legionella may serve as a model bacterium for further studies. It is worth noting that environmentally derived 16S rRNA gene phylotypes closely related to the strain characterized here have been detected from diverse environments outside Antarctica, suggesting a wide distribution of psychrotolerant Legionella bacteria. Our culture- and genome-based findings may accelerate the ongoing studies of the behavior and pathogenicity of Legionella spp., which have been monitored for many years in the context of public health.</t>
  </si>
  <si>
    <t>[Shimada, Sho; Aoki, Kotaro; Ishii, Yoshikazu; Tateda, Kazuhiro] Toho Univ, Dept Microbiol &amp; Infect Dis, Sch Med, Tokyo, Japan; [Nakai, Ryosuke] Natl Inst Adv Ind Sci &amp; Technol, Bioprod Res Inst, Sapporo, Hokkaido, Japan; [Shimada, Sho; Miyazaki, Yasunari] Tokyo Med &amp; Dent Univ TMDU, Dept Resp Med, Tokyo, Japan; [Kudoh, Sakae; Imura, Satoshi; Watanabe, Kentaro] Res Org Informat &amp; Syst, Natl Inst Polar Res, Tokyo, Japan; [Kudoh, Sakae; Imura, Satoshi] Grad Univ Adv Studies, SOKENDAI, Dept Polar Sci, Tokyo, Japan; [Shimoeda, Norifumi] Tochinoki Hosp, Tochigi Med Ctr, Utsunomiya, Tochigi, Japan; [Ohno, Giichiro] Tokatsu Hosp, Chiba, Japan</t>
  </si>
  <si>
    <t>Toho University; National Institute of Advanced Industrial Science &amp; Technology (AIST); Tokyo Medical &amp; Dental University (TMDU); Research Organization of Information &amp; Systems (ROIS); National Institute of Polar Research (NIPR) - Japan; Graduate University for Advanced Studies - Japan</t>
  </si>
  <si>
    <t>Ishii, Y (corresponding author), Toho Univ, Dept Microbiol &amp; Infect Dis, Sch Med, Tokyo, Japan.</t>
  </si>
  <si>
    <t>yishii@med.toho-u.ac.jp</t>
  </si>
  <si>
    <t>Miyazaki, Yasunari/B-7847-2015; Nakai, Ryosuke/O-6217-2015</t>
  </si>
  <si>
    <t>Miyazaki, Yasunari/0000-0002-9073-9815; Imura, Satoshi/0000-0002-6803-6996; Shimada, Sho/0000-0001-8417-5577; Nakai, Ryosuke/0000-0002-3078-6695; Ishii, Yoshikazu/0000-0002-1943-4648; Aoki, Kotaro/0000-0002-9237-1217</t>
  </si>
  <si>
    <t>National Institute of Polar Research (NIPR) through General Collaboration Project [31-34]; JSPS KAKENHI [JP19K20462]; MEXT KAKENHI [JP19H05683, JP19H05679]</t>
  </si>
  <si>
    <t>National Institute of Polar Research (NIPR) through General Collaboration Project; JSPS KAKENHI(Ministry of Education, Culture, Sports, Science and Technology, Japan (MEXT)Japan Society for the Promotion of ScienceGrants-in-Aid for Scientific Research (KAKENHI)); MEXT KAKENHI(Ministry of Education, Culture, Sports, Science and Technology, Japan (MEXT)Japan Society for the Promotion of ScienceGrants-in-Aid for Scientific Research (KAKENHI))</t>
  </si>
  <si>
    <t>This study was supported by the National Institute of Polar Research (NIPR) through General Collaboration Project no. 31-34. This study was also partially funded by a Grantin-Aid for Scientific Research on Innovative Areas Post-Koch Ecology (MEXT KAKENHI no. JP19H05683 and JP19H05679 to R.N.) and a Grant-in-Aid for Early-Career Scientists (JSPS KAKENHI no. JP19K20462 to R.N.).</t>
  </si>
  <si>
    <t>2165-0497</t>
  </si>
  <si>
    <t>MICROBIOL SPECTR</t>
  </si>
  <si>
    <t>Microbiol. Spectr.</t>
  </si>
  <si>
    <t>e00424-21</t>
  </si>
  <si>
    <t>10.1128/Spectrum.00424-21</t>
  </si>
  <si>
    <t>XM1XT</t>
  </si>
  <si>
    <t>WOS:000728629300046</t>
  </si>
  <si>
    <t>Wang, ZY; Zhang, F; Liang, YT; Zheng, KY; Gu, CX; Zhang, WJ; Liu, YD; Zhang, XR; Shao, HB; Jiang, Y; Guo, C; He, H; Wang, HL; Sung, YY; Mok, WY; Wong, LL; He, JF; McMinn, A; Wang, M</t>
  </si>
  <si>
    <t>Wang, Ziyue; Zhang, Fang; Liang, Yantao; Zheng, Kaiyang; Gu, Chengxiang; Zhang, Wenjing; Liu, Yundan; Zhang, Xinran; Shao, Hongbing; Jiang, Yong; Guo, Cui; He, Hui; Wang, Hualong; Sung, Yeong Yik; Mok, Wen Jye; Wong, Li Lian; He, Jianfeng; McMinn, Andrew; Wang, Min</t>
  </si>
  <si>
    <t>Genome and Ecology of a Novel Alteromonas Podovirus, ZP6, Representing a New Viral Genus, Mareflavirus</t>
  </si>
  <si>
    <t>bacteriophage; Alteromonas; genomic and comparative genomic analysis; phylogenetic analysis; distribution</t>
  </si>
  <si>
    <t>YELLOW SEA; HISTONE ACETYLATION; PHAGE; DNA; SEQUENCE; VIRUSES; BACTERIOPHAGES; BACTERIA; SITE; IDENTIFICATION</t>
  </si>
  <si>
    <t>Alteromonas is a ubiquitous, abundant, copiotrophic and phytoplankton-associated marine member of the Gammaproteobacteria with a range extending from tropical waters to polar regions and including hadal zones. Here, we describe a novel Alteromonas phage, ZP6, that was isolated from surface coastal waters of Qingdao, China. ZP6 contains a linear, double-stranded, 38,080-bp DNA molecule with 50.1% G+C content and 47 putative open reading frames (ORFs). Three auxiliary metabolic genes were identified, encoding metal-dependent phosphohydrolase, diaminopurine synthetase, and nucleotide pyrophosphohydrolase. The first two ORFs facilitate the replacement of adenine (A) by diaminopurine (Z) in phage genomes and help phages to evade attack from host restriction enzymes. The nucleotide pyrophosphohydrolase enables the host cells to stop programmed cell death and improves the survival rate of the host in a nutrient-depleted environment. Phylogenetic analysis based on the amino acid sequences of whole genomes and comparative genomic analysis revealed that ZP6 is most closely related to Enhodamvirus but with low similarity (shared genes, &lt;30%, and average nucleotide sequence identity, &lt;65%); it is distinct from other bacteriophages. Together, these results suggest that ZP6 could represent a novel viral genus, here named Mareflavirus. Combining its ability to infect Alteromonas, its harboring of a diaminopurine genome-biosynthetic system, and its representativeness of an understudied viral group, ZP6 could be an important and novel model system for marine virus research. IMPORTANCE Alteromonas is an important symbiotic bacterium of phytoplankton, but research on its bacteriophages is still at an elementary level. Our isolation and genome characterization of a novel Alteromonas podovirus, ZP6, identified a new viral genus of podovirus, namely, Mareflavirus. The ZP6 genome, with a diaminopurine genome-biosynthetic system, is different from those of other isolated Alteromonas phages and will bring new impetus to the development of virus classification and provide important insights into novel viral sequences from metagenomic data sets.</t>
  </si>
  <si>
    <t>[Wang, Ziyue; Liang, Yantao; Zheng, Kaiyang; Gu, Chengxiang; Zhang, Wenjing; Liu, Yundan; Zhang, Xinran; Shao, Hongbing; Jiang, Yong; Guo, Cui; He, Hui; Wang, Hualong; McMinn, Andrew; Wang, Min] Ocean Univ China, Coll Marine Life Sci, Frontiers Sci Ctr Deep Ocean Multispheres &amp; Earth, Inst Evolut &amp; Marine Biodivers, Qingdao, Peoples R China; [Zhang, Fang; He, Jianfeng] Polar Res Inst China, Key Lab Polar Sci State Ocean Adm, Shanghai, Peoples R China; [Liang, Yantao; Shao, Hongbing; Jiang, Yong; Guo, Cui; He, Hui; Wang, Hualong; Sung, Yeong Yik; Mok, Wen Jye; Wong, Li Lian; Wang, Min] UMT OUC Joint Ctr Marine Studies, Qingdao, Peoples R China; [Sung, Yeong Yik; Mok, Wen Jye; Wong, Li Lian] Univ Malaysia Terengganu UMT, Inst Marine Biotechnol, Kuala Nerus, Malaysia; [McMinn, Andrew] Univ Tasmania, Inst Marine &amp; Antarctic Studies, Hobart, Tas, Australia; [Wang, Min] Qingdao Univ, Affiliated Hosp, Qingdao, Peoples R China</t>
  </si>
  <si>
    <t>Ocean University of China; Polar Research Institute of China; Universiti Malaysia Terengganu; University of Tasmania; Qingdao University</t>
  </si>
  <si>
    <t>Liang, YT; Wang, M (corresponding author), Ocean Univ China, Coll Marine Life Sci, Frontiers Sci Ctr Deep Ocean Multispheres &amp; Earth, Inst Evolut &amp; Marine Biodivers, Qingdao, Peoples R China.;Liang, YT; Wang, M (corresponding author), UMT OUC Joint Ctr Marine Studies, Qingdao, Peoples R China.;Wang, M (corresponding author), Qingdao Univ, Affiliated Hosp, Qingdao, Peoples R China.</t>
  </si>
  <si>
    <t>WONG, LI LIAN/ABE-1887-2022; Mok, Wen Jye/AAF-9229-2019; Jiang, Yong/AGK-3016-2022; gu, chengxiang/ABA-7780-2021; Li, Yan/JRW-0176-2023; Wang, Min/AFR-9645-2022; Sung, Yeong Yik/AAA-2654-2020</t>
  </si>
  <si>
    <t>Mok, Wen Jye/0000-0002-7629-8312; Jiang, Yong/0000-0002-4072-1668; Wang, Min/0000-0002-2357-589X; Sung, Yeong Yik/0000-0001-5897-9037; liang, yan tao/0000-0002-2477-8197; Jiang, Yong/0000-0001-6055-488X</t>
  </si>
  <si>
    <t>Marine Scientific and Technological Innovation Project - Pilot National Laboratory for Marine Science and Technology (Qingdao) [2018SDKJ0406-6]; National Key Research and Development Program of China [2018YFC1406704]; National Natural Science Foundation of China [41976117, 41606153, 42120104006, 42176111, 41676178, 31500339, 41076088]; Fundamental Research Funds for the Central University of Ocean University of China [202072002, 201812002, 201762017, 201562018]</t>
  </si>
  <si>
    <t>Marine Scientific and Technological Innovation Project - Pilot National Laboratory for Marine Science and Technology (Qingdao); National Key Research and Development Program of China; National Natural Science Foundation of China(National Natural Science Foundation of China (NSFC)); Fundamental Research Funds for the Central University of Ocean University of China</t>
  </si>
  <si>
    <t>The research was funded by the Marine Scientific and Technological Innovation Project, financially supported by Pilot National Laboratory for Marine Science and Technology (Qingdao) (grant number 2018SDKJ0406-6), the National Key Research and Development Program of China (grant number 2018YFC1406704), National Natural Science Foundation of China (grants number 41976117, 41606153, 42120104006, 42176111, 41676178, 31500339, and 41076088), and Fundamental Research Funds for the Central University of Ocean University of China (grants number 202072002, 201812002, 201762017, and 201562018).</t>
  </si>
  <si>
    <t>e00463-21</t>
  </si>
  <si>
    <t>10.1128/Spectrum.00463-21</t>
  </si>
  <si>
    <t>WOS:000728629300052</t>
  </si>
  <si>
    <t>Hernández-Becerril, DU; Arce-Rocha, G</t>
  </si>
  <si>
    <t>Uriel Hernandez-Becerril, David; Arce-Rocha, Graciela</t>
  </si>
  <si>
    <t>Morphology of two species of the thecate dinoflagellate genus Blepharocysta (Dinophyta) from the tropical Mexican Pacific</t>
  </si>
  <si>
    <t>REVISTA MEXICANA DE BIODIVERSIDAD</t>
  </si>
  <si>
    <t>Blepharocysta; Planktonic thecate dinoflagellates; Podolampadaceae; Tropical Mexican Pacific</t>
  </si>
  <si>
    <t>PODOLAMPADACEAE LINDEMANN DINOPHYCEAE; MOLECULAR PHYLOGENY; SP-NOV; PERIDINIALES; NAME; CONSERVE; POSITION; PROPOSAL; MEMBER</t>
  </si>
  <si>
    <t>The genus Blepharocysta Ehrenberg currently comprises 5 species of truly marine planktonic thecate dinoflagellates, which are solitary, globose, subspherical and heterotrophic cells, lack typical depressed cingulum and sulcus, and are mainly distributed in tropical areas. The morphology of 2 species, Blepharocysta splendor-maris and B. paulsenii, found in net samples from the tropical Mexican Pacific, was studied by LM and SEM, especially plate arrangement and theca ornamentation. Blepharocysta splendor-maris showed more ovoid cells, developed sulcal lists, and theca with shallow poroids having a relative low density, whereas B. paulsenii had more spherical cells, shorter epitheca, reduced and slightly ornamented sulcal lists, and theca with deep poroids having a relatively higher density. The thecal tabulation in both species agrees with conventional tabulation, including the anterior intercalary plate in B. paulsenii. A comparison of both morphological and ecological characteristics among all species of the genus is done, outstanding shape of cells, relative size, development of sulcal lists, and especially the theca ornamentation as important morphological characters to distinguish species. Blepharocysta splendor-maris is the only species distributed from tropical to Antarctic waters, whereas the others are limited to tropical and subtropical waters.</t>
  </si>
  <si>
    <t>[Uriel Hernandez-Becerril, David] Univ Nacl Autonoma Mexico, Inst Ciencias Mar &amp; Limnol, Circuito Exterior S-N,Ciudad Univ, Ciudad De Mexico 04510, Mexico; [Arce-Rocha, Graciela] Univ Nacl Autonoma Mexico, Fac Ciencias, Circuit Exterior S-N,Ciudad Univ, Ciudad De Mexico 04510, Mexico</t>
  </si>
  <si>
    <t>Universidad Nacional Autonoma de Mexico; Universidad Nacional Autonoma de Mexico</t>
  </si>
  <si>
    <t>Hernández-Becerril, DU (corresponding author), Univ Nacl Autonoma Mexico, Inst Ciencias Mar &amp; Limnol, Circuito Exterior S-N,Ciudad Univ, Ciudad De Mexico 04510, Mexico.</t>
  </si>
  <si>
    <t>dhernand@cmarl.unam.mx</t>
  </si>
  <si>
    <t>PAPIIT, DGAPA, UNAM [IN226209-3, IN296516]; Coordinacion de la Investigacion Cientifica (CIC), Universidad Nacional Autonoma de Mexico (UNAM)</t>
  </si>
  <si>
    <t>PAPIIT, DGAPA, UNAM(Programa de Apoyo a Proyectos de Investigacion e Innovacion Tecnologica (PAPIIT)Universidad Nacional Autonoma de Mexico); Coordinacion de la Investigacion Cientifica (CIC), Universidad Nacional Autonoma de Mexico (UNAM)</t>
  </si>
  <si>
    <t>To M.C. Carbonell-Moore for her help in identifying the 2 species studied here. Additionally, Yolanda Hornelas Orozco (ex-technician SAMEB, ICML, UNAM) provided skilled technical support at the SEM. Partial support for this study was provided by PAPIIT, DGAPA, UNAM (projects IN226209-3 and IN296516) . Coordinacion de la Investigacion Cientifica (CIC) , Universidad Nacional Autonoma de Mexico (UNAM) approved and supported the use of the R/V El Puma to carry out the oceanographic cruise MareaR VI from 10-21 June, 2014. Comments and recommendations by the editor-in-chief and an anonymous reviewer greatly helped to improve a previous version of this paper.</t>
  </si>
  <si>
    <t>INST BIOLOGIA, UNIV NACIONAL AUTONOMA MEXICO</t>
  </si>
  <si>
    <t>MEXICO</t>
  </si>
  <si>
    <t>APARTADO POSTAL 70-233, MEXICO, D F 00000, MEXICO</t>
  </si>
  <si>
    <t>1870-3453</t>
  </si>
  <si>
    <t>2007-8706</t>
  </si>
  <si>
    <t>REV MEX BIODIVERS</t>
  </si>
  <si>
    <t>Rev. Mex. Biodivers.</t>
  </si>
  <si>
    <t>e923826</t>
  </si>
  <si>
    <t>10.22201/ib.20078706e.2021.92.3826</t>
  </si>
  <si>
    <t>Biodiversity Conservation</t>
  </si>
  <si>
    <t>Biodiversity &amp; Conservation</t>
  </si>
  <si>
    <t>XN4DI</t>
  </si>
  <si>
    <t>WOS:000729456900013</t>
  </si>
  <si>
    <t>Sun, WJ; Yang, JS; Tan, W; Liu, Y; Zhao, BJ; He, YJ; Dong, CM</t>
  </si>
  <si>
    <t>Sun, Wenjin; Yang, Jingsong; Tan, Wei; Liu, Yu; Zhao, Baojun; He, Yijun; Dong, Changming</t>
  </si>
  <si>
    <t>Eddy diffusivity and coherent mesoscale eddy analysis in the Southern Ocean</t>
  </si>
  <si>
    <t>ACTA OCEANOLOGICA SINICA</t>
  </si>
  <si>
    <t>eddy diffusivity; transient mesoscale eddy; coherent mesoscale eddy; eddy penetration depth; Southern Ocean</t>
  </si>
  <si>
    <t>RESIDUAL-MEAN VELOCITY; EDDIES; SURFACE; CIRCULATION; PARAMETERIZATION; VARIABILITY; TRANSPORT; TRACER; COEFFICIENT; CHLOROPHYLL</t>
  </si>
  <si>
    <t>The spatial distribution of eddy diffusivity, basic characteristics of coherent mesoscale eddies and their relationship are analyzed from numerical model outputs in the Southern Ocean. Mesoscale fluctuation information is obtained by a temporal-spatial filtering method, and the eddy diffusivity is calculated using a linear regression analysis between isoneutral thickness flux and large-scale isoneutral thickness gradient. The eddy diffusivity is on the order of O (10(3) m(2)/s) with a significant spatial variation, and it is larger in the area with strong coherent mesoscale eddy activity. The mesoscale eddies are mainly located in the upper ocean layer, with the average intensity no larger than 0.2. The mean radius of the coherent mesoscale cyclonic (anticyclonic) eddy gradually decays from (121.2 +/- 10.4) km ((117.8 +/- 9.6) km) at 30 degrees S to (43.9 +/- 5.3) km ((44.7 +/- 4.9) km) at 65 degrees S. Their vertical penetration depths (lifespans) are deeper (longer) between the northern side of the Subpolar Antarctic Front and 48 degrees S. The normalized eddy diffusivity and coherent mesoscale eddy activity show a significant positive correlation, indicating that coherent mesoscale eddy plays an important role in eddy diffusivity.</t>
  </si>
  <si>
    <t>[Sun, Wenjin; He, Yijun; Dong, Changming] Nanjing Univ Informat Sci &amp; Technol, Sch Marine Sci, Nanjing 210044, Peoples R China; [Sun, Wenjin; Yang, Jingsong] Minist Nat Resources, State Key Lab Satellite Ocean Environm Dynam, Inst Oceanog 2, Hangzhou 310012, Peoples R China; [Sun, Wenjin; Yang, Jingsong; Liu, Yu; Dong, Changming] Southern Marine Sci &amp; Engn Guangdong Lab Zhuhai, Zhuhai 519080, Peoples R China; [Tan, Wei] Shandong Univ Sci &amp; Technol, Coll Ocean Sci &amp; Engn, Qingdao 266590, Peoples R China; [Liu, Yu] Zhejiang Ocean Univ, Marine Sci &amp; Technol Coll, Zhoushan 316022, Peoples R China; [Zhao, Baojun] Yangzhou Univ, Coll Hydraul Sci &amp; Engn, Yangzhou 225009, Jiangsu, Peoples R China</t>
  </si>
  <si>
    <t>Nanjing University of Information Science &amp; Technology; Ministry of Natural Resources of the People's Republic of China; Southern Marine Science &amp; Engineering Guangdong Laboratory; Southern Marine Science &amp; Engineering Guangdong Laboratory (Zhuhai); Shandong University of Science &amp; Technology; Zhejiang Ocean University; Yangzhou University</t>
  </si>
  <si>
    <t>Dong, CM (corresponding author), Nanjing Univ Informat Sci &amp; Technol, Sch Marine Sci, Nanjing 210044, Peoples R China.;Dong, CM (corresponding author), Southern Marine Sci &amp; Engn Guangdong Lab Zhuhai, Zhuhai 519080, Peoples R China.</t>
  </si>
  <si>
    <t>cmdong@nuist.edu.cn</t>
  </si>
  <si>
    <t>Sun, Wenjin/GWM-8097-2022; TAN, Wei/HHC-8417-2022</t>
  </si>
  <si>
    <t>Sun, Wenjin/0000-0002-7426-3175</t>
  </si>
  <si>
    <t>National Key Research Programs of China [2017YFA0604100]; National Natural Science Foundation of China [41906008, 41806039, 41706205]; Open Fund of State Key Laboratory of Satellite Ocean Environment Dynamics, Second Institute of Oceanography, MNR [QNHX2022]; Startup Foundation for Introducing Talent of Nanjing University of Information Science Technology [2019r049]; Startup Foundation for Introducing Talent of Zhejiang Ocean University; Innovation Group Project of Southern Marine Science and Engineering Guangdong Laboratory (Zhuhai) [311020004]</t>
  </si>
  <si>
    <t>National Key Research Programs of China; National Natural Science Foundation of China(National Natural Science Foundation of China (NSFC)); Open Fund of State Key Laboratory of Satellite Ocean Environment Dynamics, Second Institute of Oceanography, MNR; Startup Foundation for Introducing Talent of Nanjing University of Information Science Technology; Startup Foundation for Introducing Talent of Zhejiang Ocean University; Innovation Group Project of Southern Marine Science and Engineering Guangdong Laboratory (Zhuhai)</t>
  </si>
  <si>
    <t>The National Key Research Programs of China under contract No. 2017YFA0604100; the National Natural Science Foundation of China under contract Nos 41906008, 41806039 and 41706205; the Open Fund of State Key Laboratory of Satellite Ocean Environment Dynamics, Second Institute of Oceanography, MNR under contract No. QNHX2022; the Startup Foundation for Introducing Talent of Nanjing University of Information Science &amp; Technology under contract No. 2019r049; the Startup Foundation for Introducing Talent of Zhejiang Ocean University; the Innovation Group Project of Southern Marine Science and Engineering Guangdong Laboratory (Zhuhai) under contract No. 311020004.</t>
  </si>
  <si>
    <t>0253-505X</t>
  </si>
  <si>
    <t>1869-1099</t>
  </si>
  <si>
    <t>ACTA OCEANOL SIN</t>
  </si>
  <si>
    <t>Acta Oceanol. Sin.</t>
  </si>
  <si>
    <t>10.1007/s13131-021-1881-4</t>
  </si>
  <si>
    <t>XF3WX</t>
  </si>
  <si>
    <t>WOS:000724005600001</t>
  </si>
  <si>
    <t>Lee, WS; Park, Y; Lee, CK</t>
  </si>
  <si>
    <t>Lee, Won Sang; Park, Yongcheol; Lee, Choon-Ki</t>
  </si>
  <si>
    <t>Recent anomalous seismic activity in the Bransfield Strait, near King Sejong Station, Antarctic Peninsula (August 2020-February 2021)</t>
  </si>
  <si>
    <t>JOURNAL OF THE GEOLOGICAL SOCIETY OF KOREA</t>
  </si>
  <si>
    <t>Korean</t>
  </si>
  <si>
    <t>anomalously high seismicity; earthquake swarm; Bransfield Strait; Antarctic Peninsula</t>
  </si>
  <si>
    <t>PLATE; EARTHQUAKE</t>
  </si>
  <si>
    <t>There have been 170 earthquakes with seismic magnitudes ranging from 4.0-6.9 in the Bransfield Strait, Antarctic Peninsula, reported by the USGS since the first event (Mw 4.9) occurred on 29 August 2020, which is anomalously high seismicity in this region. The largest event in the earthquake swarm sequence occurred similar to 200 km northeast of the Orca submarine volcano on 23 January 2021, which has a magnitude Mw 6.9. We investigated the seismic data recorded at JUBA where is located in the King George Island and found that total 34,101 events were detected by applying the STA/LTA method and the daily occurrence exceeds 100 events until early November 2020 then gets smaller. Furthermore, the Focal Mechanisms Classification analysis for 27 earthquakes that moment tensor solutions are provided by the USGS indicates that most events are characterized by strike-slip faultings and a few normal faulting events. Some events with a compensated linear vector dipole component of more than 10% may implicate volumetric changes associated with submarine volcanic environments, even though it should be carefully examined by collecting more data through international collaborations.</t>
  </si>
  <si>
    <t>[Lee, Won Sang; Lee, Choon-Ki] Korea Polar Res Inst, Div Glacial Environm Res, Incheon 21990, South Korea; [Park, Yongcheol] Korea Polar Res Inst, Div Earth Sci, Incheon 21990, South Korea</t>
  </si>
  <si>
    <t>Korea Polar Research Institute (KOPRI); Korea Polar Research Institute (KOPRI)</t>
  </si>
  <si>
    <t>Lee, WS (corresponding author), Korea Polar Res Inst, Div Glacial Environm Res, Incheon 21990, South Korea.</t>
  </si>
  <si>
    <t>wonsang@kopri.re.kr</t>
  </si>
  <si>
    <t>Lee, Won Sang/0000-0002-1074-7672</t>
  </si>
  <si>
    <t>GEOLOGICAL SOC KOREA</t>
  </si>
  <si>
    <t>SEOUL</t>
  </si>
  <si>
    <t>KOREA SCIENCE &amp; TECHNOLOGY CTR, RM 813, 7 GIL 22, TEHERAN- RO, GANGNAM-GUNA, SEOUL, 06130, SOUTH KOREA</t>
  </si>
  <si>
    <t>0435-4036</t>
  </si>
  <si>
    <t>2288-7377</t>
  </si>
  <si>
    <t>J GEOL SOC KOREA</t>
  </si>
  <si>
    <t>J. Geol. Soc. Korea</t>
  </si>
  <si>
    <t>10.14770/jgsk.2021.57.5.717</t>
  </si>
  <si>
    <t>XF7OW</t>
  </si>
  <si>
    <t>WOS:000724258300006</t>
  </si>
  <si>
    <t>Hong, N</t>
  </si>
  <si>
    <t>Hong, Nong</t>
  </si>
  <si>
    <t>Weighing the Sources of International Law The Arctic, Antarctica and the South China Sea</t>
  </si>
  <si>
    <t>ASIA-PACIFIC JOURNAL OF OCEAN LAW AND POLICY</t>
  </si>
  <si>
    <t>international law; treaty; custom; Arctic; Antarctica; South China Sea</t>
  </si>
  <si>
    <t>There is a long-standing debate on the weight or preference given to different sources of international law in jurisprudence. This article aims to discuss the interplay of three pairs of sources of international law; namely between old treaties and new treaties, treaties and customs, and existing treaties and emerging treaties in the context of three regions which are featured with typical maritime related issues. In the Arctic region, the 1925 Svalbard Treaty and the 1982 United Nations Convention on the Law of the Sea (UNCLOS) become the sources of conflicts or different legal positions between Norway and some other States who are parties to both treaties. In the South China Sea, the major legal issue, among many other important ones such as island regime, is the relationship between UNCLOS as a treaty law and historic rights as a customary international law. The Antarctic Treaty System (ATS) may be influenced by the new instrumental arrangements made by Biodiversity Beyond National Jurisdiction (BBNJ) negotiation, reflecting the importance of ensuring the emerging treaty will not interrupt the jurisdiction of established treaties.</t>
  </si>
  <si>
    <t>[Hong, Nong] Inst China Amer Studies, Washington, DC 20036 USA</t>
  </si>
  <si>
    <t>Hong, N (corresponding author), Inst China Amer Studies, Washington, DC 20036 USA.</t>
  </si>
  <si>
    <t>hongnong@chinaus-icas.org</t>
  </si>
  <si>
    <t>BRILL</t>
  </si>
  <si>
    <t>LEIDEN</t>
  </si>
  <si>
    <t>PLANTIJNSTRAAT 2, P O BOX 9000, 2300 PA LEIDEN, NETHERLANDS</t>
  </si>
  <si>
    <t>2451-9367</t>
  </si>
  <si>
    <t>2451-9391</t>
  </si>
  <si>
    <t>ASIA-PAC J OCEAN LAW</t>
  </si>
  <si>
    <t>Asia-Pac. J. Ocean Law Policy</t>
  </si>
  <si>
    <t>10.1163/24519391-06020004</t>
  </si>
  <si>
    <t>International Relations; Law</t>
  </si>
  <si>
    <t>WW0SS</t>
  </si>
  <si>
    <t>WOS:000717637900005</t>
  </si>
  <si>
    <t>Falkner, KK; Francis, DJ</t>
  </si>
  <si>
    <t>Falkner, Kelly K.; Francis, Dame Jane</t>
  </si>
  <si>
    <t>'No continent is immune, including Antarctica', but National Antarctic Programmes acted collectively to avert disaster</t>
  </si>
  <si>
    <t>[Falkner, Kelly K.] Bur Oceans &amp; Int Environm &amp; Sci Affairs, NSF Sci &amp; Technol Cooperat Off, US Dept State, Washington, DC 20520 USA; [Francis, Dame Jane] British Antarctic Survey, Cambridge, England</t>
  </si>
  <si>
    <t>Falkner, KK (corresponding author), Bur Oceans &amp; Int Environm &amp; Sci Affairs, NSF Sci &amp; Technol Cooperat Off, US Dept State, Washington, DC 20520 USA.</t>
  </si>
  <si>
    <t>PII S0954102021000481</t>
  </si>
  <si>
    <t>10.1017/S0954102021000481</t>
  </si>
  <si>
    <t>XB4WK</t>
  </si>
  <si>
    <t>WOS:000721331200003</t>
  </si>
  <si>
    <t>Cucini, C; Leo, C; Nardi, F; Greco, S; Manfrin, C; Giulianini, PG; Carapelli, A</t>
  </si>
  <si>
    <t>Cucini, Claudio; Leo, Chiara; Nardi, Francesco; Greco, Samuele; Manfrin, Chiara; Giulianini, Piero G.; Carapelli, Antonio</t>
  </si>
  <si>
    <t>First de novo transcriptome analysis of the Antarctic springtail Cryptopygus terranovus (Collembola: Isotomidae) following mid-term heat exposure</t>
  </si>
  <si>
    <t>gene expression; RNA-Seq; springtails; thermal stress; transcriptomics; Victoria Land</t>
  </si>
  <si>
    <t>TOLERANCE; DESICCATION; HEXAPODA; SHOCK</t>
  </si>
  <si>
    <t>Global human activities, such as greenhouse emissions and pollution, are promoting global warming, environmental changes and biodiversity reduction. Pristine environments such as those of Antarctica are not immune to these phenomena, as is noticeable from the increasing pace of the temperature shift registered within the continent in recent decades. In this study, we describe the first de novo transcriptome analysis of the endemic Antarctic springtail (= collembolan) Cryptopygus terranovus and we evaluate its global gene expression response following a mid-term exposure of 20 days to 18 degrees C. Expression data are compared with wild specimens sampled from their native environment to outline the molecular mechanisms triggered by the thermal exposure. Although individual plasticity in transcript modulation is assessed, several pathways appear to be differentially modulated in springtails subjected to the heat treatment vs wild specimens. Through enrichment analysis, we show that protein catabolism, fatty acid metabolism and a sexual response characterized by spermatid development are induced, while carbohydrate consumption, lipid catabolism and tissue development are downregulated in treated samples compared to controls.</t>
  </si>
  <si>
    <t>[Cucini, Claudio; Nardi, Francesco; Carapelli, Antonio] Univ Siena, Dept Life Sci, I-53100 Siena, Italy; [Leo, Chiara] Imperial Coll London, Dept Life Sci, London SW7 2AZ, England; [Greco, Samuele; Manfrin, Chiara; Giulianini, Piero G.] Univ Trieste, Dept Life Sci, I-34127 Trieste, Italy</t>
  </si>
  <si>
    <t>University of Siena; Imperial College London; University of Trieste</t>
  </si>
  <si>
    <t>Cucini, C (corresponding author), Univ Siena, Dept Life Sci, I-53100 Siena, Italy.</t>
  </si>
  <si>
    <t>claudio.cucini@student.unisi.it</t>
  </si>
  <si>
    <t>Leo, Chiara/AAG-7672-2021; Nardi, Francesco/E-5516-2011; CUCINI, CLAUDIO/AAK-4520-2020</t>
  </si>
  <si>
    <t>Leo, Chiara/0000-0003-0510-2535; Nardi, Francesco/0000-0003-0271-9855; CUCINI, CLAUDIO/0000-0003-1918-0702; CARAPELLI, Antonio/0000-0002-3165-9620; Greco, Samuele/0000-0003-3435-2656; Giulianini, Piero Giulio/0000-0001-5356-7754</t>
  </si>
  <si>
    <t>Italian National Antarctic Program (PNRA) [PNRA16_00234]</t>
  </si>
  <si>
    <t>Italian National Antarctic Program (PNRA)</t>
  </si>
  <si>
    <t>This study was funded by the Italian National Antarctic Program (PNRA), grant number: PNRA16_00234.</t>
  </si>
  <si>
    <t>PII S0954102021000195</t>
  </si>
  <si>
    <t>10.1017/S0954102021000195</t>
  </si>
  <si>
    <t>WOS:000721331200004</t>
  </si>
  <si>
    <t>Carvalho-Silva, M; Rosa, LH; Pinto, OHB; Da Silva, TH; Henriques, DK; Convey, P; Câmara, PEAS</t>
  </si>
  <si>
    <t>Carvalho-Silva, Micheline; Rosa, Luiz Henrique; Pinto, Otavio H. B.; Da Silva, Thamar Holanda; Henriques, Diego Knop; Convey, Peter; Camara, Paulo E. A. S.</t>
  </si>
  <si>
    <t>Exploring the plant environmental DNA diversity in soil from two sites on Deception Island (Antarctica, South Shetland Islands) using metabarcoding</t>
  </si>
  <si>
    <t>Crater Lake; eDNA; HTS; ITS2; next-generation sequencing; Whalers Bay</t>
  </si>
  <si>
    <t>HORIZONTAL GENE-TRANSFER; BIOLOGICAL INVASIONS; MICROORGANISMS; ESTABLISHMENT; REGENERATION; TERRESTRIAL; COMMUNITIES; IMPACTS</t>
  </si>
  <si>
    <t>The few Antarctic studies to date to have applied metabarcoding in Antarctica have primarily focused on microorganisms. In this study, for the first time, we apply high-throughput sequencing of environmental DNA to investigate the diversity of Embryophyta (Viridiplantae) DNA present in soil samples from two contrasting locations on Deception Island. The first was a relatively undisturbed site within an Antarctic Specially Protected Area at Crater Lake, and the second was a heavily human-impacted site in Whalers Bay. In samples obtained at Crater Lake, 84% of DNA reads represented fungi, 14% represented Chlorophyta and 2% represented Streptophyta, while at Whalers Bay, 79% of reads represented fungi, 20% represented Chlorophyta and &lt; 1% represented Streptophyta, with similar to 1% of reads being unassigned. Among the Embryophyta we found 16 plant operational taxonomic units from three Divisions, including one Marchantiophyta, eight Bryophyta and seven Magnoliophyta. Sequences of six taxa were detected at both sampling sites, eight only at Whalers Bay and two only at Crater Lake. All of the Magnoliophyta sequences (flowering plants) represent species that are exotic to Antarctica, with most being plausibly linked to human food sources originating from local national research operator and tourism facilities.</t>
  </si>
  <si>
    <t>[Carvalho-Silva, Micheline; Henriques, Diego Knop; Camara, Paulo E. A. S.] Univ Brasilia UnB, Dept Bot, Brasilia, DF, Brazil; [Rosa, Luiz Henrique; Da Silva, Thamar Holanda] Univ Fed Minas Gerais UFMG, Dept Microbiol, Belo Horizonte, MG, Brazil; [Pinto, Otavio H. B.] Univ Brasilia UnB, Dept Biol Celular &amp; Mol, Brasilia, DF, Brazil; [Convey, Peter] British Antarctic Survey, Cambridge, England</t>
  </si>
  <si>
    <t>Universidade de Brasilia; Universidade Federal de Minas Gerais; Universidade de Brasilia; UK Research &amp; Innovation (UKRI); Natural Environment Research Council (NERC); NERC British Antarctic Survey</t>
  </si>
  <si>
    <t>Carvalho-Silva, M (corresponding author), Univ Brasilia UnB, Dept Bot, Brasilia, DF, Brazil.</t>
  </si>
  <si>
    <t>silvamicheline@gmail.com</t>
  </si>
  <si>
    <t>Camara, Paulo/GPP-2054-2022; Convey, Peter/AAV-5728-2020</t>
  </si>
  <si>
    <t>Camara, Paulo/0000-0002-3944-996X; Convey, Peter/0000-0001-8497-9903; Pinto, Otavio/0000-0002-8382-2987; Holanda da Silva, Thamar/0000-0002-2858-3354; Silva, Micheline/0000-0002-2389-3804; Henriques, Diego Knop/0000-0003-2839-8877</t>
  </si>
  <si>
    <t>Brazilian Antarctic Program (PROANTAR); Brazilian Navy; Brazilian Ministry for Science and Technology; CNPq; INCT Criosfera; Instituto de Ciencias Biologicas at University of Brasilia; NERC</t>
  </si>
  <si>
    <t>Brazilian Antarctic Program (PROANTAR); Brazilian Navy; Brazilian Ministry for Science and Technology; CNPq(Conselho Nacional de Desenvolvimento Cientifico e Tecnologico (CNPQ)); INCT Criosfera; Instituto de Ciencias Biologicas at University of Brasilia; NERC(UK Research &amp; Innovation (UKRI)Natural Environment Research Council (NERC))</t>
  </si>
  <si>
    <t>The authors thank the Brazilian Antarctic Program (PROANTAR), the Brazilian Navy, the Brazilian Ministry for Science and Technology, the CNPq funding agency, INCT Criosfera, Congresswoman Jo Moraes and the Instituto de Ciencias Biologicas at University of Brasilia for supporting this research. P. Convey is supported by NERC core funding to the British Antarctic Survey 'Biodiversity, Evolution and Adaptation' Team.</t>
  </si>
  <si>
    <t>PII S0954102021000274</t>
  </si>
  <si>
    <t>10.1017/S0954102021000274</t>
  </si>
  <si>
    <t>WOS:000721331200005</t>
  </si>
  <si>
    <t>Rosa, CND; Pereira, W; Bremer, UF; Andrade, AMD; Kramer, G; Hillebrand, FL; Jesus, JBD</t>
  </si>
  <si>
    <t>Rosa, Cristiano Niederauer Da; Pereira Filho, Waterloo; Bremer, Ulisses Franz; Andrade, Andre Medeiros De; Kramer, Gisieli; Hillebrand, Fernando Luis; Jesus, Janisson Batista De</t>
  </si>
  <si>
    <t>The limnology and spectral behaviour of a freshwater lake at Harmony Point, Nelson Island, Antarctica</t>
  </si>
  <si>
    <t>band simulation; benthic characteristics; hyperspectral measurements; spectral response</t>
  </si>
  <si>
    <t>REMOTE-SENSING REFLECTANCE; SOUTH SHETLAND ISLANDS; KING-GEORGE ISLAND; LIVINGSTON ISLAND; BYERS PENINSULA; SEDIMENT TYPE; CHLOROPHYLL; DEPTH; ABSORPTION; IMAGERY</t>
  </si>
  <si>
    <t>The present study investigates the effect of limnology on the spectral reflectance of a freshwater lake, located in an ice-free area in the Antarctic Peninsula. Field-collected samples generated limnological and spectral parameters. This fact indicates that the studied lake has an ultra-oligotrophic/oligotrophic nature based on chlorophyll a (chl a), which registered concentrations below 3 mu g l(-1) with no total suspended solids, almost neutral pH and transparency equalled by depth. The water spectral behaviour in each sampling station indicates that the benthic characteristics of the lake have a strong influence as the reflectance at the 705 nm wavelength being greater than that at 583 nm signals the presence of soil and/or vegetation at its bottom. Hence, it is believed that the orbital sensors with spectral bands focused on regions between the green and red edge, such as the MultiSpectral Instrument (MSI) sensor, may present better results for distinguishing the different bottom types found in the research area.</t>
  </si>
  <si>
    <t>[Rosa, Cristiano Niederauer Da; Bremer, Ulisses Franz; Hillebrand, Fernando Luis; Jesus, Janisson Batista De] Univ Fed Rio Grande do Sul, Polar &amp; Climate Ctr, Ave Bento Goncalves 9500,Bldg 43136, BR-91501970 Porto Alegre, RS, Brazil; [Pereira Filho, Waterloo; Kramer, Gisieli] Univ Fed Santa Maria, Dept Geosci, Ave Roraima 1000, BR-97105900 Santa Maria, RS, Brazil; [Andrade, Andre Medeiros De] Fed Univ Vales Jequitinhonha &amp; Mucuri, Inst Agr Sci, Ave Univ 1-000,B Univ, BR-38610000 Unai, MG, Brazil</t>
  </si>
  <si>
    <t>Universidade Federal do Rio Grande do Sul; Universidade Federal de Santa Maria (UFSM); Universidade Federal dos Vales do Jequitinhonha e Mucuri (UFVJM)</t>
  </si>
  <si>
    <t>Rosa, CND (corresponding author), Univ Fed Rio Grande do Sul, Polar &amp; Climate Ctr, Ave Bento Goncalves 9500,Bldg 43136, BR-91501970 Porto Alegre, RS, Brazil.</t>
  </si>
  <si>
    <t>cristianonrd@gmail.com</t>
  </si>
  <si>
    <t>Bremer, Ulisses F/D-3308-2013; Hillebrand, Fernando Luis/AAK-5772-2020; Pereira Filho, Waterloo/L-5187-2016; Kramer, Gisieli/ABA-1663-2021; Bremer, Ulisses/AAT-8733-2021</t>
  </si>
  <si>
    <t>Hillebrand, Fernando Luis/0000-0002-0182-8526; Kramer, Gisieli/0000-0003-0784-3898; Bremer, Ulisses/0000-0003-0519-5807; Andrade, Andre Medeiros/0000-0003-3502-7847; Rosa, Cristiano Niederauer da/0000-0003-3693-4764; Pereira Filho, Waterloo/0000-0001-6449-6322</t>
  </si>
  <si>
    <t>National Institute of Science and Technology of the Cryosphere (INCT da Criosfera); Polar and Climate Center at the Federal University of Rio Grande do Sul; Terrantar Nucleus of the Federal University of Vicosa; Department of Geosciences at the Federal University of Santa Maria; Brazilian Navy; Antarctic Support Station ESANTAR-RG; National Council for Scientific and Technological Development (CNPq) [310758/2016-5, 421743/2017-4, 408081/2013-9]; Coordination for the Improvement of Higher Level Personnel - Brazil (CAPES) [001]</t>
  </si>
  <si>
    <t>National Institute of Science and Technology of the Cryosphere (INCT da Criosfera); Polar and Climate Center at the Federal University of Rio Grande do Sul; Terrantar Nucleus of the Federal University of Vicosa; Department of Geosciences at the Federal University of Santa Maria; Brazilian Navy; Antarctic Support Station ESANTAR-RG; National Council for Scientific and Technological Development (CNPq)(Conselho Nacional de Desenvolvimento Cientifico e Tecnologico (CNPQ)); Coordination for the Improvement of Higher Level Personnel - Brazil (CAPES)(Coordenacao de Aperfeicoamento de Pessoal de Nivel Superior (CAPES))</t>
  </si>
  <si>
    <t>The authors thank the National Institute of Science and Technology of the Cryosphere (INCT da Criosfera), Polar and Climate Center at the Federal University of Rio Grande do Sul, Terrantar Nucleus of the Federal University of Vicosa, the Department of Geosciences at the Federal University of Santa Maria, the Brazilian Navy, the Antarctic Support Station ESANTAR-RG and the National Council for Scientific and Technological Development (CNPq), process 310758/2016-5, 421743/2017-4, 408081/2013-9 and Coordination for the Improvement of Higher Level Personnel - Brazil (CAPES) - Code of Financing 001 for promoting the development of this research. The authors thank the two anonymous reviewers for their feedback.</t>
  </si>
  <si>
    <t>PII S0954102021000304</t>
  </si>
  <si>
    <t>10.1017/S0954102021000304</t>
  </si>
  <si>
    <t>WOS:000721331200006</t>
  </si>
  <si>
    <t>Chernomorets, O; Sakala, J</t>
  </si>
  <si>
    <t>Chernomorets, Oleksandra; Sakala, Jakub</t>
  </si>
  <si>
    <t>Mixoxylon australe gen. et sp. nov., a unique homoxylous wood with non-angiosperm affinity from the Lower Cretaceous of Antarctica (Albian, James Ross Island)</t>
  </si>
  <si>
    <t>Abietineentupfelung; araucarian and scalariform tracheid pitting; fossil softwood; James Ross Basin; uniseriate rays</t>
  </si>
  <si>
    <t>LIVINGSTON ISLAND; FOSSIL WOODS; BASIN; SAHNIOXYLON</t>
  </si>
  <si>
    <t>A unique homoxylous wood is described from the Albian Lewis Hill Member of the Whisky Bay Formation on James Ross Island as Mixoxylon australe Chernomorets &amp; Sakala, gen. et sp. nov. This fossil taxon shows an unusual combination of features in having indistinct growth rings with a significantly wider earlywood zone than latewood zone, tracheids with scalariform to araucarian pitting, exclusively uniseriate rays with distinctly pitted both tangential and horizontal walls and araucarioid to podocarpoid cross-field pits. Its characteristics are intermediate between Phoroxylon Sze and Sahnioxylon Bose &amp; Sah, so a new genus is proposed. Its systematic affinities are dubious, but it represents the southernmost evidence of the homoxylous Mesozoic wood with scalariform pitting described so far.</t>
  </si>
  <si>
    <t>[Chernomorets, Oleksandra; Sakala, Jakub] Charles Univ Prague, Inst Geol &amp; Palaeontol, Fac Sci, Albertov 6, Prague 12843, Czech Republic; [Sakala, Jakub] Czech Geol Survey, Klarov 3, Prague 11821, Czech Republic</t>
  </si>
  <si>
    <t>Charles University Prague; Czech Geological Survey</t>
  </si>
  <si>
    <t>Chernomorets, O (corresponding author), Charles Univ Prague, Inst Geol &amp; Palaeontol, Fac Sci, Albertov 6, Prague 12843, Czech Republic.</t>
  </si>
  <si>
    <t>oleksandra.chernomorets@natur.cuni.cz</t>
  </si>
  <si>
    <t>Chernomorets, Oleksandra/GSM-7488-2022; Sakala, Jakub/P-7744-2017</t>
  </si>
  <si>
    <t>Sakala, Jakub/0000-0001-8922-0832; Chernomorets, Oleksandra/0000-0002-2883-1434</t>
  </si>
  <si>
    <t>Czech Geological Survey [310380]; Charles University [Q45]</t>
  </si>
  <si>
    <t>Czech Geological Survey; Charles University</t>
  </si>
  <si>
    <t>This work was undertaken with the financial support of the Czech Geological Survey (grant No. 310380). The research was also partly supported by grants from Charles University (Progress Q45 and SVV).</t>
  </si>
  <si>
    <t>PII S0954102021000389</t>
  </si>
  <si>
    <t>10.1017/S0954102021000389</t>
  </si>
  <si>
    <t>WOS:000721331200007</t>
  </si>
  <si>
    <t>Smellie, JL; McIntosh, WC; Whittle, R; Troedson, A; Hunt, RJ</t>
  </si>
  <si>
    <t>Smellie, John L.; McIntosh, William C.; Whittle, Rowan; Troedson, Alexa; Hunt, Richard J.</t>
  </si>
  <si>
    <t>A lithostratigraphical and chronological study of Oligocene-Miocene sequences on eastern King George Island, South Shetland Islands (Antarctica), and correlation of glacial episodes with global isotope events</t>
  </si>
  <si>
    <t>Ar-40; Ar-39; isotope zones; Krakow Glaciation; Legru Glaciation; Melville Glaciation; Polonez Glaciation</t>
  </si>
  <si>
    <t>POLONEZ COVE FORMATION; WEST ANTARCTICA; FACIES ANALYSIS; MAGMATIC ROCKS; ADMIRALTY BAY; ARC; STRATIGRAPHY; AGES; GEOCHRONOLOGY; CONSTRAINTS</t>
  </si>
  <si>
    <t>King George Island (South Shetland Islands, Antarctic Peninsula) is renowned for its terrestrial palaeoenvironmental record, which includes evidence for potentially up to four Cenozoic glacial periods. An advantage of the glacigenic outcrops on the island is that they are associated with volcanic formations that can be isotopically dated. As a result of a new mapping and chronological study, it can now be shown that the published stratigraphy and ages of many geological units on eastern King George Island require major revision. The Polonez Glaciation is dated as c. 26.64 +/- 1.43 Ma (Late Oligocene (Chattian Stage)) and includes the outcrops previously considered as evidence for an Eocene glacial ('Krakow Glaciation'). It was succeeded by two important volcanic episodes (Boy Point and Cinder Spur formations) formed during a relatively brief interval (&lt; 2 Ma), which also erupted within the Oligocene Chattian Stage. The Melville Glaciation is dated as c. 21-22 Ma (probably 21.8 Ma; Early Miocene (Aquitanian Stage)), and the Legru Glaciation is probably &lt;= c. 10 Ma (Late Miocene or younger). As a result of this study, the Polonez and Melville glaciations can now be correlated with increased confidence with the Oi2b and Mi1a isotope zones, respectively, and thus represent major glacial episodes.</t>
  </si>
  <si>
    <t>[Smellie, John L.] Univ Leicester, Sch Geog Geol &amp; Environm, Leicester LE1 7RH, Leics, England; [McIntosh, William C.] New Mexico Inst Min &amp; Technol, New Mexico Bur Geol &amp; Mineral Resources, Socorro, NM 87801 USA; [Whittle, Rowan] British Antarctic Survey, Cambridge CBE 0ET, England; [Troedson, Alexa] Troedson Geosci Consulting, Sydney, NSW, Australia; [Hunt, Richard J.] Univ Leeds, Sch Earth Sci, Woodhouse Lane, Leeds LS2 9JT, W Yorkshire, England</t>
  </si>
  <si>
    <t>University of Leicester; New Mexico Institute of Mining Technology; UK Research &amp; Innovation (UKRI); Natural Environment Research Council (NERC); NERC British Antarctic Survey; University of Leeds</t>
  </si>
  <si>
    <t>Smellie, JL (corresponding author), Univ Leicester, Sch Geog Geol &amp; Environm, Leicester LE1 7RH, Leics, England.</t>
  </si>
  <si>
    <t>jls55@le.ac.uk</t>
  </si>
  <si>
    <t>smellie, john/0000-0001-5537-1763</t>
  </si>
  <si>
    <t>British Antarctic Survey; University of Leeds</t>
  </si>
  <si>
    <t>The authors are very grateful to the British Antarctic Survey and the University of Leeds for their support of this investigation. We are also grateful for the help of Andy Teasdale, CarlHaberl, Filipo Croso and Anne Flink during fieldwork by the authors on King George Island. Phil Guise is thanked for his help and guidance with the geochronology at Leeds University. The authors also gratefully thank the captains, officers and crews of HMS Endurance, HMS Protector, RRS Bransfield and RRS Shackleton for their invaluable logistical support, and Mike Tabecki (BAS) and Annika Burns (Leicester) for making the numerous thin sections from challenging samples that are at the heart of this study. JLS also gratefully thanks Professors Tony Rocha-Campos and Paulo dos Santos and the logistical support of the Brazilian Antarctic Programme (PROANTAR; i.e. Programa Antartico Brasiliero) for his invited visit to King George Island in 2014. JLS is also very grateful to Ray Burgess (Manchester University, UK) for discussions on 40Ar/39Ar data. We are also grateful to Teal Riley and Jerzy Nawrocki for their careful reviews of this paper; Ieuan Hopkins and Kevin Roberts (British Antarctic Survey Archive Service) for helping with access to archived field data; and Beverley Ager and Mandy Tomsett (British Antarctic Survey Library) for obtaining copies of hard-to-access papers relating to this study.</t>
  </si>
  <si>
    <t>PII S095410202100033X</t>
  </si>
  <si>
    <t>10.1017/S095410202100033X</t>
  </si>
  <si>
    <t>WOS:000721331200008</t>
  </si>
  <si>
    <t>Levy, J</t>
  </si>
  <si>
    <t>Levy, Joseph</t>
  </si>
  <si>
    <t>Episodic basin-scale soil moisture anomalies associated with high relative humidity events in the McMurdo Dry Valleys, Antarctica</t>
  </si>
  <si>
    <t>deliquescence; hydrology; microclimate; micrometeorology; pedology; remote sensing</t>
  </si>
  <si>
    <t>TAYLOR VALLEY; CO2 FLUX; WATER; PERMAFROST; DESERT; SEEPS; SNOW</t>
  </si>
  <si>
    <t>Outside of hydrologically wetted active layer soils and humidity-sensitive soil brines, low soil moisture is a limiting factor controlling biogeochemical processes in the McMurdo Dry Valleys. But anecdotal field observations suggest that episodic wetting and darkening of surface soils in the absence of snowmelt occurs during high humidity conditions. Here, I analyse long-term meteorological station data to determine whether soil-darkening episodes are present in the instrumental record and whether they are, in fact, correlated with relative humidity. A strong linear correlation is found between relative humidity and soil reflectance at the Lake Bonney long-term autonomous weather station. Soil reflectance is found to decrease annually by a median of 27.7% in response to high humidity conditions. This magnitude of darkening is consistent with soil moisture rising from typical background values of &lt; 0.5 wt.% to 2-3 wt.%, suggesting that regional atmospheric processes may result in widespread soil moisture generation in otherwise dry surface soils. Temperature and relative humidity conditions under which darkening is observed occur for hundreds of hours per year, but are dominated by episodes occurring between midnight and 07h00 local time, suggesting that wetting events may be common, but are not widely observed during typical diel science operations.</t>
  </si>
  <si>
    <t>[Levy, Joseph] Colgate Univ, Dept Geol, Hamilton, NY 13346 USA</t>
  </si>
  <si>
    <t>Colgate University</t>
  </si>
  <si>
    <t>Levy, J (corresponding author), Colgate Univ, Dept Geol, Hamilton, NY 13346 USA.</t>
  </si>
  <si>
    <t>jlevy@colgate.edu</t>
  </si>
  <si>
    <t>National Science Foundation [OPP-1637708]</t>
  </si>
  <si>
    <t>This work was supported in part by National Science Foundation award ANT-1847067 to JL. MCM-LTER data cited in this manuscript were generated with the support of National Science Foundation Grant #OPP-1637708 for Long Term Ecological Research.</t>
  </si>
  <si>
    <t>PII S0954102021000341</t>
  </si>
  <si>
    <t>10.1017/S0954102021000341</t>
  </si>
  <si>
    <t>WOS:000721331200009</t>
  </si>
  <si>
    <t>Smith, J; Nogi, Y; Spinoccia, M; Dorschel, B; Leventer, A</t>
  </si>
  <si>
    <t>Smith, Jodie; Nogi, Yoshifumi; Spinoccia, Michele; Dorschel, Boris; Leventer, Amy</t>
  </si>
  <si>
    <t>A bathymetric compilation of the Cape Darnley region, East Antarctica</t>
  </si>
  <si>
    <t>bathymetry grid; data compilation; Mac; Robertson shelf; multibeam bathymetry</t>
  </si>
  <si>
    <t>CONTINENTAL-SLOPE; BOTTOM-WATER; ICE-SHEET; SEA; BELLINGSHAUSEN; CIRCULATION; LAND; BAY</t>
  </si>
  <si>
    <t>The Cape Darnley region in East Antarctica has been an area of scientific interest for a variety of disciplines over the last three decades. The recent acquisition of several high-resolution bathymetry datasets enabled the compilation of a detailed regional bathymetry grid. We present a high-resolution bathymetric compilation of the Cape Darnley region in East Antarctica, including areas of the Mac.Robertson Land shelf, slope and adjacent deep sea. A variety of data, single-beam and multibeam swath bathymetry and digitized depths from nautical charts were sourced from numerous institutions. The 100 m-resolution gridded bathymetric dataset improves previous bathymetric representations of the region and enables visualization of the seafloor morphology in unprecedented detail. The bathymetry grid has been constructed using a layered hierarchy approach based on the source of each dataset. This data compilation forms important baseline information for a range of scientific applications and end users including oceanographers, glacial modellers, biologists and geologists. The compilation will aid numerical modelling of ocean circulation, reconstruction of palaeo-ice streams and refinement of ice-sheet models.</t>
  </si>
  <si>
    <t>[Smith, Jodie; Spinoccia, Michele] Geosci Australia, GPO Box 378, Canberra, ACT 2601, Australia; [Nogi, Yoshifumi] Natl Inst Polar Res, 10-3 Midori Cho, Tachikawa, Tokyo 1908518, Japan; [Dorschel, Boris] Alfred Wegener Inst, Van Ronzelen Str 2, D-27568 Bremerhaven, Germany; [Leventer, Amy] Colgate Univ, Dept Geol, 13 Oak Dr, Hamilton, NY 13346 USA</t>
  </si>
  <si>
    <t>Geoscience Australia; Research Organization of Information &amp; Systems (ROIS); National Institute of Polar Research (NIPR) - Japan; Helmholtz Association; Alfred Wegener Institute, Helmholtz Centre for Polar &amp; Marine Research; Colgate University</t>
  </si>
  <si>
    <t>Smith, J (corresponding author), Geosci Australia, GPO Box 378, Canberra, ACT 2601, Australia.</t>
  </si>
  <si>
    <t>jodie.smith@ga.gov.au</t>
  </si>
  <si>
    <t>Leventer, Amy/0000-0001-9401-0987; Dorschel, Boris/0000-0002-3495-5927</t>
  </si>
  <si>
    <t>Japanese Society for the Promotion of Science (JSPS) [S16709]</t>
  </si>
  <si>
    <t>Japanese Society for the Promotion of Science (JSPS)(Ministry of Education, Culture, Sports, Science and Technology, Japan (MEXT)Japan Society for the Promotion of Science)</t>
  </si>
  <si>
    <t>This research was supported by a Japanese Society for the Promotion of Science (JSPS) Invitation Fellowship for Research in Japan (Short-Term) awarded to Dr Jodie Smith in 2016 (ID No. S16709). Professor Yoshifumi Nogi, from the National Institute of Polar Research, was the Host Researcher.</t>
  </si>
  <si>
    <t>PII S0954102021000298</t>
  </si>
  <si>
    <t>10.1017/S0954102021000298</t>
  </si>
  <si>
    <t>WOS:000721331200010</t>
  </si>
  <si>
    <t>Nash, M</t>
  </si>
  <si>
    <t>Nash, Meredith</t>
  </si>
  <si>
    <t>National Antarctic Program responses to fieldwork sexual harassment</t>
  </si>
  <si>
    <t>Antarctica; gender harassment; organizational culture; organizational policy; remote fieldwork</t>
  </si>
  <si>
    <t>WORKPLACE HARASSMENT; GENDER-DIFFERENCES; DOUBLE JEOPARDY; SCIENCE; WOMEN; EXPERIENCES; IMPACT</t>
  </si>
  <si>
    <t>Sexual harassment is a common experience for women and those from other underrepresented groups in (white) male-dominated fields such as Science, Technology, Engineering, and Mathematics (STEM). Women are especially vulnerable to sexual harassment during remote scientific fieldwork. To date, most of the limited research on fieldwork harassment has focused on individual experiences. There is an urgent need for research on organizational approaches to fieldwork sexual harassment. This study fills this gap by examining sexual harassment prevention by National Antarctic Programs. It draws on a desktop analysis of 36 National Antarctic Program websites with a focus on the current availability and quality of sexual harassment policies and procedures in expeditioner handbooks/field manuals. Findings show that very few National Antarctic Programs make their expeditioner handbooks/field manuals publicly available (n = 9), and even fewer mention sexual harassment in the documentation or describe how to lodge a complaint (n = 3). This article concludes by offering some reasons as to why National Antarctic Programs may be neglecting this issue. It also provides practical recommendations for developing more substantive content in expeditioner handbooks/field manuals and for building inclusive fieldwork environments for a diverse range of expeditioners.</t>
  </si>
  <si>
    <t>[Nash, Meredith] Univ Tasmania, Sch Social Sci, Private Bag 22, Hobart, Tas 7001, Australia; [Nash, Meredith] Australian Antarctic Div, Dept Agr Water &amp; Environm, 203 Channel Hwy, Kingston, Tas 7050, Australia</t>
  </si>
  <si>
    <t>University of Tasmania; Australian Antarctic Division</t>
  </si>
  <si>
    <t>Nash, M (corresponding author), Univ Tasmania, Sch Social Sci, Private Bag 22, Hobart, Tas 7001, Australia.;Nash, M (corresponding author), Australian Antarctic Div, Dept Agr Water &amp; Environm, 203 Channel Hwy, Kingston, Tas 7050, Australia.</t>
  </si>
  <si>
    <t>Meredith.Nash@utas.edu.au</t>
  </si>
  <si>
    <t>Nash, Meredith/O-6178-2019</t>
  </si>
  <si>
    <t>Nash, Meredith/0000-0002-7429-4924</t>
  </si>
  <si>
    <t>PII S0954102021000432</t>
  </si>
  <si>
    <t>10.1017/S0954102021000432</t>
  </si>
  <si>
    <t>WOS:000721331200011</t>
  </si>
  <si>
    <t>Marta, S; Azzoni, RS; Fugazza, D; Tielidze, L; Chand, P; Sieron, K; Almond, P; Ambrosini, R; Anthelme, F; Gazitua, PA; Bhambri, R; Bonin, A; Caccianiga, M; Cauvy-Fraunie, S; Lievano, JLC; Clague, J; Rapre, JAC; Dangles, O; Deline, P; Eger, A; Encarnacion, RC; Erokhin, S; Franzetti, A; Gielly, L; Gili, F; Gobbi, M; Guerrieri, A; Hagvar, S; Khedim, N; Kinyanjui, R; Messager, E; Morales-Martinez, MA; Peyre, G; Pittino, F; Poulenard, J; Seppi, R; Sharma, MC; Urseitova, N; Weissling, B; Yang, Y; Zaginaev, V; Zimmer, A; Diolaiuti, GA; Rabatel, A; Ficetola, GF</t>
  </si>
  <si>
    <t>Marta, Silvio; Azzoni, Roberto Sergio; Fugazza, Davide; Tielidze, Levan; Chand, Pritam; Sieron, Katrin; Almond, Peter; Ambrosini, Roberto; Anthelme, Fabien; Alviz Gazitua, Pablo; Bhambri, Rakesh; Bonin, Aurelie; Caccianiga, Marco; Cauvy-Fraunie, Sophie; Ceballos Lievano, Jorge Luis; Clague, John; Cochachin Rapre, Justiniano Alejo; Dangles, Olivier; Deline, Philip; Eger, Andre; Cruz Encarnacion, Rolando; Erokhin, Sergey; Franzetti, Andrea; Gielly, Ludovic; Gili, Fabrizio; Gobbi, Mauro; Guerrieri, Alessia; Hagvar, Sigmund; Khedim, Norine; Kinyanjui, Rahab; Messager, Erwan; Morales-Martinez, Marco Aurelio; Peyre, Gwendolyn; Pittino, Francesca; Poulenard, Jerome; Seppi, Roberto; Chand Sharma, Milap; Urseitova, Nurai; Weissling, Blake; Yang, Yan; Zaginaev, Vitalii; Zimmer, Anais; Diolaiuti, Guglielmina Adele; Rabatel, Antoine; Ficetola, Gentile Francesco</t>
  </si>
  <si>
    <t>The Retreat of Mountain Glaciers since the Little Ice Age: A Spatially Explicit Database</t>
  </si>
  <si>
    <t>DATA</t>
  </si>
  <si>
    <t>glacier retreat; climate change; little ice age; pre-satellite era; global scale</t>
  </si>
  <si>
    <t>INVENTORY; HISTORY; ALPS; EVOLUTION</t>
  </si>
  <si>
    <t>Most of the world's mountain glaciers have been retreating for more than a century in response to climate change. Glacier retreat is evident on all continents, and the rate of retreat has accelerated during recent decades. Accurate, spatially explicit information on the position of glacier margins over time is useful for analyzing patterns of glacier retreat and measuring reductions in glacier surface area. This information is also essential for evaluating how mountain ecosystems are evolving due to climate warming and the attendant glacier retreat. Here, we present a non-comprehensive spatially explicit dataset showing multiple positions of glacier fronts since the Little Ice Age (LIA) maxima, including many data from the pre-satellite era. The dataset is based on multiple historical archival records including topographical maps; repeated photographs, paintings, and aerial or satellite images with a supplement of geochronology; and own field data. We provide ESRI shapefiles showing 728 past positions of 94 glacier fronts from all continents, except Antarctica, covering the period between the Little Ice Age maxima and the present. On average, the time series span the past 190 years. From 2 to 46 past positions per glacier are depicted (on average: 7.8). Dataset: 10.6084/m9.figshare.13700215 Dataset License: CC-BY-4.0</t>
  </si>
  <si>
    <t>[Marta, Silvio; Azzoni, Roberto Sergio; Fugazza, Davide; Ambrosini, Roberto; Bonin, Aurelie; Gili, Fabrizio; Guerrieri, Alessia; Diolaiuti, Guglielmina Adele; Ficetola, Gentile Francesco] Univ Milan, Dipartimento Sci &amp; Polit Ambientali, Via Celoria 10, I-20133 Milan, Italy; [Tielidze, Levan] Victoria Univ Wellington, Antarctic Res Ctr, POB 600, Wellington 6140, New Zealand; [Tielidze, Levan] Victoria Univ Wellington, Sch Geog Environm &amp; Earth Sci, POB 600, Wellington 6140, New Zealand; [Chand, Pritam] Cent Univ Punjab, Dept Geog, Sch Environm &amp; Earth Sci, VPO Ghudda, Bathinda 151401, Punjab, India; [Sieron, Katrin; Morales-Martinez, Marco Aurelio] Univ Veracruzana, Ctr Ciencias Tierra, Xalapa 91090, Veracruz, Mexico; [Almond, Peter] Lincoln Univ, Dept Soil &amp; Phys Sci, Lincoln 7647, New Zealand; [Anthelme, Fabien] Univ Montpellier, AMAP, IRD, CIRAD,CNRS,INRA, F-34090 Montpellier, France; [Alviz Gazitua, Pablo] Univ Los Lagos, Dept Ciencias Biol &amp; Biodiversidad, Osorno 5290000, Chile; [Bhambri, Rakesh] Heidelberg Univ, South Asia Inst, Dept Geog, Vossstr 2-4130, D-69115 Heidelberg, Germany; [Caccianiga, Marco] Univ Milan, Dipartimento Biosci, Via Celoria 10, I-20133 Milan, Italy; [Cauvy-Fraunie, Sophie] INRAE, Ctr Lyon Villeurbanne, UR RIVERLY, F-69625 Villeurbanne, France; [Ceballos Lievano, Jorge Luis] Inst Hidrol Meteorol &amp; Estudios Ambientales IDEAM, Bogota 110911, Colombia; [Clague, John] Simon Fraser Univ, Dept Earth Sci, 8888 Univ Dr, Burnaby, BC V5A 1S6, Canada; [Cochachin Rapre, Justiniano Alejo; Cruz Encarnacion, Rolando] Autoridad Nacl Agua, Area Evaluac Glaciares &amp; Lagunas, Huaraz 02002, Peru; [Dangles, Olivier] Univ Paul Valery Montpellier 3, CEFE, Univ Montpellier, EPHE,IRD,CNRS, F-34199 Montpellier, France; [Deline, Philip; Khedim, Norine; Messager, Erwan; Poulenard, Jerome] Univ Grenoble Alpes, EDYTEM, Univ Savoie Mt Blanc, F-73000 Chambery, France; [Eger, Andre] Mannaki Whenua Landcare Res, Soils &amp; Landscapes, 54 Gerald St, Lincoln 7608, New Zealand; [Erokhin, Sergey; Urseitova, Nurai; Zaginaev, Vitalii] Kyrgyz Natl Acad Sci, Inst Water Problems &amp; Hydroenergy, Frunze 533, Bishkek 720033, Kyrgyzstan; [Franzetti, Andrea; Pittino, Francesca] Univ Milano Bicocca, Dept Earth &amp; Environm Sci DISAT, I-20126 Milan, Italy; [Gielly, Ludovic; Ficetola, Gentile Francesco] Univ Savoie Mt Blanc, Univ Grenoble Alpes, Lab Ecol Alpine, CNRS,LECA, F-38610 Grenoble, France; [Gili, Fabrizio] Univ Turin, Dept Life Sci &amp; Syst Biol, Via Acad Albertina 13, I-10123 Turin, Italy; [Gobbi, Mauro] MUSE Sci Museum, Sect Invertebrate Zool &amp; Hydrobiol, Corso Lavoro &amp; Sci 3, I-38122 Trento, Italy; [Hagvar, Sigmund] Norwegian Univ Life Sci, Dept Ecol &amp; Nat Resource Management INA, Univ Stunet 3, N-1433 As, Norway; [Kinyanjui, Rahab] Natl Museums Kenya, Palynol &amp; Paleobot Sect, Dept Earth Sci, POB 40568, Nairobi 00100, Kenya; [Peyre, Gwendolyn] Univ Andes, Dept Civil &amp; Environm Engn, Bogota 111711, Colombia; [Seppi, Roberto] Univ Pavia, Dept Earth &amp; Environm Sci, Via Ferrata 1, I-27100 Pavia, Italy; [Chand Sharma, Milap] Jawaharlal Nehru Univ, Ctr Study Reg Dev, Sch Social Sci, New Mehrauli Rd, New Delhi 110067, India; [Weissling, Blake] Univ Texas San Antonio, Dept Geol Sci, Flawn Sci Bldg FLN, San Antonio, TX 78249 USA; [Yang, Yan] Chinese Acad Sci, Inst Mt Hazards &amp; Environm, Chengdu 610041, Peoples R China; [Zimmer, Anais] Univ Texas Austin, Dept Geog &amp; Environm, Austin, TX 78712 USA; [Rabatel, Antoine] Univ Grenoble Alpes, CNRS, Grenoble INP, Inst Geosci Environm IGE,UMR 5001,IRD, F-38000 Grenoble, France</t>
  </si>
  <si>
    <t>University of Milan; Victoria University Wellington; Victoria University Wellington; Central University of Punjab; Universidad Veracruzana; Lincoln University - New Zealand; Centre National de la Recherche Scientifique (CNRS); CIRAD; Institut de Recherche pour le Developpement (IRD); INRAE; Universite de Montpellier; Universidad de Los Lagos; Ruprecht Karls University Heidelberg; University of Milan; INRAE; Simon Fraser University; Universite PSL; Ecole Pratique des Hautes Etudes (EPHE); Institut Agro; Montpellier SupAgro; CIRAD; Centre National de la Recherche Scientifique (CNRS); Institut de Recherche pour le Developpement (IRD); Universite Paul-Valery; Universite de Montpellier; Centre National de la Recherche Scientifique (CNRS); Universite Savoie Mont Blanc; Communaute Universite Grenoble Alpes; Universite Grenoble Alpes (UGA); Landcare Research - New Zealand; National Academy of Sciences of the Kyrgyz Republic (NAS KR); University of Milano-Bicocca; Communaute Universite Grenoble Alpes; Universite Grenoble Alpes (UGA); Centre National de la Recherche Scientifique (CNRS); Universite Savoie Mont Blanc; University of Turin; Norwegian University of Life Sciences; Universidad de los Andes (Colombia); University of Pavia; Jawaharlal Nehru University, New Delhi; University of Texas System; University of Texas at San Antonio (UTSA); Chinese Academy of Sciences; Institute of Mountain Hazards &amp; Environment, CAS; University of Texas System; University of Texas Austin; Communaute Universite Grenoble Alpes; Institut National Polytechnique de Grenoble; Centre National de la Recherche Scientifique (CNRS); CNRS - National Institute for Earth Sciences &amp; Astronomy (INSU); Universite Grenoble Alpes (UGA); Institut de Recherche pour le Developpement (IRD)</t>
  </si>
  <si>
    <t>Marta, S (corresponding author), Univ Milan, Dipartimento Sci &amp; Polit Ambientali, Via Celoria 10, I-20133 Milan, Italy.</t>
  </si>
  <si>
    <t>silvio.marta@hotmail.it; robertosergio.azzoni@unimi.it; davide.fugazza@unimi.it; tielidzelevan@gmail.com; pritamiirs@gmail.com; ksieron@gmail.com; peter.almond@lincoln.ac.nz; roberto.ambrosini@unimib.it; fabien.anthelme@ird.fr; pablo.alviz@ulagos.cl; rakeshbhambri@gmail.com; bonin.aurelie@gmail.com; marco.caccianiga@unimi.it; sophie.cauvy-fraunie@irstea.fr; jceballos@ideam.gov.co; john_clague@sfu.ca; jcochachin@ana.gob.pe; olivier.dangles@ird.fr; philip.deline@univ-smb.fr; egera@landcareresearch.co.nz; rcruz@ana.gob.pe; erochin@list.ru; andrea.franzetti@unimib.it; ludovic.gielly@univ-grenoble-alpes.fr; fabriziogili7@gmail.com; mauro.gobbi@muse.it; alessia.guerrieri@unimi.it; sigmund.hagvar@nmbu.no; norine.khedim@univ-smb.fr; rkinyanjui@museums.or.ke; erwan.messager@univ-smb.fr; marcmorales@uv.mx; gf.peyre@uniandes.edu.co; francesca.pittino@unimib.it; jerome.poulenard@univ-smb.fr; roberto.seppi@unipv.it; milap@mail.jnu.ac.in; nurai.urseitova@gmail.com; Blake.Weissling@utsa.edu; yyang@imde.ac.cn; zagivitjob@gmail.com; anais.zimmer@utexas.edu; guglielmina.diolaiuti@unimi.it; antoine.rabatel@univ-grenoble-alpes.fr; francesco.ficetola@unimi.it</t>
  </si>
  <si>
    <t>Tielidze, Levan G/E-2690-2018; Rabatel, Antoine/AAA-1769-2022; poulenard, jerome/I-2491-2012; Zimmer, Anaïs/JMR-2598-2023; Bhambri, Rakesh/AAI-2997-2020; Eger, Andre/ADR-9335-2022; Sieron, Katrin/ABC-4808-2021; Rabatel, Antoine/L-5249-2015; Guerrieri, Alessia/HGF-0290-2022; Guerrieri, Alessia/AFT-9986-2022; Fugazza, Davide/ABD-4914-2020; Gielly, Ludovic/ADQ-6036-2022; Gobbi, Mauro/A-7331-2009; Bonin, Aurélie/D-9492-2011; Marta, Silvio/B-1934-2014; Azzoni, Roberto Sergio/J-7751-2015; Bhambri, Rakesh/AAA-1768-2022; SEPPI, ROBERTO/P-4193-2016; Gili, Fabrizio/HTN-1367-2023; Deline, Philip/AFR-6521-2022; Diolaiuti, Guglielmina/A-9422-2008; Ficetola, Gentile Francesco/A-2813-2008; Franzetti, Andrea/A-6666-2008; Messager, Erwan/N-6623-2014</t>
  </si>
  <si>
    <t>Tielidze, Levan G/0000-0002-4646-5458; Rabatel, Antoine/0000-0002-5304-1055; poulenard, jerome/0000-0003-0810-0308; Zimmer, Anaïs/0000-0002-4902-4199; Bhambri, Rakesh/0000-0002-4777-894X; Eger, Andre/0000-0001-8442-6815; Sieron, Katrin/0000-0002-4036-9107; Guerrieri, Alessia/0000-0002-1519-3517; Fugazza, Davide/0000-0003-4523-9085; Gobbi, Mauro/0000-0002-1704-4857; Azzoni, Roberto Sergio/0000-0002-5931-486X; SEPPI, ROBERTO/0000-0003-1796-0596; Gili, Fabrizio/0000-0002-1817-0193; Diolaiuti, Guglielmina/0000-0002-3883-9309; Ficetola, Gentile Francesco/0000-0003-3414-5155; KINYANJUI, Rahab/0000-0003-2032-8321; Chand, Pritam/0000-0001-7388-0393; Peyre, Gwendolyn/0000-0002-1977-7181; Khedim, Norine/0000-0001-8198-1098; Franzetti, Andrea/0000-0003-1279-9940; Messager, Erwan/0000-0001-5192-9088; Bonin, Aurelie/0000-0001-7800-8609; Clague, John/0000-0002-2697-2233; Marta, Silvio/0000-0001-8850-610X; Cruz Encarnacion, Rolando/0000-0001-7166-3053; yang, yan/0000-0003-0858-7603</t>
  </si>
  <si>
    <t>European Research Council under the European Community's Horizon 2020 Programme [772284]; National Natural Science Foundation of China [41861134039, 41941015]; Labex OSUG@2020 (Investissements d'avenir) [ANR10 LABX56]; French Service National d'Observation GLACIOCLIM (UGA); French Service National d'Observation GLACIOCLIM (CNRS INSU); French Service National d'Observation GLACIOCLIM (IRD); French Service National d'Observation GLACIOCLIM (IPEV); French Service National d'Observation GLACIOCLIM (INRAE); Science and Engineering Research Board (SERB), New Delhi (India) [PDF/2017/002717]</t>
  </si>
  <si>
    <t>European Research Council under the European Community's Horizon 2020 Programme(European Research Council (ERC)); National Natural Science Foundation of China(National Natural Science Foundation of China (NSFC)); Labex OSUG@2020 (Investissements d'avenir)(Agence Nationale de la Recherche (ANR)); French Service National d'Observation GLACIOCLIM (UGA); French Service National d'Observation GLACIOCLIM (CNRS INSU); French Service National d'Observation GLACIOCLIM (IRD); French Service National d'Observation GLACIOCLIM (IPEV); French Service National d'Observation GLACIOCLIM (INRAE); Science and Engineering Research Board (SERB), New Delhi (India)</t>
  </si>
  <si>
    <t>This study was supported by the European Research Council under the European Community's Horizon 2020 Programme, Grant Agreement no. 772284 (IceCommunities) and supported by the National Natural Science Foundation of China (Grant No.41861134039, No.41941015). A. Rabatel, G.F. Ficetola, J. Poulenard, and L. Gielly acknowledge the support of Labex OSUG@2020 (Investissements d'avenir, ANR10 LABX56) and the French Service National d'Observation GLACIOCLIM (UGA, CNRS INSU, IRD, IPEV, and INRAE). P. Chand acknowledges the financial support of the Science and Engineering Research Board (SERB), New Delhi (India) vide SERB Project No. PDF/2017/002717 (NPDF Scheme).</t>
  </si>
  <si>
    <t>2306-5729</t>
  </si>
  <si>
    <t>Data</t>
  </si>
  <si>
    <t>10.3390/data6100107</t>
  </si>
  <si>
    <t>Computer Science, Information Systems; Multidisciplinary Sciences</t>
  </si>
  <si>
    <t>Computer Science; Science &amp; Technology - Other Topics</t>
  </si>
  <si>
    <t>WP7PF</t>
  </si>
  <si>
    <t>WOS:000713318000001</t>
  </si>
  <si>
    <t>Brunetti, C; Siepel, H; Convey, P; Fanciulli, PP; Nardi, F; Carapelli, A</t>
  </si>
  <si>
    <t>Brunetti, Claudia; Siepel, Henk; Convey, Peter; Fanciulli, Pietro Paolo; Nardi, Francesco; Carapelli, Antonio</t>
  </si>
  <si>
    <t>Overlooked Species Diversity and Distribution in the Antarctic Mite Genus Stereotydeus</t>
  </si>
  <si>
    <t>Victoria Land; molecular phylogeny; cox1; 28S; biogeography; terrestrial invertebrates; acari; Stereotydeus spp.</t>
  </si>
  <si>
    <t>SOUTHERN VICTORIA-LAND; GRESSITTACANTHA-TERRANOVA; SYMPATRIC SPECIATION; POPULATION-GENETICS; COLD TOLERANCE; ROSS ISLAND; SPRINGTAIL; COLLEMBOLA; ACARI; VARIABILITY</t>
  </si>
  <si>
    <t>In the harsh Antarctic terrestrial ecosystems, invertebrates are currently confined to sparse and restricted ice free areas, where they have survived on multi-million-year timescales in refugia. The limited dispersal abilities of these invertebrate species, their specific habitat requirements, and the presence of geographical barriers can drastically reduce gene flow between populations, resulting in high genetic differentiation. On continental Antarctica, mites are one of the most diverse invertebrate groups. Recently, two new species of the free living prostigmatid mite genus Stereotydeus Berlese, 1901 were discovered, bringing the number of Antarctic and sub-Antarctic species of this genus up to 15, of which 7 occur along the coast of Victoria Land and in the Transantarctic Mountains. To examine the biodiversity of Stereotydeus spp., the present study combines phylogenetic, morphological and population genetic data of specimens collected from nine localities in Victoria Land. Genetically distinct intraspecific groups are spatially isolated in northern Victoria Land, while, for other species, the genetic haplogroups more often occur sympatrically in southern Victoria Land. We provide a new distribution map for the Stereotydeus species of Victoria Land, which will assist future decisions in matters of the protection and conservation of the unique Antarctic terrestrial fauna.</t>
  </si>
  <si>
    <t>[Brunetti, Claudia; Fanciulli, Pietro Paolo; Nardi, Francesco; Carapelli, Antonio] Univ Siena, Dept Life Sci, Via A Moro 2, I-53100 Siena, Italy; [Siepel, Henk] Radboud Univ Nijmegen, Radboud Inst Biol &amp; Environm Sci RIBES, Anim Ecol &amp; Physiol, POB 9100, NL-6500 GL Nijmegen, Netherlands; [Convey, Peter] British Antarctic Survey, NERC, Madingley Rd, Cambridge CB3 0ET, England; [Convey, Peter] Univ Johannesburg, Dept Zool, POB 524, ZA-2006 Auckland Pk, South Africa</t>
  </si>
  <si>
    <t>University of Siena; Radboud University Nijmegen; UK Research &amp; Innovation (UKRI); Natural Environment Research Council (NERC); NERC British Antarctic Survey; University of Johannesburg</t>
  </si>
  <si>
    <t>Brunetti, C; Carapelli, A (corresponding author), Univ Siena, Dept Life Sci, Via A Moro 2, I-53100 Siena, Italy.</t>
  </si>
  <si>
    <t>henk.siepel@ru.nl; pcon@bas.ac.uk; francesco.nardi@unisi.it</t>
  </si>
  <si>
    <t>Nardi, Francesco/E-5516-2011; Siepel, Henk/C-2579-2011; Convey, Peter/AAV-5728-2020; Brunetti, Claudia/HPH-8238-2023</t>
  </si>
  <si>
    <t>Nardi, Francesco/0000-0003-0271-9855; Convey, Peter/0000-0001-8497-9903; Brunetti, Claudia/0000-0002-5260-5840; CARAPELLI, Antonio/0000-0002-3165-9620</t>
  </si>
  <si>
    <t>Italian Program of Research in Antarctica [PNRA16_00234]; University of Siena; NERC</t>
  </si>
  <si>
    <t>Italian Program of Research in Antarctica; University of Siena; NERC(UK Research &amp; Innovation (UKRI)Natural Environment Research Council (NERC))</t>
  </si>
  <si>
    <t>This research was funded by the Italian Program of Research in Antarctica (PNRA16_00234) to A.C. Partial support was also provided by the University of Siena. P.C. is supported by NERC core funding to the British Antarctic Surveys Biodiversity, Ecosystems and Adaptation Team. The paper also contributes to the SCAR State of the Antarctic Ecosystem (AntEco) international program.</t>
  </si>
  <si>
    <t>10.3390/d13100506</t>
  </si>
  <si>
    <t>WR8EX</t>
  </si>
  <si>
    <t>WOS:000714729500001</t>
  </si>
  <si>
    <t>Zeng, YX; Li, HR; Han, W; Luo, W</t>
  </si>
  <si>
    <t>Zeng, Yin-Xin; Li, Hui-Rong; Han, Wei; Luo, Wei</t>
  </si>
  <si>
    <t>Comparison of Gut Microbiota between Gentoo and Adelie Penguins Breeding Sympatrically on Antarctic Ardley Island as Revealed by Fecal DNA Sequencing</t>
  </si>
  <si>
    <t>pygoscelid penguins; fecal microbiota; non-invasive method; Firmicutes; Proteobacteria; Fusobacteria; Fildes Peninsula region</t>
  </si>
  <si>
    <t>SP NOV.; BACTERIA; PERFORMANCE; OBESITY; GROWTH; CELLS; KRILL; WATER; ACID; DIET</t>
  </si>
  <si>
    <t>There are two pygoscelid penguins, the Gentoo (Pygoscelis papua Forster, 1781) and Adelie (P. adeliae Hombron and Jacquinot, 1841) penguins, breeding sympatrically on Ardley Island, Fildes Peninsula region, South Shetlands, Antarctica. Whether the two closely related penguin species with similar dietary habits possess compositional similarity in gut microbiota remains unknown. DNA barcoding of feces is an emerging approach for gut microbiota analysis of protected animals. In the present study, the 16S rRNA gene from penguin feces was sequenced using the Illumina MiSeq platform to investigate the gut microbiota of the two pygoscelid penguin species. The fecal community of Gentoo penguins has higher diversity indices and OTU (operational taxonomic unit) richness compared to Adelie penguins. Besides unclassified bacteria, sequences fell into 22 major lineages of the domain Bacteria: Acidobacteria, Actinobacteria, Armatimonadetes, Bacteroidetes, Chlamydiae, Chloroflexi, Cloacimonetes, Cyanobacteria, Deinococcus-Thermus, Fibrobacteres, Firmicutes, Fusobacteria, Gemmatimonadetes, Ignavibacteriae, Planctomycetes, Proteobacteria, Tenericutes, Verrucomicrobia, and candidate divisions BRC1, SR1, WPS-2, and Saccharibacteria. Among these, Firmicutes (37.7%), Proteobacteria (23.1%, mainly Gamma- and Betaproteobacteria), Fusobacteria (14.3%), Bacteroidetes (7.9%), and Actinobacteria (6.6%) were dominant in the fecal microbiota of the two penguin species. At the same time, significantly higher abundances of Actinobacteria and Cyanobacteria were detected in Gentoo penguins than in Adelie penguins (p &lt; 0.05). Overall, there was a clear difference in the composition of gut microbiota between the Adelie and Gentoo penguins. The results suggested that both the phylogeny of penguin species and the diet could be responsible for the differences in the gut microbiota of the two pygoscelid penguins breeding in the same area.</t>
  </si>
  <si>
    <t>[Zeng, Yin-Xin; Li, Hui-Rong; Han, Wei; Luo, Wei] Minist Nat Resources, Polar Res Inst China, Key Lab Polar Sci, Shanghai 200136, Peoples R China</t>
  </si>
  <si>
    <t>Ministry of Natural Resources of the People's Republic of China; Polar Research Institute of China</t>
  </si>
  <si>
    <t>Zeng, YX (corresponding author), Minist Nat Resources, Polar Res Inst China, Key Lab Polar Sci, Shanghai 200136, Peoples R China.</t>
  </si>
  <si>
    <t>zengyinxin@pric.org.cn; lihuirong@pric.org.cn; hanwei@pric.org.cn; luowei@pric.org.cn</t>
  </si>
  <si>
    <t>Zeng, Yin-Xin/0000-0002-3689-7855; Luo, Wei/0000-0002-4472-2182</t>
  </si>
  <si>
    <t>National Key Research and Development Program of China [2018YFC1406903]; National Natural Science Foundation of China [91851201]</t>
  </si>
  <si>
    <t>National Key Research and Development Program of China; National Natural Science Foundation of China(National Natural Science Foundation of China (NSFC))</t>
  </si>
  <si>
    <t>This work was funded by the National Key Research and Development Program of China (Grant No. 2018YFC1406903) and National Natural Science Foundation of China (Grant No. 91851201).</t>
  </si>
  <si>
    <t>10.3390/d13100500</t>
  </si>
  <si>
    <t>WU8IH</t>
  </si>
  <si>
    <t>WOS:000716782800001</t>
  </si>
  <si>
    <t>Shi, S; Bi, SF; Gong, W; Chen, BW; Chen, BW; Tang, XT; Qu, FF; Song, SL</t>
  </si>
  <si>
    <t>Shi, Shuo; Bi, Sifu; Gong, Wei; Chen, Biwu; Chen, Bowen; Tang, Xingtao; Qu, Fangfang; Song, Shalei</t>
  </si>
  <si>
    <t>Land Cover Classification with Multispectral LiDAR Based on Multi-Scale Spatial and Spectral Feature Selection</t>
  </si>
  <si>
    <t>land cover classification; multispectral LiDAR; Titan laser scanner; multi-scale neighborhood features; equalization optimizer; feature selection</t>
  </si>
  <si>
    <t>SUPPORT VECTOR MACHINE; DESIGN; FUSION; OPTIMIZATION</t>
  </si>
  <si>
    <t>The distribution of land cover has an important impact on climate, environment, and public policy planning. The Optech Titan multispectral LiDAR system provides new opportunities and challenges for land cover classification, but the better application of spectral and spatial information of multispectral LiDAR data is a problem to be solved. Therefore, we propose a land cover classification method based on multi-scale spatial and spectral feature selection. The public data set of Tobermory Port collected by the Optech Titan multispectral airborne laser scanner was used as research data, and the data was manually divided into eight categories. The method flow is divided into four steps: neighborhood point selection, spatial-spectral feature extraction, feature selection, and classification. First, the K-nearest neighborhood is used to select the neighborhood points for the multispectral LiDAR point cloud data. Additionally, the spatial and spectral features under the multi-scale neighborhood (K = 20, 50, 100, 150) are extracted. The Equalizer Optimization algorithm is used to perform feature selection on multi-scale neighborhood spatial-spectral features, and a feature subset is obtained. Finally, the feature subset is input into the support vector machine (SVM) classifier for training. Using only small training samples (about 0.5% of the total data) to train the SVM classifier, 91.99% overall accuracy (OA), 93.41% average accuracy (AA) and 0.89 kappa coefficient were obtained in study area. Compared with the original information's classification result, the OA, AA and kappa coefficient increased by 15.66%, 8.7% and 0.19, respectively. The results show that the constructed spatial-spectral features and the application of the Equalizer Optimization algorithm for feature selection are effective in land cover classification with Titan multispectral LiDAR point data.</t>
  </si>
  <si>
    <t>[Shi, Shuo; Bi, Sifu; Gong, Wei; Chen, Bowen; Tang, Xingtao; Qu, Fangfang] Wuhan Univ, State Key Lab Informat Engn Surveying Mapping &amp; R, 129 Luoyu Rd, Wuhan 430072, Peoples R China; [Gong, Wei] Wuhan Univ, Elect Informat Sch, Wuhan 430072, Peoples R China; [Chen, Biwu] Shanghai Radio Equipment Res Inst, Shanghai 201109, Peoples R China; [Chen, Bowen] Wuhan Univ, Chinese Antarctic Ctr Surveying &amp; Mapping, Wuhan 430079, Hubei, Peoples R China; [Song, Shalei] Chinese Acad Sci, Innovat Acad Precis Measurement Sci &amp; Technol, State Key Lab Magnet Resonance &amp; Atom &amp; Mol Phys, Wuhan 430071, Peoples R China</t>
  </si>
  <si>
    <t>Wuhan University; Wuhan University; Wuhan University; Chinese Academy of Sciences; Innovation Academy for Precision Measurement Science &amp; Technology, CAS</t>
  </si>
  <si>
    <t>Bi, SF (corresponding author), Wuhan Univ, State Key Lab Informat Engn Surveying Mapping &amp; R, 129 Luoyu Rd, Wuhan 430072, Peoples R China.</t>
  </si>
  <si>
    <t>cbw_think@whu.edu.cn; songshalei@apm.ac.cn</t>
  </si>
  <si>
    <t>song, sl/GRS-1884-2022; Bi, Sifu/JKC-9564-2023</t>
  </si>
  <si>
    <t>Chen, Bowen/0000-0001-9975-7983; Bi, Sifu/0000-0002-0589-0706</t>
  </si>
  <si>
    <t>National Key R&amp;D Program of China [2018YFB0504500]; National Natural Science Foundation of China [41971307]; China Postdoctoral Science Foundation [2017T100582]; LIESMARS Special Funding</t>
  </si>
  <si>
    <t>National Key R&amp;D Program of China; National Natural Science Foundation of China(National Natural Science Foundation of China (NSFC)); China Postdoctoral Science Foundation(China Postdoctoral Science Foundation); LIESMARS Special Funding</t>
  </si>
  <si>
    <t>FundingThis work was supported by the National Key R&amp;D Program of China (2018YFB0504500); the National Natural Science Foundation of China (41971307); China Postdoctoral Science Foundation (2017T100582); and LIESMARS Special Funding.</t>
  </si>
  <si>
    <t>10.3390/rs13204118</t>
  </si>
  <si>
    <t>WQ8HU</t>
  </si>
  <si>
    <t>WOS:000714052500001</t>
  </si>
  <si>
    <t>Zhou, LN; Chen, XD; Sun, CX; Chang, YM; Huang, XF; Zhu, TJ; Zhang, GJ; Che, Q; Li, DH</t>
  </si>
  <si>
    <t>Zhou, Luning; Chen, Xuedong; Sun, Chunxiao; Chang, Yimin; Huang, Xiaofei; Zhu, Tianjiao; Zhang, Guojian; Che, Qian; Li, Dehai</t>
  </si>
  <si>
    <t>Saliniquinone Derivatives, Saliniquinones G-I and Heraclemycin E, from the Marine Animal-Derived Nocardiopsis aegyptia HDN19-252</t>
  </si>
  <si>
    <t>anthraquinone derivatives; GNPS; Nocardiopsis aegyptia; MRCNS</t>
  </si>
  <si>
    <t>Four new anthraquinone derivatives, namely saliniquinones G-I (1-3) and heraclemycin E (4), were obtained from the Antarctic marine-derived actinomycete Nocardiopsis aegyptia HDN19-252, guided by the Global Natural Products Social (GNPS) molecular networking platform. Their structures, including absolute configurations, were elucidated by extensive NMR, MS, and ECD analyses. Compounds 1 and 2 showed promising inhibitory activity against six tested bacterial strains, including methicillin-resistant coagulase-negative staphylococci (MRCNS), with MIC values ranging from 3.1 to 12.5 mu M.</t>
  </si>
  <si>
    <t>[Zhou, Luning; Chen, Xuedong; Sun, Chunxiao; Chang, Yimin; Huang, Xiaofei; Zhu, Tianjiao; Zhang, Guojian; Che, Qian; Li, Dehai] Ocean Univ China, Sch Med &amp; Pharm, Qingdao 266003, Peoples R China; [Zhang, Guojian; Li, Dehai] Qingdao Natl Lab Marine Sci &amp; Technol, Lab Marine Drugs &amp; Bioprod, Qingdao 266237, Peoples R China</t>
  </si>
  <si>
    <t>Che, Q; Li, DH (corresponding author), Ocean Univ China, Sch Med &amp; Pharm, Qingdao 266003, Peoples R China.;Li, DH (corresponding author), Qingdao Natl Lab Marine Sci &amp; Technol, Lab Marine Drugs &amp; Bioprod, Qingdao 266237, Peoples R China.</t>
  </si>
  <si>
    <t>18895692529@163.com; chenxuedong1206@163.com; sunchunxiao93@163.com; yiminchang@163.com; hxf17853102898@163.com; zhutj@ouc.edu.cn; zhangguojian@ouc.edu.cn; cheqian064@ouc.edu.cn; dehaili@ouc.edu.cn</t>
  </si>
  <si>
    <t>CHEN, MINGWEI/KHT-6744-2024; Li, Dehai/G-7656-2012; wen, Wen/KBB-1727-2024; Wang, Guanhua/JXM-6373-2024</t>
  </si>
  <si>
    <t>Li, Dehai/0000-0002-7191-2002; Chen, xuedong/0000-0002-2805-9069; Zhu, Tianjiao/0000-0003-4185-5593</t>
  </si>
  <si>
    <t>National Natural Science Foundation of China [41876216, 41976105]; National Natural Science Foundation of China Major Project for Discovery of New Leading Compounds [81991522]; National Key R&amp;D Program of China [2018YFC1406705]; Youth Innovation Plan of Shandong province [2019KJM004]; Taishan Scholar Youth Expert Program in Shandong Province [tsqn201812021]; Fundamental Research Funds for the Central Universities [201941001]</t>
  </si>
  <si>
    <t>National Natural Science Foundation of China(National Natural Science Foundation of China (NSFC)); National Natural Science Foundation of China Major Project for Discovery of New Leading Compounds; National Key R&amp;D Program of China; Youth Innovation Plan of Shandong province; Taishan Scholar Youth Expert Program in Shandong Province; Fundamental Research Funds for the Central Universities(Fundamental Research Funds for the Central Universities)</t>
  </si>
  <si>
    <t>The National Natural Science Foundation of China (41876216, 41976105), the National Natural Science Foundation of China Major Project for Discovery of New Leading Compounds (81991522), National Key R&amp;D Program of China (2018YFC1406705), The Youth Innovation Plan of Shandong province (2019KJM004), Taishan Scholar Youth Expert Program in Shandong Province (tsqn201812021), the Fundamental Research Funds for the Central Universities (201941001).</t>
  </si>
  <si>
    <t>10.3390/md19100575</t>
  </si>
  <si>
    <t>WQ6XM</t>
  </si>
  <si>
    <t>WOS:000713957300001</t>
  </si>
  <si>
    <t>Jia, HR; Wei, DP</t>
  </si>
  <si>
    <t>Jia HongRui; Wei DongPing</t>
  </si>
  <si>
    <t>Relative motion of plates related to the Chile triple junction and geodynamic significance</t>
  </si>
  <si>
    <t>CHINESE JOURNAL OF GEOPHYSICS-CHINESE EDITION</t>
  </si>
  <si>
    <t>Chinese</t>
  </si>
  <si>
    <t>Chile triple junction; Euler vector; Relative plate motion; Mid-ocean ridge subduction; Prearcacid rock</t>
  </si>
  <si>
    <t>NAZCA-SOUTH-AMERICA; SPREADING-RIDGE SUBDUCTION; FORE-ARC; SLIP VECTORS; DEFORMATION; TECTONICS; OPHIOLITE; EROSION; BASALTS; NORTH</t>
  </si>
  <si>
    <t>At the Chile triple junction (CTJ), a representative RTT-type structure, the Chile ridge is currently subducting under the South America plate. Here we show the relative Euler vectors among the Nazca, Antarctica and South America plates by constructing the NazcaAntarctica-South America-Pacific plate system based on GPS observations, seismic sliding vectors, mid-ocean ridge spreading rates and the azimuth of transform faults. The results reveal distinct subduction characteristics of the Nazca plate (eastward, 83. () mm  a 1) and the Antarctic plate (southeastward, 22. 0 mm  a 1) beneath the South America plate on either side of the CTJ. The CTJ moves northward since 5. 3 Ma due to the subduction of the ocean ridge, with the nature of CTJ changing between RTT-type and FTT-type in response to the modification of the Chile ridge by the transform faults. The repeated subduction of the ocean ridge induced by the southward movement of the FTT-type CTJ causes the repeated partial melting of basalts under high T (800-900 'C) and low P (10-20 km) conditions. The intermediate rocks formed in the initial phase equilibrium are transformed into acid rocks during the following partial melting processes, which is responsible for the pre-arc acid rock outcrops at the crossover location of the CTJ movement.</t>
  </si>
  <si>
    <t>[Jia HongRui; Wei DongPing] Chinese Acad Sci, Key Lab Computat Geodynam, Beijing 100049, Peoples R China; [Jia HongRui; Wei DongPing] Univ Chinese Acad Sci, Coll Earth &amp; Planetary Sci, Beijing 100049, Peoples R China</t>
  </si>
  <si>
    <t>Chinese Academy of Sciences; Chinese Academy of Sciences; University of Chinese Academy of Sciences, CAS</t>
  </si>
  <si>
    <t>Wei, DP (corresponding author), Chinese Acad Sci, Key Lab Computat Geodynam, Beijing 100049, Peoples R China.;Wei, DP (corresponding author), Univ Chinese Acad Sci, Coll Earth &amp; Planetary Sci, Beijing 100049, Peoples R China.</t>
  </si>
  <si>
    <t>jiahongrui18@mails.ucas.ac.cn; dongping@ucas.ac.cn</t>
  </si>
  <si>
    <t>WEI, Dongping/J-3297-2012</t>
  </si>
  <si>
    <t>SCIENCE PRESS</t>
  </si>
  <si>
    <t>BEIJING</t>
  </si>
  <si>
    <t>16 DONGHUANGCHENGGEN NORTH ST, BEIJING 100717, PEOPLES R CHINA</t>
  </si>
  <si>
    <t>0001-5733</t>
  </si>
  <si>
    <t>CHINESE J GEOPHYS-CH</t>
  </si>
  <si>
    <t>Chinese J. Geophys.-Chinese Ed.</t>
  </si>
  <si>
    <t>10.6038/cjg2021O0470</t>
  </si>
  <si>
    <t>WI4XX</t>
  </si>
  <si>
    <t>WOS:000708366100013</t>
  </si>
  <si>
    <t>Hoffmann-Abdi, K; Fernandoy, F; Meyer, H; Freitag, J; Opel, T; McConnell, JR; Schneider, C</t>
  </si>
  <si>
    <t>Hoffmann-Abdi, Kirstin; Fernandoy, Francisco; Meyer, Hanno; Freitag, Johannes; Opel, Thomas; McConnell, Joseph R.; Schneider, Christoph</t>
  </si>
  <si>
    <t>Short-Term Meteorological and Environmental Signals Recorded in a Firn Core from a High-Accumulation Site on Plateau Laclavere, Antarctic Peninsula</t>
  </si>
  <si>
    <t>Antarctic Peninsula; firn cores; stable water isotopes; glacio-chemistry; high accumulation; surface melt</t>
  </si>
  <si>
    <t>STABLE WATER ISOTOPES; LONG-RANGE TRANSPORT; ICE-CORE; SEA-ICE; REGIONAL CLIMATE; SURFACE SNOW; ATMOSPHERIC CIRCULATION; HYDROGEN-PEROXIDE; KOHNEN STATION; ANNULAR MODE</t>
  </si>
  <si>
    <t>High-accumulation sites are crucial for understanding the patterns and mechanisms of climate and environmental change in Antarctica since they allow gaining high-resolution proxy records from firn and ice. Here, we present new glacio- and isotope-geochemical data at sub-annual resolution from a firn core retrieved from an ice cap on Plateau Laclavere (LCL), northern Antarctic Peninsula, covering the period 2012-2015. The signals of two volcanic eruptions and two forest fire events in South America could be identified in the non-sea-salt sulphur and black carbon records, respectively. Mean annual snow accumulation on LCL amounts to 2500 kg m(-2) a(-1) and exhibits low inter-annual variability. Time series of delta O-18, delta D and d excess show no seasonal cyclicity, which may result from (1) a reduced annual temperature amplitude due to the maritime climate and (2) post-depositional processes. The firn core stratigraphy indicates strong surface melt on LCL during austral summers 2013 and 2015, likely related to large-scale warm-air advection from lower latitudes and temporal variations in sea ice extent in the Bellingshausen-Amundsen Sea. The LCL ice cap is a highly valuable natural archive since it captures regional meteorological and environmental signals as well as their connection to the South American continent.</t>
  </si>
  <si>
    <t>[Hoffmann-Abdi, Kirstin; Meyer, Hanno; Opel, Thomas] Alfred Wegener Inst, Helmholtz Ctr Polar &amp; Marine Res, Res Unit Potsdam, Telegrafenberg A45, D-14473 Potsdam, Germany; [Hoffmann-Abdi, Kirstin; Schneider, Christoph] Humboldt Univ, Geograph Inst, Unter Linden 6, D-10099 Berlin, Germany; [Fernandoy, Francisco] Univ Andres Bello, Fac Ingn, Vina Del Mar 2531015, Chile; [Freitag, Johannes] Helmholtz Ctr Polar &amp; Marine Res, Alfred Wegener Inst, Alten Hafen 26, D-27568 Bremerhaven, Germany; [McConnell, Joseph R.] Desert Res Inst, Div Hydrol Sci, 2215 Raggio Pkwy, Reno, NV 89512 USA</t>
  </si>
  <si>
    <t>Helmholtz Association; Alfred Wegener Institute, Helmholtz Centre for Polar &amp; Marine Research; Humboldt University of Berlin; Universidad Andres Bello; Helmholtz Association; Alfred Wegener Institute, Helmholtz Centre for Polar &amp; Marine Research; Nevada System of Higher Education (NSHE); Desert Research Institute NSHE</t>
  </si>
  <si>
    <t>Hoffmann-Abdi, K (corresponding author), Alfred Wegener Inst, Helmholtz Ctr Polar &amp; Marine Res, Res Unit Potsdam, Telegrafenberg A45, D-14473 Potsdam, Germany.;Hoffmann-Abdi, K (corresponding author), Humboldt Univ, Geograph Inst, Unter Linden 6, D-10099 Berlin, Germany.</t>
  </si>
  <si>
    <t>Kirstin.Hoffmann@awi.de; francisco.fernandoy@unab.cl; Hanno.Meyer@awi.de; Johannes.Freitag@awi.de; Thomas.Opel@awi.de; Joe.McConnell@dri.edu; christoph.schneider@geo.hu-berlin.de</t>
  </si>
  <si>
    <t>Schneider, Christoph/V-2150-2017; Meyer, Hanno/E-2870-2016; Opel, Thomas/O-9037-2014</t>
  </si>
  <si>
    <t>Schneider, Christoph/0000-0002-9914-3217; Opel, Thomas/0000-0003-1315-8256; Hoffmann, Kirstin/0000-0002-8009-6369; Fernandoy, Francisco/0000-0003-2252-7746; McConnell, Joseph/0000-0001-9051-5240; Freitag, Johannes/0000-0003-2654-9440</t>
  </si>
  <si>
    <t>FONDECYT; Elsa-Neumann Ph.D. scholarship - state of Berlin, Germany</t>
  </si>
  <si>
    <t>FONDECYT(Comision Nacional de Investigacion Cientifica y Tecnologica (CONICYT)CONICYT FONDECYT); Elsa-Neumann Ph.D. scholarship - state of Berlin, Germany</t>
  </si>
  <si>
    <t>The presented work was partially funded by the FONDECYT project 11121551. K.H.-A. was funded by an Elsa-Neumann Ph.D. scholarship awarded by the state of Berlin, Germany.</t>
  </si>
  <si>
    <t>10.3390/geosciences11100428</t>
  </si>
  <si>
    <t>WT2QD</t>
  </si>
  <si>
    <t>WOS:000715712500001</t>
  </si>
  <si>
    <t>Behrens, E; Pinkerton, M; Parker, S; Rickard, G; Collins, C</t>
  </si>
  <si>
    <t>Behrens, Erik; Pinkerton, Matt; Parker, Steve; Rickard, Graham; Collins, Charine</t>
  </si>
  <si>
    <t>The Impact of Sea-Ice Drift and Ocean Circulation on Dispersal of Toothfish Eggs and Juveniles in the Ross Gyre and Amundsen Sea</t>
  </si>
  <si>
    <t>DISSOSTICHUS-MAWSONI; DYNAMIC TOPOGRAPHY; LIFE-HISTORY; CONNECTIVITY; VARIABILITY; TRANSPORT; MODELS</t>
  </si>
  <si>
    <t>Knowledge about the early life history of Antarctic toothfish (Dissostichus mawsoni) is still incomplete, particularly on the spatial and temporal extent of spawning and the subsequent transport of eggs, larvae, and juveniles from the offshore spawning areas to the continental shelf. This study used a high-resolution hydrodynamic model to investigate the impact of ocean circulation and sea-ice drift on the dispersal of eggs, larvae, and juvenile Antarctic toothfish. The virtual eggs were released on seamounts of the Pacific-Antarctic ridge in the Ross Gyre and advected using hydrodynamical model data. Particles were seeded annually over the years 2002-2016 and tracked for 3 years after their release. Recruitment success was evaluated based on the number of juveniles that reached known coastal recruitment areas, between the eastern Ross and Amundsen Seas, within 3 years. Sensitivities to certain juvenile behaviors were explored and showed that recruitment success was reduced by around 70% if juveniles drifted with sea-ice during the second winter season as this carried them into the open ocean away from the shelf region. Recruitment success increased during the second winter season if juveniles were entrained in the Ross Gyre circulation or if they actively swam toward the shelf. These modeling results suggest that the ecological advantage of sea-ice association in the early life cycle of toothfish diminishes as they grow, promoting a behavior change during their second winter. Plain Language Summary The Antarctic toothfish, Dissostichus mawsoni, is a large, commercially harvested fish in the Southern Ocean. Hypotheses have been put forward around the importance of sea-ice for their early life stage, which this study investigates. These fish lay buoyant eggs in the water column during winter season. Spawning locations have been identified around seamounts in the Ross Gyre. After spawning the buoyant eggs float to the surface where they drift with sea-ice until they hatch. After hatching the juvenile fish are hypothesized to travel from the Northern Ross Gyre region to the continental shelf break between the eastern Ross and Amundsen Seas within 2-3 years. In this study, we investigate how ocean currents and sea-ice drift influence their journey by using data from a high-resolution ocean model. Simulations with different particle behaviors reveal that their recruitment success is around 70% lower if juveniles would continue to drift with sea-ice instead of following ocean currents as juveniles. In particular, the modeled sea-ice drift during the second winter season carries many juveniles away from the shelf break. Results suggest that the advantage of sea-ice, providing food and shelter, diminishes as toothfish grow.</t>
  </si>
  <si>
    <t>[Behrens, Erik; Pinkerton, Matt; Parker, Steve; Rickard, Graham; Collins, Charine] Natl Inst Water &amp; Atmospher Res, Wellington, New Zealand</t>
  </si>
  <si>
    <t>National Institute of Water &amp; Atmospheric Research (NIWA) - New Zealand</t>
  </si>
  <si>
    <t>Behrens, E (corresponding author), Natl Inst Water &amp; Atmospher Res, Wellington, New Zealand.</t>
  </si>
  <si>
    <t>erik.behrens@niwa.co.nz</t>
  </si>
  <si>
    <t>Behrens, Erik/B-9631-2013</t>
  </si>
  <si>
    <t>Pinkerton, Matt/0000-0001-7948-720X; rickard, graham/0000-0002-0169-4361; Collins, Charine/0000-0003-1934-1369</t>
  </si>
  <si>
    <t>Ministry for Business Innovation and Employment [C01X1710, C01X1902]; NeSI High Performance Computing Facility; New Zealand Ministry of Business, Innovation &amp; Employment (MBIE) [C01X1710, C01X1902] Funding Source: New Zealand Ministry of Business, Innovation &amp; Employment (MBIE)</t>
  </si>
  <si>
    <t>Ministry for Business Innovation and Employment(New Zealand Ministry of Business, Innovation and Employment (MBIE)); NeSI High Performance Computing Facility; New Zealand Ministry of Business, Innovation &amp; Employment (MBIE)(New Zealand Ministry of Business, Innovation and Employment (MBIE))</t>
  </si>
  <si>
    <t>This project obtained funding from Ministry for Business Innovation and Employment via C01X1710 Ross Ramp and C01X1902 Deep South National Science Challenge. We would like to thank the four reviewers whose comments and thoughts helped us to strengthen this study. We acknowledge the support of NeSI High Performance Computing Facility and its team. Finally, I would like to acknowledge my partner, son, and daughter.</t>
  </si>
  <si>
    <t>e2021JC017329</t>
  </si>
  <si>
    <t>10.1029/2021JC017329</t>
  </si>
  <si>
    <t>WR2OQ</t>
  </si>
  <si>
    <t>WOS:000714344600020</t>
  </si>
  <si>
    <t>Li, R; Wu, KJ; Li, JK; Akhter, S; Dong, XH; Sun, J; Cao, TG</t>
  </si>
  <si>
    <t>Li, Rui; Wu, Kejian; Li, Jingkai; Akhter, Shaila; Dong, Xianghui; Sun, Jian; Cao, Tonggang</t>
  </si>
  <si>
    <t>Large-Scale Signals in the South Pacific Wave Fields Related to ENSO</t>
  </si>
  <si>
    <t>swell; ACW; wave transport; El Nino</t>
  </si>
  <si>
    <t>ANTARCTIC CIRCUMPOLAR WAVE; MIXED-LAYER; WIND-SEA; OCEAN; TEMPERATURE; VARIABILITY; CLIMATE; SWELL; TURBULENCE; ALTIMETER</t>
  </si>
  <si>
    <t>Surface waves play an important role in oceans. By using 40 years of reanalysis data from the European Centre for Medium-Range Weather Forecasts, CERA-20C, we get the signal of the Antarctic Circumpolar Wave (ACW) in the Southern Ocean wave filed. In addition, this signal with a 5-year period, can be transmitted to low latitudes by northward swells. The swells from the Southern Ocean, which link the high and low latitudes, have been proved to affect the tropical ocean by analyzing swell height with the empirical orthogonal function (EOF) analysis. This paper also shows the relation between El Nino and northward wave transport from the Southern Ocean. After El Nino outbreaks, the northward wave transport increases abnormally. The highest correlation coefficient is located around 12 degrees S, with values around 0.79 and northward wave transport lags the Nino3 index by 1-2 months. With the decrease in latitudes, the lag time is longer and correlation coefficient increases. The cold water transport induced by waves from higher latitudes has a cooling effect on the decline of El Nino. There is an inextricable link between wave transport and El Nino.</t>
  </si>
  <si>
    <t>[Li, Rui; Wu, Kejian; Akhter, Shaila; Dong, Xianghui; Sun, Jian] Ocean Univ China, Coll Ocean &amp; Atmospher Sci, Qingdao, Peoples R China; [Wu, Kejian; Li, Jingkai; Akhter, Shaila; Sun, Jian] Ocean Univ China, Phys Oceanog Lab, CIMST, Qingdao, Peoples R China; [Wu, Kejian; Li, Jingkai; Akhter, Shaila; Sun, Jian] Qingdao Natl Lab Marine Sci &amp; Technol, Qingdao, Peoples R China; [Akhter, Shaila] Minist Nat Resources, Inst Oceanog 1, Qingdao, Peoples R China; [Akhter, Shaila] Govt Peoples Republ Bangladesh, Minist Informat &amp; Broadcasting, Bangladesh Betar, Dhaka, Bangladesh; [Cao, Tonggang] Ocean Univ China, Coll Environm Sci &amp; Engn, Qingdao, Peoples R China</t>
  </si>
  <si>
    <t>Ocean University of China; Ocean University of China; Laoshan Laboratory; Ministry of Natural Resources of the People's Republic of China; First Institute of Oceanography, Ministry of Natural Resources; Ocean University of China</t>
  </si>
  <si>
    <t>Wu, KJ (corresponding author), Ocean Univ China, Coll Ocean &amp; Atmospher Sci, Qingdao, Peoples R China.;Wu, KJ (corresponding author), Ocean Univ China, Phys Oceanog Lab, CIMST, Qingdao, Peoples R China.;Wu, KJ (corresponding author), Qingdao Natl Lab Marine Sci &amp; Technol, Qingdao, Peoples R China.</t>
  </si>
  <si>
    <t>kejianwu@ouc.edu.cn</t>
  </si>
  <si>
    <t>Li, Rui/0000-0003-2042-7813; Akhter, shaila/0000-0001-7831-6396</t>
  </si>
  <si>
    <t>National Natural Science Foundation of China [42176018, 41976017, U20A2099]</t>
  </si>
  <si>
    <t>This study was made possible by financial support from the National Natural Science Foundation of China (42176018, 41976017 and U20A2099).</t>
  </si>
  <si>
    <t>e2021JC017643</t>
  </si>
  <si>
    <t>10.1029/2021JC017643</t>
  </si>
  <si>
    <t>WOS:000714344600006</t>
  </si>
  <si>
    <t>Pei, YH</t>
  </si>
  <si>
    <t>Pei, Yuhua</t>
  </si>
  <si>
    <t>Cyclostationary EOF Modes of Antarctic Sea Ice and Their Application in Prediction</t>
  </si>
  <si>
    <t>VARIABILITY; OCEAN; TEMPERATURE; EXTENT; WIND</t>
  </si>
  <si>
    <t>This study examines the modes of sea ice concentration (SIC) in the Southern Ocean from a new perspective using the cyclostationary empirical orthogonal function (CSEOF) method, which decomposes a space-time field into a combination of modulating variability on phase-locked annual cycles. The first CSEOF mode of SIC (72.55% of total variance) represents the normal annual cycle modulated by a low-frequency oscillation. The second mode of SIC (3.39%) represents the trend pattern, which reveals that the SIC increases in most regions of the Southern Ocean except for those adjacent to the Antarctic Peninsula, wherein the decreasing SIC trend is evident in austral warm seasons. This trend mode also explains that the sea ice in the Weddell Sea is increasing in austral summer and decreasing in austral winter. The Principal Component (PC) of this model is negatively corrected with the Southern Annular Mode index with a correlation coefficient of about -0.5. The third mode of SIC (2.48%) represents a wavenumber-2 Antarctic Circumpolar Wave mode that is linked to ENSO. As the CSEOF method decomposes the space-time SIC field into low-frequency modulations of phase-locked annual cycles, it can be used for SIC prediction, by taking the spatial modes as the basis functions and predicting their PCs from the autoregressive models. However, this CSEOF-based SIC prediction model exhibits unsatisfactory forecast skills, even with optimized model parameters. Therefore, it is still necessary to study more SIC prediction models and evaluate their forecast skills in the future. Plain Language Summary Antarctic sea ice influences air-sea exchange and thus plays an important role in modulating climate variation. Therefore, it is necessary to understand the different modes of sea ice change so that we can accurately predict it. This study examines and predicts the variability of sea ice concentration (SIC) from a new perspective by using a method that can resolve seasonally dependent changes. We found that SIC is modulated by low-frequency oscillations. A trend mode confirms previous studies showing that the sea ice increases in most regions of the Southern Ocean, except for those near the Antarctic Peninsula. This trend mode also reveals that sea ice is increasing in summer and decreasing in winter in the Weddell Sea. By predicting the future behavior of each mode, the sea ice can be predicted as contribution from these modes. This new sea ice prediction model performs well for representing past conditions but is not good at predicting future conditions. However, the method provides guidance as to how to improve models in future.</t>
  </si>
  <si>
    <t>[Pei, Yuhua] Minist Nat Resources, State Key Lab Satellite Ocean Environm Dynam, Inst Oceanog 2, Hangzhou, Peoples R China</t>
  </si>
  <si>
    <t>Ministry of Natural Resources of the People's Republic of China</t>
  </si>
  <si>
    <t>Pei, YH (corresponding author), Minist Nat Resources, State Key Lab Satellite Ocean Environm Dynam, Inst Oceanog 2, Hangzhou, Peoples R China.</t>
  </si>
  <si>
    <t>pei.yuhua@hotmail.com</t>
  </si>
  <si>
    <t>Pei, Yuhua/0000-0001-8549-5433</t>
  </si>
  <si>
    <t>Impact and Response of Antarctic Seas to Climate Change Program [01-01-01B, 02-01-02]; National Natural Science Foundation of China [41706037]</t>
  </si>
  <si>
    <t>Impact and Response of Antarctic Seas to Climate Change Program; National Natural Science Foundation of China(National Natural Science Foundation of China (NSFC))</t>
  </si>
  <si>
    <t>This study was supported by Impact and Response of Antarctic Seas to Climate Change Program (01-01-01B, 02-01-02), and National Natural Science Foundation of China Grant 41706037. The author thanks the handling editor and anonymous reviewers for their constructive comments.</t>
  </si>
  <si>
    <t>e2021JC017179</t>
  </si>
  <si>
    <t>10.1029/2021JC017179</t>
  </si>
  <si>
    <t>WOS:000714344600014</t>
  </si>
  <si>
    <t>Vanková, I; Nicholls, KW; Corr, HFJ</t>
  </si>
  <si>
    <t>Vankova, Irena; Nicholls, Keith W.; Corr, Hugh F. J.</t>
  </si>
  <si>
    <t>The Nature of Ice Intermittently Accreted at the Base of Ronne Ice Shelf, Antarctica, Assessed Using Phase-Sensitive Radar</t>
  </si>
  <si>
    <t>MARINE ICE; BENEATH</t>
  </si>
  <si>
    <t>In-situ phase-sensitive radar measurements from the Ronne Ice Shelf (RIS) reveal evidence of intermittent basal accretion periods at several sites that are melting in the long-term mean. Periods when ice is accreted at the ice-shelf base coincide with a decrease in the amplitude of the basal return of up to 4 dB. To quantify basal accretion we constrain simultaneously the dielectric constant, electrical conductivity, and thickness of the accreted ice. We do this by exploring the sensitivity of the received basal echo strength and phase to different transmit frequencies using the radar data in combination with a simple model. Along the western RIS, we detect episodic basal accretion events leading to ice accumulation at a rate equivalent to 1-3 mm of meteoric ice per day. The inferred accumulation rates and electromagnetic properties of the accreted ice imply that these events are caused primarily by the deposition of frazil ice crystals. Our findings offer the possibility of monitoring and studying the evolution of boundaries between ice-shelf basal melting and accretion regimes using remote observations, collected from the ice-shelf surface. Plain Language Summary Ice shelves, the floating portions of the Antarctic Ice Sheet, interact with the ocean beneath, resulting in melting or freezing at the ice-shelf base. As the access to the ocean beneath the ice shelf is difficult and costly, techniques that can measure changes at the ice base remotely, such as ground-based radar, offer a desirable alternative to observing ice-ocean interactions directly. A phase-sensitive radar can precisely measure the evolution of the rate at which ice shelves melt at their base by detecting changes in the phase of the reflected signal. However, using this technique to detect and quantify the rate of basal accretion is complicated by the fact that the electromagnetic properties of the frozen-on ice, key to quantifying its thickness, are unknown. We detected intermittent accretion periods at several ice-shelf locations by investigating changes in the strength of the radar signal returned from the ice base. Furthermore, we developed a method that can simultaneously quantify the thickness and the electromagnetic properties of the accreted ice. This new observational capability expands the range of ice-ocean interaction regimes that can be monitored from the ice-shelf surface.</t>
  </si>
  <si>
    <t>[Vankova, Irena; Nicholls, Keith W.; Corr, Hugh F. J.] British Antarctic Survey, Nat Environm Res Council, Cambridge, England</t>
  </si>
  <si>
    <t>Vanková, I (corresponding author), British Antarctic Survey, Nat Environm Res Council, Cambridge, England.</t>
  </si>
  <si>
    <t>irkova@bas.ac.uk</t>
  </si>
  <si>
    <t>Corr, Hugh/C-5398-2011</t>
  </si>
  <si>
    <t>European Union [790062]; NERC [NE/L013770/1]; Marie Curie Actions (MSCA) [790062] Funding Source: Marie Curie Actions (MSCA); NERC [NE/L013770/1, bas0100033] Funding Source: UKRI</t>
  </si>
  <si>
    <t>European Union(European Union (EU)); NERC(UK Research &amp; Innovation (UKRI)Natural Environment Research Council (NERC)); Marie Curie Actions (MSCA)(Marie Curie Actions); NERC(UK Research &amp; Innovation (UKRI)Natural Environment Research Council (NERC))</t>
  </si>
  <si>
    <t>This project has received funding from the European Union's Horizon 2020 research and innovation programme under the Marie Skodowska-Curie grant agreement No 790062. The ApRES data were collected as part of the NERC-funded project NE/L013770/1: Ice shelves in a warming world: Filchner Ice Shelf System (FISS), Antarctica. The authors thank Craig Stewart, one anonymous reviewer, and Laurie Padman for their constructive feedback.</t>
  </si>
  <si>
    <t>e2021JC017290</t>
  </si>
  <si>
    <t>10.1029/2021JC017290</t>
  </si>
  <si>
    <t>WOS:000714344600001</t>
  </si>
  <si>
    <t>Yu, XL; Ponte, AL; Lahaye, N; Caspar-Cohen, Z; Menemenlis, D</t>
  </si>
  <si>
    <t>Yu, Xiaolong; Ponte, Aurelien L.; Lahaye, Noe; Caspar-Cohen, Zoe; Menemenlis, Dimitris</t>
  </si>
  <si>
    <t>Geostrophy Assessment and Momentum Balance of the Global Oceans in a Tide- and Eddy-Resolving Model</t>
  </si>
  <si>
    <t>SEA-SURFACE HEIGHT; INTERNAL GRAVITY-WAVES; ANNUAL CYCLE; MESOSCALE; WIND; RESTRATIFICATION; VARIANCE; DYNAMICS; CURRENTS; MOTIONS</t>
  </si>
  <si>
    <t>The future wide-swath satellite altimeters, such as the upcoming Surface Water Ocean Topography (SWOT) mission, will provide instantaneous 2D measurements of sea level down to the spatial scale of O(10 km) for the first time. However, the validity of the geostrophic assumption for estimating surface currents from these instantaneous maps is not known a priori. In this study, we quantify the accuracy of geostrophy for the estimation of surface currents from a knowledge of instantaneous sea level using the hourly snapshots from a tide- and eddy-resolving global numerical simulation. Geostrophic balance is found to be the leading-order balance in frontal regions characterized by large kinetic energy, such as the western boundary currents and the Antarctic Circumpolar Current. Everywhere else, geostrophic approximation ceases to be a useful predictor of ocean velocity, which may result in significant high-frequency contamination of geostrophically computed velocities by fast variability (e.g., inertial and higher). As expected, the validity of geostrophy is shown to improve at low frequencies (typically &lt; 0.5 cpd). Global estimates of the horizontal momentum budget reveal that the tropical and mid-latitude regions where geostrophic balance fails are dominated by fast variability and turbulent stress divergence terms rather than higher-order geostrophic terms. These findings indicate that the estimation of velocity from geostrophy applied on SWOT instantaneous sea level maps may be challenging away from energetic areas. Plain Language Summary The geostrophic balance, which is a balance between the Coriolis force and the pressure gradient force, is a fundamental assumption that enables the estimation of the surface ocean circulation from sea surface height maps. The validity of this approximation down to spatial scales of order 10 km is critical to next-generation satellite altimetry missions, such as the upcoming Surface Water and Ocean Topography (SWOT) mission with a scheduled launch date in late 2022. In this study, we assess the degree of geostrophic validity using the instantaneous output from a high-resolution global model including tidal forcing. Our results suggest that geostrophic balance is a satisfactory approximation in energetic regions, such as the western boundary currents and the Antarctic Circumpolar Current. This is not the case however for the bulk of subtropical and subpolar open-ocean regions, suggesting that directly assuming geostrophy in these regions may lead to biased time-varying estimates of velocity. High-frequency signals dominate the ageostrophic motions everywhere except in the Southern Ocean, where the low-frequency wind-driven currents take over. These results suggest that using geostrophy on the raw maps of sea level collected by SWOT will not lead to an accurate prediction of surface currents away from energetic areas.</t>
  </si>
  <si>
    <t>[Yu, Xiaolong; Ponte, Aurelien L.; Caspar-Cohen, Zoe] Univ Brest, IFREMER, CNRS, IRD,Lab Oceanog Phys &amp; Spatiale,IUEM, Brest, France; [Lahaye, Noe] Inria, Campus Univ Beaulieu, Rennes, France; [Lahaye, Noe] IRMAR, Campus Univ Beaulieu, Rennes, France; [Menemenlis, Dimitris] CALTECH, Jet Prop Lab, Pasadena, CA USA</t>
  </si>
  <si>
    <t>Universite de Bretagne Occidentale; Institut Universitaire Europeen de la Mer (IUEM); Ifremer; Centre National de la Recherche Scientifique (CNRS); Institut de Recherche pour le Developpement (IRD); Inria; Universite de Rennes; Universite de Rennes; California Institute of Technology; National Aeronautics &amp; Space Administration (NASA); NASA Jet Propulsion Laboratory (JPL)</t>
  </si>
  <si>
    <t>Yu, XL (corresponding author), Univ Brest, IFREMER, CNRS, IRD,Lab Oceanog Phys &amp; Spatiale,IUEM, Brest, France.</t>
  </si>
  <si>
    <t>xiaolong.yu@ifremer.fr</t>
  </si>
  <si>
    <t>Ponte, Aurelien L./J-4296-2013; Menemenlis, Dimitris/G-8091-2017</t>
  </si>
  <si>
    <t>Ponte, Aurelien L./0000-0002-0252-6028; Menemenlis, Dimitris/0000-0001-9940-8409; Caspar-Cohen, Zoe/0000-0002-7013-216X; Yu, Xiaolong/0000-0001-6748-188X</t>
  </si>
  <si>
    <t>ANR [17-CE01-0006-01]; European Space Agency</t>
  </si>
  <si>
    <t>ANR(Agence Nationale de la Recherche (ANR)); European Space Agency(European Space Agency)</t>
  </si>
  <si>
    <t>This work was carried out as part of the ANR project number 17-CE01-0006-01 and entitled EQUINOx (Disentangling Quasi-geostrophic Motions and Internal Waves in High Resolution Satellite Observations of the Ocean). We thank the European Space Agency for funding the World Ocean Circulation (WOC) project in the frame of which this work was carried out. It is also part of the CNES-TOSCA project entitled New Dynamical Tools for submesoscale characterization in SWOT data that was proposed within the context of the SWOT mission. We thank three anonymous reviewers for insightful feedback.</t>
  </si>
  <si>
    <t>e2021JC017422</t>
  </si>
  <si>
    <t>10.1029/2021JC017422</t>
  </si>
  <si>
    <t>WOS:000714344600018</t>
  </si>
  <si>
    <t>Alekseev, GV; Glok, NI; Vyazilova, AE; Kharlanenkova, NE; Kulakov, MY</t>
  </si>
  <si>
    <t>Alekseev, Genrikh V.; Glok, Natalia I.; Vyazilova, Anastasia E.; Kharlanenkova, Natalia E.; Kulakov, Mikhail Yu.</t>
  </si>
  <si>
    <t>Influence of SST in Low Latitudes on the Arctic Warming and Sea Ice</t>
  </si>
  <si>
    <t>JOURNAL OF MARINE SCIENCE AND ENGINEERING</t>
  </si>
  <si>
    <t>SST; tropics; Atlantic; Arctic; climate; sea ice</t>
  </si>
  <si>
    <t>NORTH-ATLANTIC; SURFACE-TEMPERATURE; TROPICAL CONVECTION; HEAT-TRANSPORT; CLIMATE-CHANGE; CMIP6 MODELS; BARENTS SEA; VARIABILITY; OCEAN; IMPACT</t>
  </si>
  <si>
    <t>Global climate models, focused on projecting anthropogenic warming, have not detected an increase in sea surface temperature (SST) at low latitudes comparable to the observed one. This appears to be one reason for the discrepancy between the model estimates of warming and reduction of the sea ice extent in the Arctic and the observed changes in the climate system. In previous studies, it was shown that short-term manifestations of the impact of low latitudes on the Arctic climate were identified in 2-3 weeks as a result of strengthening of atmospheric circulation patterns. In this paper, for the first time, a climatic relationship was established among an increase in SST, air temperature, and water vapor content at low latitudes, and a decrease in sea ice extent in the Arctic. ECMWF Re-Analysis data (ERA-Interim, ERA5), Hadley Centre Sea Ice and Sea Surface Temperature data set (HadISST), sea ice archives of the World Centers NSIDC (USA), and Arctic and Antarctic Research Institute (Russia), observations of water temperature in the Kola section (33 &amp; DEG;30' E), calculated sea ice parameters using the Arctic and Antarctic Research Institute coupled ice-ocean circulation model (AARI-IOCM). Methods of multivariate correlation analysis, calculating spectra and coherence, and creating correlation graphs were used to obtain the results. For the first time, estimates of the effect of heat transport from low to high latitudes on climate change and sea ice extent in the Arctic over the past 40 years have been obtained, explaining a significant part of their variability. The increase in heat transport is affected by an increase in SST at low latitudes, where a significant part of the solar heat is accumulated. Due to the increase in SST, the amount of heat transported by the ocean and the atmosphere from low latitudes to the Arctic increases, leading to an increase in the air temperature, water vapor content, downward longwave radiation at high latitudes, and a decrease in the thickness and extent of winter sea ice. Potential topics include, but are not limited to: the role of heat and moisture transport in the Arctic warming, effect of SST at low latitudes on transports, linkage of warming in low latitudes and in shrinking of the Arctic sea ice.</t>
  </si>
  <si>
    <t>[Alekseev, Genrikh V.; Glok, Natalia I.; Vyazilova, Anastasia E.; Kharlanenkova, Natalia E.; Kulakov, Mikhail Yu.] Arctic &amp; Antarctic Res Inst, 38 Bering St, St Petersburg 199397, Russia</t>
  </si>
  <si>
    <t>Arctic &amp; Antarctic Research Institute</t>
  </si>
  <si>
    <t>Alekseev, GV (corresponding author), Arctic &amp; Antarctic Res Inst, 38 Bering St, St Petersburg 199397, Russia.</t>
  </si>
  <si>
    <t>alexgv@aari.ru</t>
  </si>
  <si>
    <t>Kulakov, Mikhail/AAX-4924-2020; Alekseev, Genrikh/R-8785-2016</t>
  </si>
  <si>
    <t>Alekseev, Genrikh/0000-0001-5630-647X; Vyazilova, Anastasia/0000-0001-5657-7309; Kulakov, Mikhail/0000-0002-0568-2448</t>
  </si>
  <si>
    <t>Russian Foundation for Basic Research (RFBR) [18-05-00334, 18-05-60107]</t>
  </si>
  <si>
    <t>Russian Foundation for Basic Research (RFBR)(Russian Foundation for Basic Research (RFBR))</t>
  </si>
  <si>
    <t>This research was funded by the Russian Foundation for Basic Research (RFBR), grant number 18-05-00334, 18-05-60107.</t>
  </si>
  <si>
    <t>2077-1312</t>
  </si>
  <si>
    <t>J MAR SCI ENG</t>
  </si>
  <si>
    <t>J. Mar. Sci. Eng.</t>
  </si>
  <si>
    <t>10.3390/jmse9101145</t>
  </si>
  <si>
    <t>Engineering, Marine; Engineering, Ocean; Oceanography</t>
  </si>
  <si>
    <t>WQ2OG</t>
  </si>
  <si>
    <t>WOS:000713659100001</t>
  </si>
  <si>
    <t>Jodlowska, I; Twarda-Clapa, A; Szymczak, K; Bialkowska, AM</t>
  </si>
  <si>
    <t>Jodlowska, Iga; Twarda-Clapa, Aleksandra; Szymczak, Kamil; Bialkowska, Aneta M.</t>
  </si>
  <si>
    <t>Green Oxidation of Amines by a Novel Cold-Adapted Monoamine Oxidase MAO P3 from Psychrophilic Fungi Pseudogymnoascus sp. P3</t>
  </si>
  <si>
    <t>psychrophilic fungi; monoamine oxidase; oxidative deamination</t>
  </si>
  <si>
    <t>SUBSTRATE SELECTIVITY; ASPERGILLUS-NIGER; DEFLAVINATION; IMPROVEMENTS</t>
  </si>
  <si>
    <t>The use of monoamine oxidases (MAOs) in amine oxidation is a great example of how biocatalysis can be applied in the agricultural or pharmaceutical industry and manufacturing of fine chemicals to make a shift from traditional chemical synthesis towards more sustainable green chemistry. This article reports the screening of fourteen Antarctic fungi strains for MAO activity and the discovery of a novel psychrozyme MAOP3 isolated from the Pseudogymnoascus sp. P3. The activity of the native enzyme was 1350 &amp; PLUSMN; 10.5 U/L towards a primary (n-butylamine) amine, and 1470 &amp; PLUSMN; 10.6 U/L towards a secondary (6,6-dimethyl-3-azabicyclohexane) amine. MAO P3 has the potential for applications in biotransformations due to its wide substrate specificity (aliphatic and cyclic amines, pyrrolidine derivatives). The psychrozyme operates at an optimal temperature of 30 &amp; DEG;C, retains 75% of activity at 20 &amp; DEG;C, and is rather thermolabile, which is beneficial for a reduction in the overall costs of a bioprocess and offers a convenient way of heat inactivation. The reported biocatalyst is the first psychrophilic MAO; its unique biochemical properties, substrate specificity, and effectiveness predispose MAO P3 for use in environmentally friendly, low-emission biotransformations.</t>
  </si>
  <si>
    <t>[Jodlowska, Iga; Twarda-Clapa, Aleksandra; Bialkowska, Aneta M.] Lodz Univ Technol, Inst Mol &amp; Ind Biotechnol, PL-90537 Lodz, Poland; [Szymczak, Kamil] Lodz Univ Technol, Inst Nat Prod &amp; Cosmet, PL-90537 Lodz, Poland</t>
  </si>
  <si>
    <t>Lodz University of Technology; Lodz University of Technology</t>
  </si>
  <si>
    <t>Bialkowska, AM (corresponding author), Lodz Univ Technol, Inst Mol &amp; Ind Biotechnol, PL-90537 Lodz, Poland.</t>
  </si>
  <si>
    <t>iga.jodlowska@dokt.p.lodz.pl; aleksandra.twarda-clapa@p.lodz.pl; kamil.szymczak@dokt.p.lodz.pl; aneta.bialkowska@p.lodz.pl</t>
  </si>
  <si>
    <t>Jodłowska, Iga/IAN-2989-2023; Twarda-Clapa, Aleksandra/C-9639-2017</t>
  </si>
  <si>
    <t>Twarda-Clapa, Aleksandra/0000-0003-2532-5672</t>
  </si>
  <si>
    <t>10.3390/molecules26206237</t>
  </si>
  <si>
    <t>WR6DR</t>
  </si>
  <si>
    <t>WOS:000714588600001</t>
  </si>
  <si>
    <t>Jofré, I; Matus, F; Mendoza, D; Nájera, F; Merino, C</t>
  </si>
  <si>
    <t>Jofre, Ignacio; Matus, Francisco; Mendoza, Daniela; Najera, Francisco; Merino, Carolina</t>
  </si>
  <si>
    <t>Manganese-Oxidizing Antarctic Bacteria (Mn-Oxb) Release Reactive Oxygen Species (ROS) as Secondary Mn(II) Oxidation Mechanisms to Avoid Toxicity</t>
  </si>
  <si>
    <t>BIOLOGY-BASEL</t>
  </si>
  <si>
    <t>ROS; Mn oxidation; Antarctic soil</t>
  </si>
  <si>
    <t>LEPTOTHRIX-DISCOPHORA SS-1; OXIDASE COMPLEX MNX; MULTICOPPER OXIDASE; PSEUDOMONAS-FLUORESCENS; SUPEROXIDE; TEMPERATURE; STRESS; OXIDES; GENE; IDENTIFICATION</t>
  </si>
  <si>
    <t>Manganese (Mn)-oxidizing bacteria (MnOxb) are an essential group of microorganisms that oxidize soluble Mn(II) to form precipitate Mn(III) minerals, playing a crucial role in soil formation. The Fildes Peninsula is one of the fastest-warming areas globally and, therefore, the maritime Antarctic soils from this pivotal location allow for the examination of the effect of temperature on bacterial communities. The temperature causes an increase in the microbial respiratory rate, producing reactive oxygen species (ROS), which are harmful to bacteria. We evaluate an evasive secondary non-enzymatic mechanism for ROS production under increasing temperature in MnOxb isolated from Antarctic soils. Bacteria produce ROS capable of oxidizing Mn(II) as temperature increases, contributing to the enzymatic pathway protecting microbial cells from Mn(II) toxicity. In addition, we determine that certain strains, such as Arthobacter oxydans, can use these ROS as mechanisms to protect themselves from Mn toxicity at high concentrations. In conclusion, we describe a secondary mechanism of Mn(II) oxidation in bacterial strains of Antarctic soils. Manganese (Mn) oxidation is performed through oxidative Mn-oxidizing bacteria (MnOxb) as the main bio-weathering mechanism for Mn(III/IV) deposits during soil formation. However, with an increase in temperature, the respiration rate also increases, producing Reactive Oxygen Species (ROS) as by-products, which are harmful to microbial cells. We hypothesize that bacterial ROS oxidize Mn(II) to Mn(III/IV) as a secondary non-enzymatic temperature-dependent mechanism for cell protection. Fourteen MnOxb were isolated from Antarctic soils under the global warming effect, and peroxidase (PO) activity, ROS, and Mn(III/IV) production were evaluated for 120 h of incubation at 4 degrees C, 15 degrees C, and 30 degrees C. ROS contributions to Mn oxidation were evaluated in Arthrobacter oxydans under antioxidant (Trolox) and ROS-stimulated (menadione) conditions. The Mn(III/IV) concentration increased with temperature and positively correlated with ROS production. ROS scavenging with Trolox depleted the Mn oxidation, and ROS-stimulant increased the Mn precipitation in A. oxydans. Increasing the Mn(II) concentration caused a reduction in the membrane potential and bacterial viability, which resulted in Mn precipitation on the bacteria surface. In conclusion, bacterial ROS production serves as a complementary non-enzymatic temperature-dependent mechanism for Mn(II) oxidation as a response in warming environments.</t>
  </si>
  <si>
    <t>[Jofre, Ignacio; Matus, Francisco; Mendoza, Daniela; Najera, Francisco; Merino, Carolina] Univ La Frontera, Fac Sci &amp; Engn, Dept Chem Sci &amp; Nat Resources, Lab Conservat &amp; Dynam Volcan Soils, Ave Francisco Salazar 01145, Temuco 4811230, Chile; [Matus, Francisco; Mendoza, Daniela; Merino, Carolina] Univ La Frontera, Network Extreme Environm Res, Ave Francisco Salazar 01145, Temuco 4811230, Chile; [Matus, Francisco] Univ La Frontera, Dept Chem Sci &amp; Nat Resources, Ave Francisco Salazar 01145, Temuco 4811230, Chile; [Najera, Francisco] Univ Chile, Agron Sci Fac, Sta Rosa 11315, Santiago 8820808, Chile; [Merino, Carolina] Univ La Frontera, Sci &amp; Technol Bioresources Nucleus, BIOREN, Ave Francisco Salazar 01145, Temuco 4811230, Chile</t>
  </si>
  <si>
    <t>Universidad de La Frontera; Universidad de La Frontera; Universidad de La Frontera; Universidad de Chile; Universidad de La Frontera</t>
  </si>
  <si>
    <t>Merino, C (corresponding author), Univ La Frontera, Fac Sci &amp; Engn, Dept Chem Sci &amp; Nat Resources, Lab Conservat &amp; Dynam Volcan Soils, Ave Francisco Salazar 01145, Temuco 4811230, Chile.;Merino, C (corresponding author), Univ La Frontera, Network Extreme Environm Res, Ave Francisco Salazar 01145, Temuco 4811230, Chile.;Merino, C (corresponding author), Univ La Frontera, Sci &amp; Technol Bioresources Nucleus, BIOREN, Ave Francisco Salazar 01145, Temuco 4811230, Chile.</t>
  </si>
  <si>
    <t>ignacio.jofre@ufrontera.cl; francisco.matus@ufrontera.cl; daniela.mendoza@ufrontera.cl; fnajera@uchile.cl; carolina.merino@ufrontera.cl</t>
  </si>
  <si>
    <t>Matus, Francisco/AAY-9383-2020; FERNANDEZ, IGNACIO ANDRES JOFRE/AAX-1279-2021; Najera, Francisco/ABE-4075-2020</t>
  </si>
  <si>
    <t>Matus, Francisco/0000-0002-0534-2208; FERNANDEZ, IGNACIO ANDRES JOFRE/0000-0002-0142-2446;</t>
  </si>
  <si>
    <t>INACH [RT_23_17]; ANID Fondecyt [N3200758]; Fondecyt Initiation [N 1180521]; Network for Extreme Environment Research (NEXER-Chile) [NXR17-001]</t>
  </si>
  <si>
    <t>INACH; ANID Fondecyt; Fondecyt Initiation(Comision Nacional de Investigacion Cientifica y Tecnologica (CONICYT)CONICYT FONDECYT); Network for Extreme Environment Research (NEXER-Chile)</t>
  </si>
  <si>
    <t>This research was funded by INACH project RT_23_17, ANID Fondecyt Postdoctoral Fellowship N3200758, Fondecyt Initiation N 1180521, and the Network for Extreme Environment Research (NEXER-Chile) project NXR17-001.</t>
  </si>
  <si>
    <t>2079-7737</t>
  </si>
  <si>
    <t>Biology-Basel</t>
  </si>
  <si>
    <t>10.3390/biology10101004</t>
  </si>
  <si>
    <t>Biology</t>
  </si>
  <si>
    <t>Life Sciences &amp; Biomedicine - Other Topics</t>
  </si>
  <si>
    <t>WO2MM</t>
  </si>
  <si>
    <t>WOS:000712293800001</t>
  </si>
  <si>
    <t>Rychert, K; Wink, L; Blohs, M; Kumpitsch, C; Neumann, C; Moissl-Eichinger, C; Wielgat-Rychert, M</t>
  </si>
  <si>
    <t>Rychert, Krzysztof; Wink, Lisa; Blohs, Marcus; Kumpitsch, Christina; Neumann, Charlotte; Moissl-Eichinger, Christine; Wielgat-Rychert, Magdalena</t>
  </si>
  <si>
    <t>Detection of Microorganisms and Metabolism in Dune Sand of a Low Organic Content</t>
  </si>
  <si>
    <t>dune sand; carbon dioxide efflux; organic matter; ATP; 16S rRNA</t>
  </si>
  <si>
    <t>BIOLOGICAL SOIL CRUSTS; CARBON-DIOXIDE; EMENDED DESCRIPTION; ATACAMA DESERT; TAYLOR VALLEY; SPECIAL-ISSUE; GALE CRATER; SP-NOV.; RESPIRATION; LIFE</t>
  </si>
  <si>
    <t>The main goal of astrobiological studies is the search for life beyond Earth. Developing life detection methods requires test locations that have similar environmental conditions to extraterrestrial sites or that simply have low organism abundances. In this study, we describe dune sand of a low organic matter content (0.11%) collected from a national park frequented by few people. It is located in temperate zone. We hypothesized that dune sand is characterized by the low abundance of microorganisms and metabolic rates that could be compared to analogs of extraterrestrial environments like the Antarctic McMurdo Dry Valleys or the Atacama Desert. Measurements of CO2 efflux and ATP concentration demonstrated that hydrating dune sand with sterile distilled water initiated a short period of substantial microbial metabolic activity that lasted from 4 to 5 days. The maximum CO2 efflux was 100 mgCO(2) m(-2) d(-1), which was low compared to values reported for sandy dunes, deserts and poor soils, including McMurdo Dry Valleys. Microscopic observations demonstrated that the abundance of prokaryotic microorganisms in the dune sand was low at roughly one million per cm(3) of sand and was comparable to the abundance reported from the Atacama Desert. The microbial communities in the dune sand were studied based on 16S rRNA gene analyses. The most prominent bacterial genera were Massilia and Bacillus. Study demonstrated that dune sand sampled from a national park area was as useful for testing life detection methods as are other well-established analogs of extraterrestrial environments.</t>
  </si>
  <si>
    <t>[Rychert, Krzysztof; Wielgat-Rychert, Magdalena] Pomeranian Univ Slupsk, Inst Biol &amp; Earth Sci, Slupsk, Poland; [Wink, Lisa; Blohs, Marcus; Kumpitsch, Christina; Neumann, Charlotte; Moissl-Eichinger, Christine] Med Univ Graz, Dept Internal Med, Graz, Austria</t>
  </si>
  <si>
    <t>Medical University of Graz</t>
  </si>
  <si>
    <t>Rychert, K (corresponding author), Pomeranian Univ Slupsk, Inst Biol &amp; Earth Sci, Slupsk, Poland.</t>
  </si>
  <si>
    <t>krychert@wp.pl</t>
  </si>
  <si>
    <t>Rychert, Krzysztof/G-9703-2011; Moissl-Eichinger, Christine/A-6682-2015</t>
  </si>
  <si>
    <t>Rychert, Krzysztof/0000-0002-0173-3914; Moissl-Eichinger, Christine/0000-0001-6755-6263; Wink, Lisa/0000-0002-5251-3137; Blohs, Marcus/0000-0001-6488-1298; Neumann, Charlotte/0000-0003-0034-4199</t>
  </si>
  <si>
    <t>Europlanet 2020 Research Initiative [18-EPN4-051]; European Union [654208]</t>
  </si>
  <si>
    <t>Europlanet 2020 Research Initiative; European Union(European Union (EU))</t>
  </si>
  <si>
    <t>The authors would like to thank Dominique Pernitsch and Dagmar Kolb-Lenz of the Medical University of Graz, Austria for preparing samples for scanning electron microscopy. The authors are also grateful to Andrzej Witkowski of the University of Szczecin, Poland for help with identifying diatoms. Alexander Mahnert's assistance in organizing the experiments is also appreciated. Finally, we wish to thank two anonymous reviewers for their valuable comments. The majority of the studies were conducted during the project Transnational Access to the Center for Microbial Life Detection at the Medical University of Graz thanks to the Europlanet 2020 Research Initiative (project title Microbial community in dune sand of low organic content, No 18-EPN4-051, beneficent: Krzysztof Rychert). Europlanet 2020 RI has received funding from the European Union's Horizon 2020 research and innovation programme under grant agreement no 654208.</t>
  </si>
  <si>
    <t>e2021JG006404</t>
  </si>
  <si>
    <t>10.1029/2021JG006404</t>
  </si>
  <si>
    <t>WN7TI</t>
  </si>
  <si>
    <t>WOS:000711969900012</t>
  </si>
  <si>
    <t>Hansen, SE; Garnero, EJ; Rost, S</t>
  </si>
  <si>
    <t>Hansen, Samantha E.; Garnero, Edward J.; Rost, Sebastian</t>
  </si>
  <si>
    <t>Historical Interstation Pattern Referencing (HIPR): An Application to PcP Waves Recorded in the Antarctic for ULVZ Imaging</t>
  </si>
  <si>
    <t>stacking algorithm; ultra-low velocity zones; PcP</t>
  </si>
  <si>
    <t>ULTRALOW-VELOCITY ZONES; CORE-MANTLE BOUNDARY; PARTIAL MELT; SEISMOLOGICAL CONSTRAINTS; SEISMIC VELOCITY; POST-PEROVSKITE; BASE; PACIFIC; BENEATH; LAYER</t>
  </si>
  <si>
    <t>Much of our knowledge on deep Earth structure is based on detailed analyses of seismic waveforms that often have small amplitude arrivals on seismograms; therefore, stacking is essential to obtain reliable signals above the noise level. We present a new iterative stacking scheme that incorporates Historical Interstation Pattern Referencing (HIPR) to improve data quality assessment. HIPR involves comparing travel-time and data quality measurements between every station for every recorded event to establish historical patterns, which are then compared to individual measurements. Weights are determined based on the individual interstation measurement differences and their similarity to historical averages, and these weights are then used in our stacking algorithm. This approach not only refines the stacks made from high-quality data but also allows some lower-quality events that may have been dismissed with more traditional stacking approaches to contribute to our study. Our HIPR-based stacking routine is illustrated through an application to core-reflected PcP phases recorded by the Transantarctic Mountains Northern Network to investigate ultra-low velocity zones (ULVZs). We focus on ULVZ structure to the east of New Zealand because this region is well-sampled by our data set and also coincides with the boundary of the Pacific Large Low Shear Velocity Province (LLSVP), thereby allowing us to further assess possible ULVZ-LLSVP relationships. The HIPR-refined stacks display strong ULVZ evidence, and associated synthetic modeling suggests that the ULVZs in this region are likely associated with compositionally distinct material that has perhaps been swept by mantle convection currents to accumulate along the LLSVP boundary.</t>
  </si>
  <si>
    <t>[Hansen, Samantha E.] Univ Alabama, Tuscaloosa, AL 35401 USA; [Garnero, Edward J.] Arizona State Univ, Tempe, AZ USA; [Rost, Sebastian] Univ Leeds, Leeds, W Yorkshire, England</t>
  </si>
  <si>
    <t>University of Alabama System; University of Alabama Tuscaloosa; Arizona State University; Arizona State University-Tempe; University of Leeds</t>
  </si>
  <si>
    <t>Hansen, SE (corresponding author), Univ Alabama, Tuscaloosa, AL 35401 USA.</t>
  </si>
  <si>
    <t>shansen@geo.ua.edu</t>
  </si>
  <si>
    <t>Rost, Sebastian/GOH-2868-2022</t>
  </si>
  <si>
    <t>Rost, Sebastian/0000-0003-0218-247X</t>
  </si>
  <si>
    <t>Seismological Facilities for the Advancement of Geoscience (SAGE) award of the NSF [EAR-1851048]; NSF [ANT1139739, PLR-1643551]; NSF-NERC collaborative grant [NE/R012199/1]; NERC [NE/H022473/1, NE/K006290/1, NE/R012199/1] Funding Source: UKRI</t>
  </si>
  <si>
    <t>Seismological Facilities for the Advancement of Geoscience (SAGE) award of the NSF; NSF(National Science Foundation (NSF)); NSF-NERC collaborative grant; NERC(UK Research &amp; Innovation (UKRI)Natural Environment Research Council (NERC))</t>
  </si>
  <si>
    <t>The authors would like to thank Mingming Li for his helpful discussions related to ULVZ-LLSVP relations and two anonymous reviewers as well as editor Michael Bostock for their thorough critiques of the manuscript. The IRIS DMC is funded through the Seismological Facilities for the Advancement of Geoscience (SAGE) award of the NSF under cooperative support agreement EAR-1851048. Funding for this research was provided by the NSF grants ANT1139739 and PLR-1643551 as well as NSF-NERC collaborative grant NE/R012199/1. Some figures were generated with Generic Mapping Tools (Wessel et al., 2013).</t>
  </si>
  <si>
    <t>e2021JB022741</t>
  </si>
  <si>
    <t>10.1029/2021JB022741</t>
  </si>
  <si>
    <t>WN7SY</t>
  </si>
  <si>
    <t>WOS:000711968800035</t>
  </si>
  <si>
    <t>Picazo, A; Villaescusa, JA; Rochera, C; Miralles-Lorenzo, J; Quesada, A; Camacho, A</t>
  </si>
  <si>
    <t>Picazo, Antonio; Villaescusa, Juan Antonio; Rochera, Carlos; Miralles-Lorenzo, Javier; Quesada, Antonio; Camacho, Antonio</t>
  </si>
  <si>
    <t>Functional Metabolic Diversity of Bacterioplankton in Maritime Antarctic Lakes</t>
  </si>
  <si>
    <t>MICROORGANISMS</t>
  </si>
  <si>
    <t>next-generation sequencing; metabolism inference; functional diversity; microbial co-occurrence network; Byers Peninsula; maritime Antarctic lakes; FAPROTAX; biogeochemical cycles; Biolog Ecoplates</t>
  </si>
  <si>
    <t>SOUTH SHETLAND ISLANDS; BYERS PENINSULA; LIVINGSTON ISLAND; COMMUNITY STRUCTURE; MICROBIAL COMMUNITIES; BACTERIA; BIODIVERSITY; ASSEMBLAGES; PATTERNS; TAXONOMY</t>
  </si>
  <si>
    <t>A summer survey was conducted on the bacterioplankton communities of seven lakes from Byers Peninsula (Maritime Antarctica), differing in trophic and morphological characteristics. Predictions of the metabolic capabilities of these communities were performed with FAPROTAX using 16S rRNA sequencing data. The versatility for metabolizing carbon sources was also assessed in three of the lakes using Biolog Ecoplates. Relevant differences among lakes and within lake depths were observed. A total of 23 metabolic activities associated to the main biogeochemical cycles were foreseen, namely, carbon (11), nitrogen (4), sulfur (5), iron (2), and hydrogen (1). The aerobic metabolisms dominated, although anaerobic respiration was also relevant near the lakes' bottom as well as in shallow eutrophic lakes with higher nutrient and organic matter contents. Capacity for using carbon sources further than those derived from the fresh autochthonous primary production was detected. Clustering of the lakes based on metabolic capabilities of their microbial communities was determined by their trophic status, with functional diversity increasing with trophic status. Data were also examined using a co-occurrence network approach, indicating that the lakes and their catchments have to be perceived as connected and interacting macrosystems, where either stochastic or deterministic mechanisms for the assembling of communities may occur depending on the lake's isolation. The hydrological processes within catchments and the potential metabolic plasticity of these biological communities must be considered for future climate scenarios in the region, which may extend the growing season and increase biomass circulation.</t>
  </si>
  <si>
    <t>[Picazo, Antonio; Villaescusa, Juan Antonio; Rochera, Carlos; Miralles-Lorenzo, Javier; Camacho, Antonio] Univ Valencia, Cavanilles Inst Biodivers &amp; Evolutionary Biol, E-46980 Valencia, Spain; [Quesada, Antonio] Univ Autonoma Madrid, Fac Ciencias, Dept Biol, E-28049 Madrid, Spain</t>
  </si>
  <si>
    <t>University of Valencia; Autonomous University of Madrid</t>
  </si>
  <si>
    <t>Camacho, A (corresponding author), Univ Valencia, Cavanilles Inst Biodivers &amp; Evolutionary Biol, E-46980 Valencia, Spain.</t>
  </si>
  <si>
    <t>antonio.picazo-mozo@uv.es; juan.villaescusa@uv.es; carlos.rochera@uv.es; Javier.Miralles-Lorenzo@uv.es; antonio.quesada@uam.es; antonio.camacho@uv.es</t>
  </si>
  <si>
    <t>; Quesada, Antonio/L-2430-2013; Camacho, Antonio/I-3417-2015; Rochera, Carlos/M-2932-2014</t>
  </si>
  <si>
    <t>Miralles-Lorenzo, Javier/0000-0002-1690-9978; Quesada, Antonio/0000-0002-8913-5993; Camacho, Antonio/0000-0003-0841-2010; Rochera, Carlos/0000-0002-8294-4755</t>
  </si>
  <si>
    <t>Spanish Ministry of Education and Science [CGL2005-06549-C02-02/ANT]; European FEDER funds, a way to make Europe; [CGL2005-06549-CO2-01]; [CTM2011-28736]; [CTM2016-79741-R]</t>
  </si>
  <si>
    <t>Spanish Ministry of Education and Science(Spanish Government); European FEDER funds, a way to make Europe; ; ;</t>
  </si>
  <si>
    <t>This study was mainly supported by grant CGL2005-06549-C02-02/ANT to Antonio Camacho funded by the Spanish Ministry of Education and Science with European FEDER funds, a way to make Europe. Partial funding was also provided by grants CGL2005-06549-CO2-01, CTM2011-28736 and CTM2016-79741-R to Antonio Quesada.</t>
  </si>
  <si>
    <t>2076-2607</t>
  </si>
  <si>
    <t>Microorganisms</t>
  </si>
  <si>
    <t>10.3390/microorganisms9102077</t>
  </si>
  <si>
    <t>WO1RM</t>
  </si>
  <si>
    <t>WOS:000712238700001</t>
  </si>
  <si>
    <t>Yusof, NA; Charles, J; Mahadi, WNSW; Murad, AMA; Mahadi, NM</t>
  </si>
  <si>
    <t>Yusof, Nur Athirah; Charles, Jennifer; Wan Mahadi, Wan Nur Shuhaida; Abdul Murad, Abdul Munir; Mahadi, Nor Muhammad</t>
  </si>
  <si>
    <t>Characterization of Inducible HSP70 Genes in an Antarctic Yeast, Glaciozyma antarctica PI12, in Response to Thermal Stress</t>
  </si>
  <si>
    <t>HSP70 chaperone; Antarctica; heat stress; heat shock proteins; cell adaptation; Glaciozyma antarctica</t>
  </si>
  <si>
    <t>HEAT-SHOCK RESPONSE; PSYCHROPHILIC YEAST; COLD ADAPTATION; HEAT-SHOCK-PROTEIN-70 GENE; PROTEIN MODELS; SWISS-MODEL; EXPRESSION; THERMOTOLERANCE; SEQUENCE; QUALITY</t>
  </si>
  <si>
    <t>The induction of highly conserved heat shock protein 70 (HSP70) is often related to a cellular response due to harmful stress or adverse life conditions. In this study, we determined the expression of Hsp70 genes in the Antarctic yeast, Glaciozyma antarctica, under different several thermal treatments for several exposure periods. The main aims of the present study were (1) to determine if stress-induced Hsp70 could be used to monitor the exposure of the yeast species G. antarctica to various types of thermal stress; (2) to analyze the structures of the G. antarctica HSP70 proteins using comparative modeling; and (3) to evaluate the relationship between the function and structure of HSP70 in G. antarctica. In this study, we managed to amplify and clone 2 Hsp70 genes from G. antarctica named GaHsp70-1 and GaHsp70-2. The cells of G. antarctica expressed significantly inducible Hsp70 genes after the heat and cold shock treatments. Interestingly, GaHsp70-1 showed 2-6-fold higher expression than GaHsp70-2 after the heat and cold exposure. ATP hydrolysis analysis on both G. antarctica HSP70s proved that these psychrophilic chaperones can perform activities in a wide range of temperatures, such as at 37, 25, 15, and 4 &amp; DEG;C. The 3D structures of both HSP70s revealed several interesting findings, such as the substitution of a beta-sheet to loop in the N-terminal ATPase binding domain and some modest residue substitutions, which gave the proteins the flexibility to function at low temperatures and retain their functional activity at ambient temperatures. In conclusion, both analyzed HSP70s played important roles in the physiological adaptation of G. antarctica.</t>
  </si>
  <si>
    <t>[Yusof, Nur Athirah; Charles, Jennifer; Wan Mahadi, Wan Nur Shuhaida] Univ Malaysia Sabah, Biotechnol Res Inst, Kota Kinabalu 88400, Sabah, Malaysia; [Abdul Murad, Abdul Munir] Univ Kebangsaan Malaysia, Sch Biosci &amp; Biotechnol, Fac Sci &amp; Technol, Bangi 43600, Selangor, Malaysia; [Mahadi, Nor Muhammad] Malaysia Genome Inst, Kajang 43000, Selangor, Malaysia</t>
  </si>
  <si>
    <t>Universiti Malaysia Sabah; Universiti Kebangsaan Malaysia</t>
  </si>
  <si>
    <t>Yusof, NA (corresponding author), Univ Malaysia Sabah, Biotechnol Res Inst, Kota Kinabalu 88400, Sabah, Malaysia.</t>
  </si>
  <si>
    <t>nrathirah.yusof@ums.edu.my; jennifercharleslabo@gmail.com; wanshuhaida94@gmail.com; munir@ukm.edu.my; nor.mahadi@gmail.com</t>
  </si>
  <si>
    <t>Abdul Murad, Abdul Munir/L-8575-2017; Murad, Abdul/CAG-9324-2022; Yusof, Nur Athirah/ABD-6881-2021</t>
  </si>
  <si>
    <t>Abdul Murad, Abdul Munir/0000-0001-6402-7198; Yusof, Nur Athirah/0000-0002-9298-7425</t>
  </si>
  <si>
    <t>Yayasan Penyelidikan Antartika Sultan Mizan (YPASM) [GLS0032-2019]; Universiti Malaysia Sabah</t>
  </si>
  <si>
    <t>Yayasan Penyelidikan Antartika Sultan Mizan (YPASM); Universiti Malaysia Sabah</t>
  </si>
  <si>
    <t>This research was funded by Yayasan Penyelidikan Antartika Sultan Mizan (YPASM), grant number LS0032-2019, and The APC was funded by Universiti Malaysia Sabah.</t>
  </si>
  <si>
    <t>10.3390/microorganisms9102069</t>
  </si>
  <si>
    <t>WN6PV</t>
  </si>
  <si>
    <t>WOS:000711890100001</t>
  </si>
  <si>
    <t>Joughin, I; Shapero, D; Dutrieux, P; Smith, B</t>
  </si>
  <si>
    <t>Joughin, Ian; Shapero, Daniel; Dutrieux, Pierre; Smith, Ben</t>
  </si>
  <si>
    <t>Ocean-induced melt volume directly paces ice loss from Pine Island Glacier</t>
  </si>
  <si>
    <t>SCIENCE ADVANCES</t>
  </si>
  <si>
    <t>GROUNDING LINE RETREAT; WEST ANTARCTICA; THWAITES GLACIER; FLOW; SENSITIVITY</t>
  </si>
  <si>
    <t>The spatial distribution of ocean-induced melting beneath buttressing ice shelves is often cited as an important factor controlling Antarctica's sea-level contribution. Using numerical simulations, we investigate the relative sensitivity of grounded-ice loss to the spatial distribution and overall volume of ice-shelf melt over two centuries. Contrary to earlier work, we find only minor sensitivity to melt distribution (&lt;6%), with a linear dependence of ice loss on the total melt. Thus, less complex models that need not reproduce the detailed melt distribution may simplify the projection of future sea level. The linear sensitivity suggests a contribution of up to 5.1 cm from Pine Island Glacier over the next two centuries given anticipated levels of ocean warming, provided its ice shelf does not collapse because of other causes.</t>
  </si>
  <si>
    <t>[Joughin, Ian; Shapero, Daniel; Smith, Ben] Univ Washington, Polar Sci Ctr, Appl Phys Lab, 1013 NE 40th St, Seattle, WA 98105 USA; [Dutrieux, Pierre] British Antarctic Survey, Madingley Rd, Cambridge CB3 0ET, England; [Dutrieux, Pierre] Columbia Univ, Lamont Doherty Earth Observ, 61 Route 9W, Palisades, NY 10964 USA</t>
  </si>
  <si>
    <t>University of Washington; University of Washington Seattle; UK Research &amp; Innovation (UKRI); Natural Environment Research Council (NERC); NERC British Antarctic Survey; Columbia University</t>
  </si>
  <si>
    <t>Joughin, I (corresponding author), Univ Washington, Polar Sci Ctr, Appl Phys Lab, 1013 NE 40th St, Seattle, WA 98105 USA.</t>
  </si>
  <si>
    <t>ian@apl.washington.edu</t>
  </si>
  <si>
    <t>Dutrieux, Pierre/GVS-2890-2022; Joughin, Ian/A-2998-2008</t>
  </si>
  <si>
    <t>Dutrieux, Pierre/0000-0002-8066-934X; Joughin, Ian/0000-0001-6229-679X; Shapero, Daniel/0000-0002-3651-0649</t>
  </si>
  <si>
    <t>NSF [OPP-1643285]; NASA [NNX17AG54G, 80NSSC20K1158]; UK Natural Environment Research Council; [OAC-1835321]</t>
  </si>
  <si>
    <t>NSF(National Science Foundation (NSF)); NASA(National Aeronautics &amp; Space Administration (NASA)); UK Natural Environment Research Council(UK Research &amp; Innovation (UKRI)Natural Environment Research Council (NERC));</t>
  </si>
  <si>
    <t>NSF provided support through grants OPP-1643285 (to I.J., D.S., and P.D.). Icepack development was supported by OAC-1835321. NASA provided additional support through grant NNX17AG54G (to I.J., D.S., and B.S.) and 80NSSC20K1158 (P.D.). P.D. was also supported by the UK Natural Environment Research Council.</t>
  </si>
  <si>
    <t>2375-2548</t>
  </si>
  <si>
    <t>SCI ADV</t>
  </si>
  <si>
    <t>Sci. Adv.</t>
  </si>
  <si>
    <t>eabi5738</t>
  </si>
  <si>
    <t>10.1126/sciadv.abi5738</t>
  </si>
  <si>
    <t>WN5ZG</t>
  </si>
  <si>
    <t>WOS:000711845800019</t>
  </si>
  <si>
    <t>Magruder, L; Brunt, K; Neumann, T; Klotz, B; Alonzo, M</t>
  </si>
  <si>
    <t>Magruder, Lori; Brunt, Kelly; Neumann, Thomas; Klotz, Bradley; Alonzo, Michael</t>
  </si>
  <si>
    <t>Passive Ground-Based Optical Techniques for Monitoring the On-Orbit ICESat-2 Altimeter Geolocation and Footprint Diameter</t>
  </si>
  <si>
    <t>EARTH AND SPACE SCIENCE</t>
  </si>
  <si>
    <t>ICE</t>
  </si>
  <si>
    <t>Corner cube retro-reflectors (CCRs), passive optical components, are used to independently evaluate the geolocation accuracy and effective laser footprint diameter of NASA's laser altimetry mission, ICESat-2, at two specific study sites: White Sands Missile Range in New Mexico and along a segment of the 88 degrees S line of latitude in Antarctica. The CCR methodology provides ICESat-2 the ability to monitor these altimeter performance metrics throughout the mission lifetime as an indicator of the health of the instrument and the quality of the observations for science applications. The results using this technique reveal a mean geolocation accuracy of the ICESat-2 measurements of 3.5 m +/- 2.1 m, meeting the mission requirement of 6.5 m. For those instances where multiple CCRs are illuminated, the mean effective laser footprint diameter is 10.9 m +/- 1.2 m, with the variability assumed to be due to the influence of atmospheric conditions, but warrants further investigation.</t>
  </si>
  <si>
    <t>[Magruder, Lori; Klotz, Bradley; Alonzo, Michael] Univ Texas Austin, Appl Res Labs, Austin, TX 78712 USA; [Brunt, Kelly; Neumann, Thomas] NASA, Goddard Space Flight Ctr, Greenbelt, MD USA; [Brunt, Kelly] Univ Maryland, College Pk, MD 20742 USA</t>
  </si>
  <si>
    <t>University of Texas System; University of Texas Austin; National Aeronautics &amp; Space Administration (NASA); NASA Goddard Space Flight Center; University System of Maryland; University of Maryland College Park</t>
  </si>
  <si>
    <t>Magruder, L (corresponding author), Univ Texas Austin, Appl Res Labs, Austin, TX 78712 USA.</t>
  </si>
  <si>
    <t>magruder@arlut.utexas.edu</t>
  </si>
  <si>
    <t>Neumann, Thomas/JLL-4672-2023; Magruder, Lori/AAA-1634-2022; Klotz, Brad/GVS-8658-2022</t>
  </si>
  <si>
    <t>Magruder, Lori/0000-0001-7564-1193; brunt, kelly/0000-0002-6462-6112</t>
  </si>
  <si>
    <t>ICESat-2 Project Science Office under NASA [80NSSC17K0410]</t>
  </si>
  <si>
    <t>ICESat-2 Project Science Office under NASA</t>
  </si>
  <si>
    <t>The authors wish to thank the ICESat-2 Project Science Office for the support under NASA grant 80NSSC17K0410. We thank the three 88S Traverse teams, the NSF Office of Polar Programs, and the numerous personnel with the U.S. Antarctic Program for supporting the deployment of the Antarctic CCR arrays. Special thanks to colleagues at the Antarctic Meteorological Research Center for discussions on the potential for CCR frost build up. Finally, we would like to thank all the reviewers who provided comments and suggestions.</t>
  </si>
  <si>
    <t>2333-5084</t>
  </si>
  <si>
    <t>EARTH SPACE SCI</t>
  </si>
  <si>
    <t>Earth Space Sci.</t>
  </si>
  <si>
    <t>e2020EA001414</t>
  </si>
  <si>
    <t>10.1029/2020EA001414</t>
  </si>
  <si>
    <t>Astronomy &amp; Astrophysics; Geosciences, Multidisciplinary</t>
  </si>
  <si>
    <t>Astronomy &amp; Astrophysics; Geology</t>
  </si>
  <si>
    <t>WN7TG</t>
  </si>
  <si>
    <t>WOS:000711969700002</t>
  </si>
  <si>
    <t>Smith, RS; Mathiot, P; Siahaan, A; Lee, V; Cornford, SL; Gregory, JM; Payne, AJ; Jenkins, A; Holland, PR; Ridley, JK; Jones, CG</t>
  </si>
  <si>
    <t>Smith, Robin S.; Mathiot, Pierre; Siahaan, Antony; Lee, Victoria; Cornford, Stephen L.; Gregory, Jonathan M.; Payne, Antony J.; Jenkins, Adrian; Holland, Paul R.; Ridley, Jeff K.; Jones, Colin G.</t>
  </si>
  <si>
    <t>Coupling the UK Earth System Model to Dynamic Models of the Greenland and Antarctic Ice Sheets</t>
  </si>
  <si>
    <t>ESM; ISM; climate; ice; sea-level; modeling</t>
  </si>
  <si>
    <t>SURFACE MASS-BALANCE; SEA-LEVEL; CLIMATE-CHANGE; INTERMEDIATE COMPLEXITY; EXPERIMENTAL-DESIGN; INITIALIZATION; PERFORMANCE; PROFILES; IMPACTS; VERSION</t>
  </si>
  <si>
    <t>The physical interactions between ice sheets and the atmosphere and ocean around them are major factors in determining the state of the climate system, yet many current Earth System models omit them entirely or treat them very simply. In this work we describe how models of the Greenland and Antarctic ice sheets have been incorporated into the global U.K. Earth System model (UKESM1) via substantial technical developments with a two-way coupling that passes fluxes of energy and water, and the topography of the ice sheet surface and ice shelf base, between the component models. File-based coupling outside the running model executables is used throughout to pass information between the components, which we show is both physically appropriate and convenient within the UKESM1 structure. Ice sheet surface mass balance is computed in the land surface model using multi-layer snowpacks in subgrid-scale elevation ranges and compares well to the results of regional climate models. Ice shelf front discharge forms icebergs, which drift and melt in the ocean. Ice shelf basal mass balance is simulated using the full three-dimensional ocean model representation of the circulation in ice-shelf cavities. We show a range of example results, including from simulations with changes in ice sheet height and thickness of hundreds of meters, and changes in ice sheet grounding line and land-terminating margin of many tens of kilometres, demonstrating that the coupled model is computationally stable when subject to significant changes in ice sheet geometry.</t>
  </si>
  <si>
    <t>[Smith, Robin S.; Gregory, Jonathan M.] Univ Reading, NCAS Dept Meteorol, Reading, Berks, England; [Mathiot, Pierre; Gregory, Jonathan M.; Ridley, Jeff K.] Met Off Hadley Ctr, Exeter, Devon, England; [Mathiot, Pierre] Univ Grenoble Alpes, CNRS, Grenoble, France; [Siahaan, Antony; Jenkins, Adrian; Holland, Paul R.] British Antarctic Survey, Cambridge, England; [Lee, Victoria; Payne, Antony J.] Univ Bristol, CPOM Bristol Glaciol Ctr, Bristol, Avon, England; [Cornford, Stephen L.] Univ Swansea, CPOM, Dept Geog, Swansea, W Glam, Wales; [Jenkins, Adrian] Univ Northumbria, Northumbria, England; [Jones, Colin G.] Univ Leeds, NCAS, Leeds, W Yorkshire, England</t>
  </si>
  <si>
    <t>University of Reading; Met Office - UK; Hadley Centre; Communaute Universite Grenoble Alpes; Universite Grenoble Alpes (UGA); Centre National de la Recherche Scientifique (CNRS); UK Research &amp; Innovation (UKRI); Natural Environment Research Council (NERC); NERC British Antarctic Survey; University of Bristol; Swansea University; Northumbria University; University of Leeds; UK Research &amp; Innovation (UKRI); Natural Environment Research Council (NERC); NERC National Centre for Atmospheric Science</t>
  </si>
  <si>
    <t>Smith, RS (corresponding author), Univ Reading, NCAS Dept Meteorol, Reading, Berks, England.</t>
  </si>
  <si>
    <t>robin.smith@ncas.ac.uk</t>
  </si>
  <si>
    <t>Jenkins, Adrian/IUN-2406-2023; Holland, Paul R/G-2796-2012; Gregory, Jonathan/J-2939-2016; payne, antony/A-8916-2008</t>
  </si>
  <si>
    <t>Gregory, Jonathan/0000-0003-1296-8644; payne, antony/0000-0001-8825-8425; Ridley, Jeff/0000-0002-2612-9924; Jenkins, Adrian/0000-0002-9117-0616; Cornford, Stephen/0000-0003-1844-274X; Mathiot, Pierre/0000-0002-2001-0762</t>
  </si>
  <si>
    <t>Met Office; Natural Environment Research Council; UK JWCRP Joint Marine Modeling Programme; National Environmental Research Council (NERC) [NE/N017978/1, NE/N01801X/1]; European Commission under the H2020 Research grant [641816]; Met Office Hadley Center Climate Programme - BEIS; Defra; H2020 Societal Challenges Programme [641816] Funding Source: H2020 Societal Challenges Programme; NERC [NE/N01801X/1, cpom30001] Funding Source: UKRI</t>
  </si>
  <si>
    <t>Met Office; Natural Environment Research Council(UK Research &amp; Innovation (UKRI)Natural Environment Research Council (NERC)); UK JWCRP Joint Marine Modeling Programme; National Environmental Research Council (NERC)(UK Research &amp; Innovation (UKRI)Natural Environment Research Council (NERC)); European Commission under the H2020 Research grant; Met Office Hadley Center Climate Programme - BEIS; Defra(Department for Environment, Food &amp; Rural Affairs (DEFRA)); H2020 Societal Challenges Programme(Horizon 2020European Union (EU)H2020 Societal Challenges Programme); NERC(UK Research &amp; Innovation (UKRI)Natural Environment Research Council (NERC))</t>
  </si>
  <si>
    <t>The authors would like acknowledge Erica Neiniger for helping construct the UKESM1 ice task cycle in Cylc, Christopher Bull for collaborating on the MISOMIP1 simulations, and the UKESM core development team on whose work this model builds. The authors also thank Xavier Fettweis for providing the MAR simulation data used here for comparison. Model development and simulations were carried out on the Monsoon and NEXCS collaborative High Performance Computing facilities funded by the Met Office and the Natural Environment Research Council. The authors also acknowledge the UK JWCRP Joint Marine Modeling Programme for providing support and access to ocean model configurations. R. S. Smith, A. Siahaan, V. Lee, A. J. Payne, P. R. Holland and C. G. Jones were funded by the National Environmental Research Council (NERC) national capability grants for the UK Earth System Modeling project, NE/N017978/1 and NE/N01801X/1. C. G. Jones also acknowledges funding from the European Commission under the H2020 Research grant no. 641816 (CRESCENDO). J. Ridley and P. Mathiot were supported by the Met Office Hadley Center Climate Programme funded by BEIS and Defra. The authors would also like to acknowledge the efforts and constructive comments of our reviewers and editor, who helped to improve this paper.</t>
  </si>
  <si>
    <t>e2021MS002520</t>
  </si>
  <si>
    <t>10.1029/2021MS002520</t>
  </si>
  <si>
    <t>WN7VW</t>
  </si>
  <si>
    <t>WOS:000711976500002</t>
  </si>
  <si>
    <t>Chu, W; Hilger, AM; Culberg, R; Schroeder, DM; Jordan, TM; Seroussi, H; Young, DA; Blankenship, DD; Vaughan, DG</t>
  </si>
  <si>
    <t>Chu, Winnie; Hilger, Andrew M.; Culberg, Riley; Schroeder, Dustin M.; Jordan, Thomas M.; Seroussi, Helene; Young, Duncan A.; Blankenship, Donald D.; Vaughan, David G.</t>
  </si>
  <si>
    <t>Multisystem Synthesis of Radar Sounding Observations of the Amundsen Sea Sector From the 2004-2005 Field Season</t>
  </si>
  <si>
    <t>JOURNAL OF GEOPHYSICAL RESEARCH-EARTH SURFACE</t>
  </si>
  <si>
    <t>PINE ISLAND GLACIER; BENEATH THWAITES GLACIER; SUBGLACIAL WATER-FLOW; WEST ANTARCTICA; ICE-SHEET; BASAL CONDITIONS; BED TOPOGRAPHY; THERMAL STATE; SHEAR-MARGIN; GREENLAND</t>
  </si>
  <si>
    <t>The Amundsen Sea Embayment of the West Antarctic Ice Sheet contains Thwaites and Pine Island Glaciers, two of the most rapidly changing glaciers in Antarctica. To date, Pine Island and Thwaites Glaciers have only been observed by independent airborne radar sounding surveys, but a combined cross-basin analysis that investigates the basal conditions across the Pine Island-Thwaites Glaciers boundary has not been performed. Here, we combine two radar surveys and correct for their differences in system parameters to produce unified englacial attenuation and basal relative reflectivity maps spanning both Pine Island and Thwaites Glaciers. Relative reflectivities range from -24.8 to +37.4 dB with the highest values beneath fast-flowing ice at the ice sheet margin. By comparing our reflectivity results with previously derived radar specularity and trailing bed echoes at Thwaites Glacier, we find a highly diverse subglacial landscape and hydrologic conditions that evolve along-flow. Together, these findings highlight the potential for joint airborne radar analysis with ground-based seismic and geomorphological observations to understand variations in the bed properties and cross-catchment interactions of ice streams and outlet glaciers.</t>
  </si>
  <si>
    <t>[Chu, Winnie] Georgia Inst Technol, Sch Earth &amp; Atmospher Sci, Atlanta, GA 30332 USA; [Hilger, Andrew M.; Culberg, Riley; Schroeder, Dustin M.] Stanford Univ, Dept Elect Engn, Stanford, CA 94305 USA; [Schroeder, Dustin M.] Stanford Univ, Dept Geophys, Stanford, CA 94305 USA; [Jordan, Thomas M.] Plymouth Marine Lab, Plymouth, Devon, England; [Seroussi, Helene] Dartmouth Coll, Thayer Sch Engn, Hanover, NH 03755 USA; [Young, Duncan A.; Blankenship, Donald D.] Univ Texas Austin, Inst Geophys, Austin, TX USA; [Vaughan, David G.] British Antarctic Survey, Cambridge, England</t>
  </si>
  <si>
    <t>University System of Georgia; Georgia Institute of Technology; Stanford University; Stanford University; Plymouth Marine Laboratory; Dartmouth College; University of Texas System; University of Texas Austin; UK Research &amp; Innovation (UKRI); Natural Environment Research Council (NERC); NERC British Antarctic Survey</t>
  </si>
  <si>
    <t>Schroeder, DM (corresponding author), Stanford Univ, Dept Elect Engn, Stanford, CA 94305 USA.;Schroeder, DM (corresponding author), Stanford Univ, Dept Geophys, Stanford, CA 94305 USA.</t>
  </si>
  <si>
    <t>dustin.m.schroeder@stanford.edu</t>
  </si>
  <si>
    <t>Vaughan, David/C-8348-2011; Blankenship, Donald D./G-5935-2010; Young, Duncan/G-6256-2010</t>
  </si>
  <si>
    <t>Culberg, Riley/0000-0002-4460-2359; Schroeder, Dustin/0000-0003-1916-3929; Jordan, Thomas/0000-0002-2096-8858; Young, Duncan/0000-0002-6866-8176; Seroussi, Helene/0000-0001-9201-1644</t>
  </si>
  <si>
    <t>NASA Cryospheric Sciences Program; NSF CAREER award</t>
  </si>
  <si>
    <t>NASA Cryospheric Sciences Program(National Aeronautics &amp; Space Administration (NASA)); NSF CAREER award(National Science Foundation (NSF)NSF - Office of the Director (OD))</t>
  </si>
  <si>
    <t>The authors would like to thank Knut Christianson and three anonymous reviewers for their constructive comments. This work was partially supported by a grant from the NASA Cryospheric Sciences Program and an NSF CAREER award. This is UTIG contribution 3833.</t>
  </si>
  <si>
    <t>2169-9003</t>
  </si>
  <si>
    <t>2169-9011</t>
  </si>
  <si>
    <t>J GEOPHYS RES-EARTH</t>
  </si>
  <si>
    <t>J. Geophys. Res.-Earth Surf.</t>
  </si>
  <si>
    <t>e2021JF006296</t>
  </si>
  <si>
    <t>10.1029/2021JF006296</t>
  </si>
  <si>
    <t>WN7UB</t>
  </si>
  <si>
    <t>WOS:000711971800001</t>
  </si>
  <si>
    <t>Eisermann, H; Eagles, G; Ruppel, AS; Läufer, A; Jokat, W</t>
  </si>
  <si>
    <t>Eisermann, Hannes; Eagles, Graeme; Ruppel, Antonia Stefanie; Laeufer, Andreas; Jokat, Wilfried</t>
  </si>
  <si>
    <t>Bathymetric Control on Borchgrevink and Roi Baudouin Ice Shelves in East Antarctica</t>
  </si>
  <si>
    <t>subglacial bathymetry; gravity inversion; Roi Baudouin; ice shelf stability; ice-ocean interactions; Borchgrevink</t>
  </si>
  <si>
    <t>DRONNING MAUD LAND; CONTINENTAL MARGINS; CRUSTAL STRUCTURE; TECTONIC PROVINCES; MODEL; GRAVITY; BENEATH; CAVITY; PART; SEA</t>
  </si>
  <si>
    <t>The stability of ice shelves and drainage of ice sheets they buttress is largely determined by melting at their atmospheric and oceanic interfaces. Subglacial bathymetry can impact ice shelf stability because it influences the onset and the pattern of warm ocean water incursions into the cavities between them and the seafloor. Bathymetry is further important at pinning points, which significantly retard the flow of ice shelves. This effect can be lost instantaneously if basal and surface melting cause an ice sheet to thin and lift off its pinning points. With all this in mind, we have developed a model of bathymetry beneath the western Roi Baudouin and central and eastern Borchgrevink ice shelves in Dronning Maud Land based on inversion from gravity data and tied to available depth references offshore and subglacial topography inland of the grounding line. The model shows deep glacial troughs beneath the ice shelves and bathymetric sills close to the continental shelf. The central Borchgrevink Ice Shelf overhangs the continental slope by around 50 km, exposing its northern parts to the open ocean and higher ocean temperatures. Continuous troughs traverse the central Borchgrevink and western Roi Baudouin ice shelves at depths greater than the offshore thermocline and thus present a risk of Warm Deep Water intrusions into their cavities under the current and future oceanographic regimes. Differing bathymetric characteristics might explain the ice shelves' contrasting dominant mass loss processes.</t>
  </si>
  <si>
    <t>[Eisermann, Hannes; Eagles, Graeme; Jokat, Wilfried] Alfred Wegener Inst Polar &amp; Marine Res, Bremerhaven, Germany; [Ruppel, Antonia Stefanie; Laeufer, Andreas] Fed Inst Geosci &amp; Nat Resources, Hannover, Germany; [Jokat, Wilfried] Univ Bremen, Bremen, Germany</t>
  </si>
  <si>
    <t>Helmholtz Association; Alfred Wegener Institute, Helmholtz Centre for Polar &amp; Marine Research; University of Bremen</t>
  </si>
  <si>
    <t>Eisermann, H (corresponding author), Alfred Wegener Inst Polar &amp; Marine Res, Bremerhaven, Germany.</t>
  </si>
  <si>
    <t>heiserma@awi.de</t>
  </si>
  <si>
    <t>Eagles, Graeme/0000-0001-5325-0810; Eisermann, Hannes/0000-0002-5604-6484</t>
  </si>
  <si>
    <t>Alfred Wegener Institute, Helmholtz Centre for Polar and Marine Research; Federal Institute for Geosciences and Natural Resources (BGR); Deutsche Forschungsgemeinschaft (DFG) [SPP 1158, LA1080/9, LI 745/15]; Projekt DEAL</t>
  </si>
  <si>
    <t>Alfred Wegener Institute, Helmholtz Centre for Polar and Marine Research(Helmholtz Association); Federal Institute for Geosciences and Natural Resources (BGR); Deutsche Forschungsgemeinschaft (DFG)(German Research Foundation (DFG)); Projekt DEAL</t>
  </si>
  <si>
    <t>The GEA program is jointly funded by the Alfred Wegener Institute, Helmholtz Centre for Polar and Marine Research, and the Federal Institute for Geosciences and Natural Resources (BGR). The airborne campaigns would not have been possible without the crews from Kenn Borek Air Ltd and the technical and logistical support of the Princess Elisabeth station. We are thankful to GEA science leaders Matthias Mieth and Daniel Steinhage as well as for the technical and logistical expertise of Alfred Wegener Institute technicians for ensuring the successful implementations of three airborne campaigns. Antonia Ruppel and Andreas Laufer acknowledge funding by the Deutsche Forschungsgemeinschaft (DFG) within the frame of the Collaborative Research Programme SPP 1158 Antarctic Research with comparative investigations in Arctic ice areas (grants LA1080/9 to Andreas Laufer and LI 745/15 to Frank Lisker). The authors would like to thank Emerson E&amp;P Software, Emerson Automation Solutions, for providing licenses for the seismic software Paradigm in the scope of the Emerson Academic Program. We are highly grateful to reviews by Atsuhiro Muto and two anonymous reviewers that greatly enhanced the manuscript. Open access funding enabled and organized by Projekt DEAL.</t>
  </si>
  <si>
    <t>e2021JF006342</t>
  </si>
  <si>
    <t>10.1029/2021JF006342</t>
  </si>
  <si>
    <t>WOS:000711971800016</t>
  </si>
  <si>
    <t>Antelo, V; Giménez, M; Azziz, G; Valdespino-Castillo, P; Falcon, LI; Ruberto, LAM; Mac Cormack, WP; Mazel, D; Batista, S</t>
  </si>
  <si>
    <t>Antelo, Veronica; Gimenez, Matias; Azziz, Gaston; Valdespino-Castillo, Patricia; Falcon, Luisa, I; Ruberto, Lucas A. M.; Mac Cormack, Walter P.; Mazel, Didier; Batista, Silvia</t>
  </si>
  <si>
    <t>Metagenomic strategies identify diverse integron-integrase and antibiotic resistance genes in the Antarctic environment</t>
  </si>
  <si>
    <t>MICROBIOLOGYOPEN</t>
  </si>
  <si>
    <t>antibiotic resistance; bioinformatics; horizontal gene transfer; microbial genomics</t>
  </si>
  <si>
    <t>BACTERIAL; IDENTIFICATION; CASSETTES; DATABASE; FAMILY</t>
  </si>
  <si>
    <t>The objective of this study is to identify and analyze integrons and antibiotic resistance genes (ARGs) in samples collected from diverse sites in terrestrial Antarctica. Integrons were studied using two independent methods. One involved the construction and analysis of intI gene amplicon libraries. In addition, we sequenced 17 metagenomes of microbial mats and soil by high-throughput sequencing and analyzed these data using the IntegronFinder program. As expected, the metagenomic analysis allowed for the identification of novel predicted intI integrases and gene cassettes (GCs), which mostly encode unknown functions. However, some intI genes are similar to sequences previously identified by amplicon library analysis in soil samples collected from non-Antarctic sites. ARGs were analyzed in the metagenomes using ABRIcate with CARD database and verified if these genes could be classified as GCs by IntegronFinder. We identified 53 ARGs in 15 metagenomes, but only four were classified as GCs, one in MTG12 metagenome (Continental Antarctica), encoding an aminoglycoside-modifying enzyme (AAC(6 ')acetyltransferase) and the other three in CS1 metagenome (Maritime Antarctica). One of these genes encodes a class D beta-lactamase (blaOXA-205) and the other two are located in the same contig. One is part of a gene encoding the first 76 amino acids of aminoglycoside adenyltransferase (aadA6), and the other is a qacG2 gene.</t>
  </si>
  <si>
    <t>[Antelo, Veronica; Gimenez, Matias; Batista, Silvia] MEC, Lab Microbiol Mol, Inst Invest Biol Clemente Estable, Av Italia 3318, Montevideo 11600, Uruguay; [Gimenez, Matias] Inst Pasteur Montevideo, Lab Genom Microbiana, Mataojo 2020, Montevideo, Uruguay; [Azziz, Gaston] UdelaR, Lab Microbiol, Fac Agron, Av Garzon 780, Montevideo 12900, Uruguay; [Valdespino-Castillo, Patricia] Lawrence Berkeley Natl Lab, Mol Biophys &amp; Integrated Bioimaging Div, BSISB Program, One Cyclotron Rd, Berkeley, CA 94720 USA; [Falcon, Luisa, I] Univ Nacl Autonoma Mexico, Lab Ecol Bacteriana, Inst Ecol, Cdmx 04510, Mexico; [Falcon, Luisa, I] Univ Nacl Autonoma Mexico, Parque Cient &amp; Tecnol Yucatan, Mexico City, DF, Mexico; [Ruberto, Lucas A. M.; Mac Cormack, Walter P.] Inst Antartico Argentino, Av 25 Mayo 1143, RA-1650 Buenos Aires, DF, Argentina; [Ruberto, Lucas A. M.; Mac Cormack, Walter P.] UBA CONICET, Fac Farm &amp; Bioquim, Catedra Biotecnol, Ave Junin 956, RA-1113 Buenos Aires, DF, Argentina; [Ruberto, Lucas A. M.; Mac Cormack, Walter P.] UBA CONICET, Inst Nanobiotec, Ave Junin 956, RA-1113 Buenos Aires, DF, Argentina; [Mazel, Didier] Inst Pasteur, Dept Genomes &amp; Genet, Unite Plasticite Genome Bacterien, Paris, France; [Mazel, Didier] CNRS, UMR3525, Paris, France</t>
  </si>
  <si>
    <t>Instituto de Investigaciones Biologicas Clemente Estable Uruguay; Pasteur Network; Institut Pasteur de Montevideo; Universidad de la Republica, Uruguay; United States Department of Energy (DOE); Lawrence Berkeley National Laboratory; Universidad Nacional Autonoma de Mexico; Universidad Nacional Autonoma de Mexico; Instituto Antartico Argentino; Consejo Nacional de Investigaciones Cientificas y Tecnicas (CONICET); University of Buenos Aires; Consejo Nacional de Investigaciones Cientificas y Tecnicas (CONICET); University of Buenos Aires; Pasteur Network; Universite Paris Cite; Institut Pasteur Paris; Pasteur Network; Universite Paris Cite; Institut Pasteur Paris; Centre National de la Recherche Scientifique (CNRS); CNRS - National Institute for Biology (INSB)</t>
  </si>
  <si>
    <t>Giménez, M (corresponding author), MEC, Lab Microbiol Mol, Inst Invest Biol Clemente Estable, Av Italia 3318, Montevideo 11600, Uruguay.</t>
  </si>
  <si>
    <t>gimenezm720@gmail.com</t>
  </si>
  <si>
    <t>Batista, Silvia/HKO-7008-2023; Batista, Silvia/ITO-0781-2023; Valdespino, Patricia/M-2413-2018; Falcon, Luisa I/HGU-5682-2022</t>
  </si>
  <si>
    <t>Batista, Silvia/0000-0002-8702-6566; Valdespino, Patricia/0000-0002-2998-4627; Falcon, Luisa I/0000-0002-7210-6483; Azziz, Gaston/0000-0002-8000-724X; Gimenez, Matias/0000-0002-6267-9106</t>
  </si>
  <si>
    <t>United Nations Development Programme [13/001]</t>
  </si>
  <si>
    <t>United Nations Development Programme</t>
  </si>
  <si>
    <t>United Nations Development Programme, Grant/Award Number: 13/001</t>
  </si>
  <si>
    <t>2045-8827</t>
  </si>
  <si>
    <t>MicrobiologyOpen</t>
  </si>
  <si>
    <t>e1219</t>
  </si>
  <si>
    <t>10.1002/mbo3.1219</t>
  </si>
  <si>
    <t>WN8SM</t>
  </si>
  <si>
    <t>WOS:000712037200013</t>
  </si>
  <si>
    <t>Haward, M; Haas, B</t>
  </si>
  <si>
    <t>Haward, Marcus; Haas, Bianca</t>
  </si>
  <si>
    <t>The Need for Social Considerations in SDG 14 (vol 8, 632282, 2021)</t>
  </si>
  <si>
    <t>fisheries management; human rights; labor conditions; regional fisheries management organizations; International Labor Organization</t>
  </si>
  <si>
    <t>[Haward, Marcus; Haas, Bianca] Inst Marine &amp; Antarctic Studies, Hobart, Tas, Australia; [Haward, Marcus; Haas, Bianca] Univ Tasmania, Ctr Marine Socioecol, Hobart, Tas, Australia</t>
  </si>
  <si>
    <t>Haward, M (corresponding author), Inst Marine &amp; Antarctic Studies, Hobart, Tas, Australia.;Haward, M (corresponding author), Univ Tasmania, Ctr Marine Socioecol, Hobart, Tas, Australia.</t>
  </si>
  <si>
    <t>marcus.haward@utas.edu.au; bianca.haas@utas.edu.au</t>
  </si>
  <si>
    <t>Haward, Marcus/G-3369-2014</t>
  </si>
  <si>
    <t>OCT 1</t>
  </si>
  <si>
    <t>10.3389/fmars.2021.719111</t>
  </si>
  <si>
    <t>WL6HG</t>
  </si>
  <si>
    <t>WOS:000710503800001</t>
  </si>
  <si>
    <t>Desai, RT; Eastwood, JP; Horne, RB; Allison, HJ; Allanson, O; Watt, CEJ; Eggington, JWB; Glauert, SA; Meredith, NP; Archer, MO; Staples, FA; Mejnertsen, L; Tong, JK; Chittenden, JP</t>
  </si>
  <si>
    <t>Desai, R. T.; Eastwood, J. P.; Horne, R. B.; Allison, H. J.; Allanson, O.; Watt, C. E. J.; Eggington, J. W. B.; Glauert, S. A.; Meredith, N. P.; Archer, M. O.; Staples, F. A.; Mejnertsen, L.; Tong, J. K.; Chittenden, J. P.</t>
  </si>
  <si>
    <t>Drift Orbit Bifurcations and Cross-Field Transport in the Outer Radiation Belt: Global MHD and Integrated Test-Particle Simulations</t>
  </si>
  <si>
    <t>PITCH-ANGLE DISTRIBUTIONS; ENERGETIC ELECTRONS; MAGNETOSPHERE; ACCELERATION; SHAPE</t>
  </si>
  <si>
    <t>Energetic particle fluxes in the outer magnetosphere present a significant challenge to modeling efforts as they can vary by orders of magnitude in response to solar wind driving conditions. In this study, we demonstrate the ability to propagate test particles through global magnetohydrodynamic (MHD) simulations to a high level of precision and use this to map the cross-field radial transport associated with relativistic electrons undergoing drift orbit bifurcations (DOBs). The simulations predict DOBs primarily occur within an Earth radius of the magnetopause loss cone and appear significantly different for southward and northward interplanetary magnetic field orientations. The changes to the second invariant are shown to manifest as a dropout in particle fluxes with pitch angles close to 90 degrees and indicate DOBs are a cause of butterfly pitch angle distributions within the night-time sector. The convective electric field, not included in previous DOB studies, is found to have a significant effect on the resultant long-term transport, and losses to the magnetopause and atmosphere are identified as a potential method for incorporating DOBs within Fokker-Planck transport models.</t>
  </si>
  <si>
    <t>[Desai, R. T.; Eastwood, J. P.; Eggington, J. W. B.; Archer, M. O.; Mejnertsen, L.; Tong, J. K.; Chittenden, J. P.] Imperial Coll London, Blackett Lab, Dept Phys, London, England; [Horne, R. B.; Glauert, S. A.; Meredith, N. P.] British Antarctic Survey, Cambridge, England; [Allison, H. J.] GFZ German Res Ctr Geosci, Potsdam, Germany; [Allanson, O.] Univ Exeter, Dept Math, Penryn Cornwall Campus, Penryn, England; [Watt, C. E. J.] Northumbria Univ, Dept Math Phys &amp; Elect Engn, Newcastle Upon Tyne, Tyne &amp; Wear, England; [Staples, F. A.] Univ Coll London, Mullard Space Sci Lab, Dept Space &amp; Climate Phys, Surrey, England</t>
  </si>
  <si>
    <t>Imperial College London; UK Research &amp; Innovation (UKRI); Natural Environment Research Council (NERC); NERC British Antarctic Survey; Helmholtz Association; Helmholtz-Center Potsdam GFZ German Research Center for Geosciences; University of Exeter; Northumbria University; University of London; University College London</t>
  </si>
  <si>
    <t>Desai, RT (corresponding author), Imperial Coll London, Blackett Lab, Dept Phys, London, England.</t>
  </si>
  <si>
    <t>ravindra.desai@imperial.ac.uk</t>
  </si>
  <si>
    <t>Allanson, Oliver/GLT-2725-2022; Horne, Richard B/U-3764-2019; Allanson, Oliver/AAM-8744-2020; Watt, Clare/C-5218-2008</t>
  </si>
  <si>
    <t>Horne, Richard B/0000-0002-0412-6407; Allanson, Oliver/0000-0003-2353-8586; Meredith, Nigel/0000-0001-5032-3463; Allison, Hayley/0000-0002-6665-2023; Eggington, Joseph/0000-0003-2553-4191; Archer, Martin/0000-0003-1556-4573; Watt, Clare/0000-0003-3193-8993; Staples, Frances/0000-0002-6181-9920</t>
  </si>
  <si>
    <t>NERC [NE/P017347/1, NE/V00249X/1 298, NE/R016038/1]; Alexander Von Humboldt fellowship; NERC Independent Research Fellowship [NE/V013963/1, NE/V002759/2, ST/W002078/1]; UKRI (STFC/EPSRC) Stephen Hawking Fellowship [EP/T01735X/1]; Natural Environment Research Council Highlight Topic grant [NE/P10738X/1]; [NE/P017142/1]; NERC [NE/P017347/1, NE/V013963/1, NE/P017142/1] Funding Source: UKRI; SPF [NE/V002759/2] Funding Source: UKRI</t>
  </si>
  <si>
    <t>NERC(UK Research &amp; Innovation (UKRI)Natural Environment Research Council (NERC)); Alexander Von Humboldt fellowship(Alexander von Humboldt Foundation); NERC Independent Research Fellowship(UK Research &amp; Innovation (UKRI)Natural Environment Research Council (NERC)); UKRI (STFC/EPSRC) Stephen Hawking Fellowship; Natural Environment Research Council Highlight Topic grant; ; NERC(UK Research &amp; Innovation (UKRI)Natural Environment Research Council (NERC)); SPF</t>
  </si>
  <si>
    <t>RTD, JPE, and JPC acknowledge funding from NERC grant NE/P017347/1 (Rad-Sat). HJA is supported by an Alexander Von Humboldt fellowship. OA is supported by a NERC Independent Research Fellowship NE/V013963/1. CEJW acknowledges grants NE/V002759/2 and ST/W002078/1. MOA holds a UKRI (STFC/EPSRC) Stephen Hawking Fellowship EP/T01735X/1. JWBE is supported by Grant NE/P017142/1 (SWIGS). RH, SG, and NM would like to acknowledge the Natural Environment Research Council Highlight Topic grant NE/P10738X/1 (Rad-Sat) and the NERC grants NE/V00249X/1 298 (Sat-Risk) and NE/R016038/1. This study used the Imperial College High Performance Computing Service (doi: ).</t>
  </si>
  <si>
    <t>e2021JA029802</t>
  </si>
  <si>
    <t>10.1029/2021JA029802</t>
  </si>
  <si>
    <t>WN0XC</t>
  </si>
  <si>
    <t>WOS:000711498900054</t>
  </si>
  <si>
    <t>Li, N; Lei, JH; Huang, FQ; Yi, W; Chen, JS; Xue, XH; Gu, SY; Luan, XL; Zhong, JH; Liu, FF; Dou, XK; Qin, YS; Owolabi, C</t>
  </si>
  <si>
    <t>Li, Na; Lei, Jiuhou; Huang, Fuqing; Yi, Wen; Chen, Jinsong; Xue, Xianghui; Gu, Shengyang; Luan, Xiaoli; Zhong, Jiahao; Liu, Feifan; Dou, Xiankang; Qin, Yusong; Owolabi, Charles</t>
  </si>
  <si>
    <t>Responses of the Ionosphere and Neutral Winds in the Mesosphere and Lower Thermosphere in the Asian-Australian Sector to the 2019 Southern Hemisphere Sudden Stratospheric Warming</t>
  </si>
  <si>
    <t>GEO TEC; MLT winds; Antarctic sudden stratospheric warming</t>
  </si>
  <si>
    <t>TOTAL ELECTRON-CONTENT; SOLAR; VARIABILITY; MIDDLE; SATELLITE; DENSITY; REGION</t>
  </si>
  <si>
    <t>In this study, the neutral winds from meteor radars and the total electron content (TEC) from Beidou Geostationary (GEO) satellites were utilized to study the responses of the mesosphere and lower thermosphere and the ionosphere in the Asian-Australian sector to the recent Sudden Stratospheric Warming (SSW) occurred in the Antarctic polar region during September 2019. It was demonstrated that the ionospheric TEC increased significantly, especially around the equatorial ionization anomaly (EIA) region during this SSW. A pronounced semidiurnal signature in the deviation TEC was observed near the EIA crest region, which was more significant in the southern hemisphere. Meanwhile, the enhancement period of the amplitudes of solar and lunar semidiurnal tides in winds in the mesosphere was coincided with that in TEC. The solar semidiurnal amplitudes increased from about 18 to 35 m/s in the zonal wind and from 15 to 25 m/s in the meridional wind at Mengcheng (33.4 degrees N, 116.5 degrees E, MLAT 27.4 degrees N), and from about 15-38 m/s in the zonal wind at Kunming (25.6 degrees N, 103.6 degrees E, MLAT 19.3 degrees N). The lunar semidiurnal amplitudes increased from 2 to 6 m/s in the zonal wind and from about 3-9 m/s in the meridional wind at Mengcheng, and from about 3-7 m/s in the meridional wind at Kunming, respectively. These indicated that the semidiurnal signature in TEC during the 2019 southern hemisphere SSW could be associated with the SSW induced by the atmospheric semidiurnal tide variations in the mesosphere.</t>
  </si>
  <si>
    <t>[Li, Na; Lei, Jiuhou; Huang, Fuqing; Yi, Wen; Xue, Xianghui; Luan, Xiaoli; Liu, Feifan] Univ Sci &amp; Technol China, Sch Earth &amp; Space Sci, CAS Key Lab Gepace Environm, Hefei, Peoples R China; [Li, Na; Chen, Jinsong] China Res Inst Radiowave Propagat, Natl Key Lab Electromagnet Environm, Qingdao, Peoples R China; [Lei, Jiuhou; Huang, Fuqing; Yi, Wen; Xue, Xianghui; Luan, Xiaoli; Liu, Feifan] Univ Sci &amp; Technol China, Mengcheng Natl Geophys Observ, Hefei, Peoples R China; [Li, Na; Chen, Jinsong] Kunming Electromagnet Environm Observat &amp; Res Stn, Kunming, Yunnan, Peoples R China; [Lei, Jiuhou; Huang, Fuqing; Yi, Wen; Xue, Xianghui; Luan, Xiaoli; Liu, Feifan] Univ Sci &amp; Technol China, CAS Ctr Excellence Comparat Planetol, Hefei, Peoples R China; [Gu, Shengyang; Dou, Xiankang; Qin, Yusong] Wuhan Univ, Elect Informat Sch, Wuhan, Peoples R China; [Zhong, Jiahao] Sun Yat Sen Univ, Sch Atmospher Sci, Planetary Environm &amp; Astrobiol Res Lab, Zhuhai, Peoples R China; [Owolabi, Charles] Southern Univ Sci &amp; Technol, Dept Earth &amp; Space Sci, Shenzhen, Peoples R China; [Owolabi, Charles] Fed Univ Technol Akure, Dept Phys, Akure, Nigeria</t>
  </si>
  <si>
    <t>Chinese Academy of Sciences; University of Science &amp; Technology of China, CAS; Chinese Academy of Sciences; University of Science &amp; Technology of China, CAS; Chinese Academy of Sciences; University of Science &amp; Technology of China, CAS; Wuhan University; Sun Yat Sen University; Southern University of Science &amp; Technology</t>
  </si>
  <si>
    <t>Lei, JH (corresponding author), Univ Sci &amp; Technol China, Sch Earth &amp; Space Sci, CAS Key Lab Gepace Environm, Hefei, Peoples R China.;Lei, JH (corresponding author), Univ Sci &amp; Technol China, Mengcheng Natl Geophys Observ, Hefei, Peoples R China.;Lei, JH (corresponding author), Univ Sci &amp; Technol China, CAS Ctr Excellence Comparat Planetol, Hefei, Peoples R China.</t>
  </si>
  <si>
    <t>leijh@ustc.edu.cn</t>
  </si>
  <si>
    <t>Liu, Feifan/D-2478-2012; Yi, Wen/M-4896-2019; Qin, Yusong/P-2229-2018; Owolabi, Charles/K-9841-2015; Luan, Xiaoli/S-4600-2019; Zhong, Jiahao/S-4599-2019; Dou, xiankang/M-9106-2013; /A-3015-2012; Xue, Xianghui/E-1225-2012</t>
  </si>
  <si>
    <t>Liu, Feifan/0000-0003-0881-6365; Yi, Wen/0000-0003-3717-6811; Qin, Yusong/0000-0002-9627-2996; Owolabi, Charles/0000-0001-6080-7402; Luan, Xiaoli/0000-0003-0733-8920; Zhong, Jiahao/0000-0001-5130-8185; /0000-0002-4374-5083; Xue, Xianghui/0000-0002-4541-9900; Huang, Fuqing/0000-0003-4915-8717</t>
  </si>
  <si>
    <t>National Science Foundation of China [41831070]; Project of Stable Support for Youth Team in Basic Research Field, CAS [YSBR-018]; B-type Strategic Priority Program of the Chinese Academy of Sciences [XDB41000000]; fundamental research funds for the central universities - Open Research Project of Large Research Infrastructures of CAS [D020105, A132111W01]; National Natural Science Foundation of China [41874184, 41804150, 42004136]; Taishan Scholar Program of Shandong Province, China; China Postdoctoral Science Foundation [2020T130628, 2019M662170]; Fundamental Research Funds for the Central Universities [WK2080000130]; Open Fund of Mengcheng National Geophysical Observatory [MENGO-202010]</t>
  </si>
  <si>
    <t>National Science Foundation of China(National Natural Science Foundation of China (NSFC)); Project of Stable Support for Youth Team in Basic Research Field, CAS; B-type Strategic Priority Program of the Chinese Academy of Sciences; fundamental research funds for the central universities - Open Research Project of Large Research Infrastructures of CAS; National Natural Science Foundation of China(National Natural Science Foundation of China (NSFC)); Taishan Scholar Program of Shandong Province, China; China Postdoctoral Science Foundation(China Postdoctoral Science Foundation); Fundamental Research Funds for the Central Universities(Fundamental Research Funds for the Central Universities); Open Fund of Mengcheng National Geophysical Observatory</t>
  </si>
  <si>
    <t>This work is supported by the National Science Foundation of China (41831070), the Project of Stable Support for Youth Team in Basic Research Field, CAS (YSBR-018), the B-type Strategic Priority Program of the Chinese Academy of Sciences (XDB41000000), the fundamental research funds for the central universities, the pre-research project on Civil Aerospace Technologies D020105 funded by China's National Space Administration, the Open Research Project of Large Research Infrastructures of CAS-Study on the interaction between low/mid-latitude atmosphere and ionosphere based on the Chinese Meridian Project, and the Stable-Support Scientific Project of China Research Institude of Radiowave Propagation (Grant A132111W01). Luan X. was also supported by the National Natural Science Foundation of China (41874184). Li N. is supported by the Taishan Scholar Program of Shandong Province, China. J. Zhong was also supported by the National Natural Science Foundation of China (41804150). F. Huang was supported by the National Natural Science Foundation of China (42004136), the China Postdoctoral Science Foundation (2020T130628and 2019M662170), the Fundamental Research Funds for the Central Universities (WK2080000130), and the Joint Open Fund of Mengcheng National Geophysical Observatory (MENGO-202010).</t>
  </si>
  <si>
    <t>e2020JA028653</t>
  </si>
  <si>
    <t>10.1029/2020JA028653</t>
  </si>
  <si>
    <t>WOS:000711498900016</t>
  </si>
  <si>
    <t>Teng, CKM; Gu, SY; Qin, YS; Dou, XK; Li, N; Tang, L</t>
  </si>
  <si>
    <t>Teng, Chen-Ke-Min; Gu, Sheng-Yang; Qin, Yusong; Dou, Xiankang; Li, Na; Tang, Liang</t>
  </si>
  <si>
    <t>Unexpected Decrease in TW3 Amplitude During Antarctic Sudden Stratospheric Warming Events as Revealed by SD-WACCM-X</t>
  </si>
  <si>
    <t>TW3; sudden stratospheric warming; nonlinear wave-wave interactions; neutral-ion coupling</t>
  </si>
  <si>
    <t>IONOSPHERIC VARIABILITY; FORCING MECHANISMS; TIDAL VARIABILITY; MIGRATING TIDES; SOLAR; MIDDLE; DYNAMICS; STRENGTH; IMPACT; WINTER</t>
  </si>
  <si>
    <t>The specified dynamics Whole Atmosphere Community Climate Model with thermosphere and ionosphere extension (SD-WACCM-X) was utilized to explore migrating tidal variabilities that occurred during the 2002, 2010, and 2019 Antarctic sudden stratospheric warming (SSW) events. All migrating tides show prominent day-to-day variations in the mesosphere and lower thermosphere regions, which can be mainly attributed to each Antarctic SSW event. The westward propagating diurnal tide with zonal wavenumber 1 (DW1) and the westward propagating semidiurnal tide with zonal wavenumber 2 (SW2) show a distinct reduction and an increase during each Antarctic SSW event, respectively. Specifically, the westward propagating terdiurnal tide with zonal wavenumber 3 (TW3) shows an unexpected decrease, which is opposite to the behaviors of TW3 reported during Arctic SSW events. We conclude that the unexpected decrease in TW3 may be mainly caused by the nonlinear interaction between DW1 and SW2, in which DW1 may play a major role. In the ionosphere, the TW3 amplitudes also show a decrease during each Antarctic SSW event, which is in consistency with decreasing tidal amplitudes in the neutral atmosphere. Our study demonstrates that TW3 is also a considerable source for short-term ionospheric variability during Antarctic SSW events.</t>
  </si>
  <si>
    <t>[Teng, Chen-Ke-Min; Gu, Sheng-Yang; Qin, Yusong; Dou, Xiankang; Tang, Liang] Wuhan Univ, Elect Informat Sch, Wuhan, Peoples R China; [Gu, Sheng-Yang] Chinese Acad Sci, Key Lab Geospace Environm, Univ Sci &amp; Technol China, Hefei, Peoples R China; [Li, Na] China Res Inst Radiowave Propagat, Natl Key Lab Electromagnet Environm, Qingdao, Peoples R China</t>
  </si>
  <si>
    <t>Wuhan University; Chinese Academy of Sciences; University of Science &amp; Technology of China, CAS</t>
  </si>
  <si>
    <t>Gu, SY (corresponding author), Wuhan Univ, Elect Informat Sch, Wuhan, Peoples R China.;Gu, SY (corresponding author), Chinese Acad Sci, Key Lab Geospace Environm, Univ Sci &amp; Technol China, Hefei, Peoples R China.</t>
  </si>
  <si>
    <t>gushengyang@whu.edu.cn</t>
  </si>
  <si>
    <t>Qin, Yusong/P-2229-2018; Tang, Liang/GXZ-9941-2022; Dou, xiankang/M-9106-2013</t>
  </si>
  <si>
    <t>Qin, Yusong/0000-0002-9627-2996; Tang, Liang/0000-0001-7324-3394; Teng, Chen-Ke-Min/0000-0001-6277-3277</t>
  </si>
  <si>
    <t>National Natural Science Foundation of China [41704153, 41874181, 41831071]</t>
  </si>
  <si>
    <t>This work is funded by the National Natural Science Foundation of China (41704153, 41874181 and 41831071).</t>
  </si>
  <si>
    <t>e2020JA029050</t>
  </si>
  <si>
    <t>10.1029/2020JA029050</t>
  </si>
  <si>
    <t>WOS:000711498900065</t>
  </si>
  <si>
    <t>Tsyganenko, NA; Andreeva, VA; Sitnov, MI; Stephens, GK; Gjerloev, JW; Chu, X; Troshichev, OA</t>
  </si>
  <si>
    <t>Tsyganenko, N. A.; Andreeva, V. A.; Sitnov, M., I; Stephens, G. K.; Gjerloev, J. W.; Chu, X.; Troshichev, O. A.</t>
  </si>
  <si>
    <t>Reconstructing Substorms via Historical Data Mining: Is It Really Feasible?</t>
  </si>
  <si>
    <t>magnetosphere; substorms; modeling; geomagnetic indices; spacecraft data mining; magnetic field</t>
  </si>
  <si>
    <t>MAGNETOSPHERIC SUBSTORMS; MAGNETIC-FIELD; CYCLE; MODEL</t>
  </si>
  <si>
    <t>The evolution of the low-latitude magnetosphere over the substorm cycle is reconstructed based on a new high-resolution 3D representation of the magnetic field and nearest-neighbor data mining. The study covers radial distances 2.5-25RE and employs a record-large pool of spacecraft data taken during 1995-2019. The magnetospheric state is quantified by four indices, representing the ground geomagnetic activity and its temporal trends in the entire +/- 90 degrees range of geomagnetic latitude: the SuperMAG SMR, the midlatitude positive bay MPB, the auroral SML, and the polar cap PC index. The developed technique has been tested on specific substorm events, with the results presented in the form of 5-min cadence diagrams and animations of the magnetic field line configurations and electric current distributions. In all the analyzed events, the initial intensification and radial expansion of the inner tail current is accompanied by a gradual stretching of the magnetic field, followed by its sudden collapse, dramatic depletion of the current beyond R similar to 12RE, and a large-scale dipolarization of the field around the time of MPB peak, after which the system recovers and tends to its pre-substorm state.</t>
  </si>
  <si>
    <t>[Tsyganenko, N. A.; Andreeva, V. A.] St Petersburg State Univ, St Petersburg, Russia; [Tsyganenko, N. A.] St Petersburg State Univ, Dept Phys, St Petersburg, Russia; [Sitnov, M., I; Stephens, G. K.; Gjerloev, J. W.] Johns Hopkins Univ, Appl Phys Lab, Laurel, MD USA; [Chu, X.] Univ Colorado, Boulder, CO 80309 USA; [Troshichev, O. A.] Arctic &amp; Antarctic Res Inst, St Petersburg, Russia</t>
  </si>
  <si>
    <t>Saint Petersburg State University; Saint Petersburg State University; Johns Hopkins University; Johns Hopkins University Applied Physics Laboratory; University of Colorado System; University of Colorado Boulder; Arctic &amp; Antarctic Research Institute</t>
  </si>
  <si>
    <t>Tsyganenko, NA (corresponding author), St Petersburg State Univ, St Petersburg, Russia.;Tsyganenko, NA (corresponding author), St Petersburg State Univ, Dept Phys, St Petersburg, Russia.</t>
  </si>
  <si>
    <t>n.tsyganenko@spbu.ru</t>
  </si>
  <si>
    <t>Andreeva, Varvara A./E-7414-2019; Gjerloev, Jesper/C-2116-2016; Andreeva, Varvara/AAH-5616-2021; Tsyganenko, Nikolai A/J-7377-2012; Troshichev, Oleg/P-3848-2015; Stephens, Grant/A-1620-2019</t>
  </si>
  <si>
    <t>Andreeva, Varvara/0000-0001-7714-5329; Chu, Xiangning/0000-0003-4109-0770; Troshichev, Oleg/0000-0002-7887-9831; Stephens, Grant/0000-0002-5961-5582</t>
  </si>
  <si>
    <t>Russian Foundation for Basic Research [20-05-00218]</t>
  </si>
  <si>
    <t>The authors thank Victor Sergeev for his many comments, advices, and constructive criticism. The teams and Principal Investigators of all experiments whose data were used in this study are gratefully acknowledged. This work was supported by the Russian Foundation for Basic Research Grant 20-05-00218.</t>
  </si>
  <si>
    <t>e2021JA029604</t>
  </si>
  <si>
    <t>10.1029/2021JA029604</t>
  </si>
  <si>
    <t>WOS:000711498900046</t>
  </si>
  <si>
    <t>Walton, SD; Forsyth, C; Rae, IJ; Watt, CEJ; Thompson, RL; Horne, RB; Meredith, NP; Rodger, CJ; Walach, MT; Clilverd, MA; Glauert, SA</t>
  </si>
  <si>
    <t>Walton, S. D.; Forsyth, C.; Rae, I. J.; Watt, C. E. J.; Thompson, R. L.; Horne, R. B.; Meredith, N. P.; Rodger, C. J.; Walach, M-T; Clilverd, M. A.; Glauert, S. A.</t>
  </si>
  <si>
    <t>Cross-L* Coherence of the Outer Radiation Belt During Storms and the Role of the Plasmapause</t>
  </si>
  <si>
    <t>radiation belt; coherence; plasmapause; storm; SAMPEX; L*</t>
  </si>
  <si>
    <t>EARTHS INNER MAGNETOSPHERE; ELECTRON-SCATTERING LOSS; RELATIVISTIC ELECTRONS; WHISTLER EVIDENCE; SOLAR; DYNAMICS; PRECIPITATION; MODEL; ACCELERATION; TELESCOPE</t>
  </si>
  <si>
    <t>The high energy electron population in Earth's outer radiation belt is extremely variable, changing by multiple orders of magnitude on timescales that vary from under an hour to several weeks. These changes are typically linked to geomagnetic activity such as storms and substorms. In this study, we seek to understand how coherent changes in the radiation belt are across all radial distances, in order to provide a spatial insight into apparent global variations. We do this by calculating the correlation between fluxes on different L* measured by the PET instrument aboard the SAMPEX spacecraft for times associated with 15 large storms. Our results show that during these times, variations in the &gt;0.63 MeV electron flux are coherent outside the minimum plasmapause location and also coherent inside the minimum plasmapause location, when flux is present. However, variations in the electron fluxes inside the plasmapause show little correlation with those outside the plasmapause. During storm recovery and possibly main phases, flux variations are coherent across all L* regardless of plasmapause location, due to a rapid decrease, followed by an increase in radiation belt fluxes across all L*.</t>
  </si>
  <si>
    <t>[Walton, S. D.; Forsyth, C.] Univ Coll London, Mullard Space Sci Lab, Dorking, Surrey, England; [Rae, I. J.; Watt, C. E. J.] Northumbria Univ, Dept Maths Phys &amp; Elect Engn, Newcastle Upon Tyne, Tyne &amp; Wear, England; [Thompson, R. L.] Univ Reading, Dept Math, Reading, Berks, England; [Horne, R. B.; Meredith, N. P.; Clilverd, M. A.; Glauert, S. A.] British Antarctic Survey, Cambridge, England; [Rodger, C. J.] Univ Otago, Dept Phys, Dunedin, New Zealand; [Walach, M-T] Univ Lancaster, Phys Dept, Lancaster, England</t>
  </si>
  <si>
    <t>University of London; University College London; Northumbria University; University of Reading; UK Research &amp; Innovation (UKRI); Natural Environment Research Council (NERC); NERC British Antarctic Survey; University of Otago; Lancaster University</t>
  </si>
  <si>
    <t>Walton, SD (corresponding author), Univ Coll London, Mullard Space Sci Lab, Dorking, Surrey, England.</t>
  </si>
  <si>
    <t>samuel.walton.18@ucl.ac.uk</t>
  </si>
  <si>
    <t>Walach, Maria-Theresia/AAB-1833-2020; Rae, Jonathan/D-8132-2013; Horne, Richard B/U-3764-2019; Rodger, Craig/A-1501-2011; Watt, Clare/C-5218-2008; Forsyth, Colin/E-4159-2010</t>
  </si>
  <si>
    <t>Walach, Maria-Theresia/0000-0002-9352-0659; Rae, Jonathan/0000-0002-2637-4786; Horne, Richard B/0000-0002-0412-6407; Watt, Clare/0000-0003-3193-8993; Meredith, Nigel/0000-0001-5032-3463; Forsyth, Colin/0000-0002-0026-8395; Rodger, Craig J./0000-0002-6770-2707; Thompson, Rhys/0000-0002-2766-0952; Walton, Samuel/0000-0002-0695-7116</t>
  </si>
  <si>
    <t>Science and Technology Facilities Council (STFC) [NE/T014164/1]; NERC Independent Research Fellowship [NE/N014480/1]; NERC Highlight Topic Grant [NE/P017185/1, NE/P01738X/1]; NERC SWIMMR [NE/V002554/1]; STFC [ST/R000921/1]; NERC [NE/P017274/1, NE/V00249X/1, NE/P001556/1, NE/T000937/1]; Engineering and Physical Sciences Research Council (EPSRC) [EP/L016613/1]; NERC [NE/N014480/1, NE/P001556/1, NE/P01738X/1, NE/T000937/1, NE/P017185/1, NE/P017274/1] Funding Source: UKRI; SPF [NE/V002554/1, NE/V00249X/1] Funding Source: UKRI</t>
  </si>
  <si>
    <t>Science and Technology Facilities Council (STFC)(UK Research &amp; Innovation (UKRI)Science &amp; Technology Facilities Council (STFC)Science and Technology Development Fund (STDF)); NERC Independent Research Fellowship(UK Research &amp; Innovation (UKRI)Natural Environment Research Council (NERC)); NERC Highlight Topic Grant; NERC SWIMMR; STFC(UK Research &amp; Innovation (UKRI)Science &amp; Technology Facilities Council (STFC)); NERC(UK Research &amp; Innovation (UKRI)Natural Environment Research Council (NERC)); Engineering and Physical Sciences Research Council (EPSRC)(UK Research &amp; Innovation (UKRI)Engineering &amp; Physical Sciences Research Council (EPSRC)); NERC(UK Research &amp; Innovation (UKRI)Natural Environment Research Council (NERC)); SPF</t>
  </si>
  <si>
    <t>The authors would like to thank the many individuals involved in the operation of SAMPEX over 20 years. S. D. Walton was supported by Science and Technology Facilities Council (STFC) studentship NE/T014164/1. C. Forsyth was supported by NERC Independent Research Fellowship NE/N014480/1. C. Forsyth and I. J. Rae were supported by NERC Highlight Topic Grant NE/P017185/1 (Rad-Sat) and NERC SWIMMR Grant NE/V002554/1. C. E. J. Watt was supported by STFC grant ST/R000921/1 and NERC Rad-Sat Consortium grant NE/P017274/1. R. L. Thompson was supported by Engineering and Physical Sciences Research Council (EPSRC) grant EP/L016613/1. R. B. Horne, N. P. Meredith, and S. A. Glauert were supported by NERC Highlight Topic Grant NE/P01738X/1 (Rad-Sat) and NERC grant NE/V00249X/1 (Sat-Risk). M.-T. Walach was funded by NERC (Project codes NE/P001556/1 and NE/T000937/1).</t>
  </si>
  <si>
    <t>e2021JA029308</t>
  </si>
  <si>
    <t>10.1029/2021JA029308</t>
  </si>
  <si>
    <t>WOS:000711498900034</t>
  </si>
  <si>
    <t>Li, LW; Liu, ZY; Lynch-Stieglitz, J; He, CF; Gu, SF; Zhang, JX; Otto-Bliesner, B</t>
  </si>
  <si>
    <t>Li, Lingwei; Liu, Zhengyu; Lynch-Stieglitz, Jean; He, Chengfei; Gu, Sifan; Zhang, Jiaxu; Otto-Bliesner, Bette</t>
  </si>
  <si>
    <t>Testing Methods for Reconstructing Glacial Antarctic Circumpolar Current Transport in an Isotope-Enabled Climate Model</t>
  </si>
  <si>
    <t>Antarctic Circumpolar Current; baroclinic transport reconstruction; Last Glacial Maximum; end-member water masses</t>
  </si>
  <si>
    <t>EARTH SYSTEM MODEL; OCEAN; DELTA-O-18; EVOLUTION; TEMPERATURE; VARIABILITY; SATURATION; SALINITY; MAXIMUM; SINK</t>
  </si>
  <si>
    <t>The Antarctic Circumpolar Current (ACC) plays a vital role in the interbasin exchange of ocean properties. A robust method to reconstruct the ACC baroclinic transport is helpful to assess the ACC's sensitivity to a changed climate. Here we test the reconstruction methods at the Last Glacial Maximum (LGM; similar to 20 ka) using end-member water masses in a fully coupled, isotope-enabled Community Earth System Model. Model results suggest that the density profile at the northern side of ocean margins across the ACC can be reconstructed well from end-member water masses of Subtropical Surface Water (STSW), Antarctic Intermediate Water (AAIW), and Lower Circumpolar Deep Water. One additional pore fluid observation at 1,000 m can substantially improve transport reconstruction and is essential to constrain the sign of change in ACC transport during the LGM. Moreover, the uncertainty in transport calculation is large when salinities for STSW and AAIW are reconstructed independently based on the delta O-18(sw)-Salinity relationship of surface and intermediate waters in the South Indian Ocean. More direct measurements of LGM temperature and salinity may allow better transport reconstruction.</t>
  </si>
  <si>
    <t>[Li, Lingwei; Liu, Zhengyu; He, Chengfei] Ohio State Univ, Dept Geog, Atmospher Sci Program, Columbus, OH 43210 USA; [Lynch-Stieglitz, Jean] Georgia Inst Technol, Sch Earth &amp; Atmospher Sci, Atlanta, GA 30332 USA; [Gu, Sifan] Shanghai Jiao Tong Univ, Sch Oceanog, Shanghai, Peoples R China; [Zhang, Jiaxu] Univ Washington, Cooperat Inst Climate Ocean &amp; Ecosyst Studies, Seattle, WA 98195 USA; [Zhang, Jiaxu] NOAA, Pacific Marine Environm Lab, 7600 Sand Point Way Ne, Seattle, WA 98115 USA; [Otto-Bliesner, Bette] Natl Ctr Atmospher Res, Climate &amp; Global Dynam Div, POB 3000, Boulder, CO 80307 USA</t>
  </si>
  <si>
    <t>University System of Ohio; Ohio State University; University System of Georgia; Georgia Institute of Technology; Shanghai Jiao Tong University; University of Washington; University of Washington Seattle; National Oceanic Atmospheric Admin (NOAA) - USA; National Center Atmospheric Research (NCAR) - USA</t>
  </si>
  <si>
    <t>Li, LW; Liu, ZY (corresponding author), Ohio State Univ, Dept Geog, Atmospher Sci Program, Columbus, OH 43210 USA.</t>
  </si>
  <si>
    <t>li.8955@osu.edu; liu.7022@osu.edu</t>
  </si>
  <si>
    <t>Zhang, Jiaxu/J-9571-2019; He, chengfei/JPL-7259-2023; Lynch-Stieglitz, Jean/J-2277-2018</t>
  </si>
  <si>
    <t>Zhang, Jiaxu/0000-0002-8564-3026; He, chengfei/0000-0003-1453-9691; Otto-Bliesner, Bette/0000-0003-1911-1598; Li, Lingwei/0000-0002-1818-6080; Lynch-Stieglitz, Jean/0000-0002-9353-1972</t>
  </si>
  <si>
    <t>US National Science Foundation [NSF OCE-1810681]; NSF; National Center for Atmospheric Research - NSF [1852977]; Earth System Grid Federation (ESGF)</t>
  </si>
  <si>
    <t>US National Science Foundation(National Science Foundation (NSF)); NSF(National Science Foundation (NSF)); National Center for Atmospheric Research - NSF(National Science Foundation (NSF)NSF - Directorate for Geosciences (GEO)); Earth System Grid Federation (ESGF)</t>
  </si>
  <si>
    <t>This work is supported by US National Science Foundation NSF OCE-1810681. The CESM project is supported primarily by the NSF. This material is based on work supported by the National Center for Atmospheric Research, which is a major facility sponsored by the NSF under Cooperative Agreement no. 1852977. We also acknowledge the World Climate Research Programme's Working Group on Coupled Modeling, and we thank the climate modeling groups (listed in Table 1) for producing and making available their model output, the Earth System Grid Federation (ESGF) for archiving the data and providing access, and the multiple funding agencies who support CMIP, PMIP, and ESGF.</t>
  </si>
  <si>
    <t>e2020PA004183</t>
  </si>
  <si>
    <t>10.1029/2020PA004183</t>
  </si>
  <si>
    <t>WN7RX</t>
  </si>
  <si>
    <t>WOS:000711966000015</t>
  </si>
  <si>
    <t>Zalizovski, AV; Yampolski, YM; Mishin, E; Kashcheyev, SB; Sopin, AO; Koloskov, AV; Lisachenko, VN; Reznychenko, AI</t>
  </si>
  <si>
    <t>Zalizovski, A., V; Yampolski, Y. M.; Mishin, E.; Kashcheyev, S. B.; Sopin, A. O.; Koloskov, A., V; Lisachenko, V. N.; Reznychenko, A., I</t>
  </si>
  <si>
    <t>Multi-Position Facility for HF Doppler Sounding of Ionospheric Inhomogeneities in Ukraine</t>
  </si>
  <si>
    <t>RADIO SCIENCE</t>
  </si>
  <si>
    <t>Doppler HF sounding; traveling ionospheric disturbances</t>
  </si>
  <si>
    <t>ATMOSPHERIC GRAVITY-WAVES; DISTURBANCES; PROPAGATION; MIDDLE</t>
  </si>
  <si>
    <t>This paper describes a system for multi-position Doppler ionosphere sounding implemented at the beginning of 2018 in the Kharkiv region of Ukraine, the data processing technique and initial results of data analysis. The system comprises a high frequency (HF) transmitter and three receiving sites making almost a right triangle with catheti of 32.8 and 58 km. The transmitter continuously emitting a monochromatic signal of a similar to 20 W power at a frequency in most cases slightly lower than foF2 is located in the city of Kharkiv. The foF2 value was permanently controlled by the ionosonde installed in about 45 km from the transmitter. We report and discuss the initial results of traveling ionospheric disturbances (TIDs) observations for three years since January 2018 until December 2020. Statistical distributions of the frequency of appearance, periods, horizontal speeds, and propagation directions of TIDs are presented. The range of their most probable wavelengths is from 120 to 260 km, while their propagation velocities are from 80 to 220 m/s. The preferred direction of the TID propagation changes during the daytime and shows a tendency to rotate clockwise in azimuth. Notably, such regular long-term measurements in the Eastern Europe have been carried out for the first time.</t>
  </si>
  <si>
    <t>[Zalizovski, A., V; Yampolski, Y. M.; Kashcheyev, S. B.; Sopin, A. O.; Koloskov, A., V; Lisachenko, V. N.; Reznychenko, A., I] Natl Acad Sci Ukraire, Inst Radio Astron, Kharkiv, Ukraine; [Zalizovski, A., V; Koloskov, A., V] Minist Educ &amp; Sci Ukraine, State Inst, Natl Antarctic Sci Ctr, Kiev, Ukraine; [Zalizovski, A., V] Polish Acad Sci, Space Res Ctr, Warsaw, Poland; [Mishin, E.] Air Force Res Lab, Space Vehicles Directorate, Albuquerque, NM USA; [Reznychenko, A., I] Natl Tech Univ, Kharkiv Polytech Inst, Kharkiv, Ukraine</t>
  </si>
  <si>
    <t>National Academy of Sciences Ukraine; Institute of Radio Astronomy of the National Academy of Sciences of Ukraine; Ministry of Education &amp; Science of Ukraine; State Institution National Antarctic Scientific Center; Polish Academy of Sciences; Space Research Centre of the Polish Academy of Sciences; Centrum Badan Kosmicznych, Polish Academy of Sciences; United States Department of Defense; United States Air Force; US Air Force Research Laboratory; Ministry of Education &amp; Science of Ukraine; National Technical University Kharkiv Polytechnic Institute</t>
  </si>
  <si>
    <t>Zalizovski, AV (corresponding author), Natl Acad Sci Ukraire, Inst Radio Astron, Kharkiv, Ukraine.;Zalizovski, AV (corresponding author), Minist Educ &amp; Sci Ukraine, State Inst, Natl Antarctic Sci Ctr, Kiev, Ukraine.;Zalizovski, AV (corresponding author), Polish Acad Sci, Space Res Ctr, Warsaw, Poland.</t>
  </si>
  <si>
    <t>zaliz@rian.kharkov.ua</t>
  </si>
  <si>
    <t>Koloskov, Oleksandr/ABB-4631-2020; yampolskiy, yuriy m/ABA-8387-2020; Zalizovski, Andriy/HII-4602-2022</t>
  </si>
  <si>
    <t>Koloskov, Oleksandr/0000-0001-8921-3851; Zalizovski, Andriy/0000-0002-6271-0126; Reznychenko, Artem/0000-0002-7619-2059; Yampolski, Yuri/0000-0002-6142-5753</t>
  </si>
  <si>
    <t>European Office of Aerospace Research and Development (EOARD) of the Air Force Office of Scientific Research [P735 (EOARD 191OE054)]; Ukrainian Science and Technology Center; Institute of Radio Astronomy, National Academy of Sciences of Ukraine [0121U108635, 0120U100231, 0121U109902, 0121U108110, 0121U112293, 0119U100354]; AFOSR LRIR [19RV COR038]</t>
  </si>
  <si>
    <t>European Office of Aerospace Research and Development (EOARD) of the Air Force Office of Scientific Research; Ukrainian Science and Technology Center; Institute of Radio Astronomy, National Academy of Sciences of Ukraine; AFOSR LRIR</t>
  </si>
  <si>
    <t>The authors are grateful to the participants of scientific seminars of Department 22 of the Institute of Radio Astronomy of the NASU for active discussions and useful suggestions. We are also grateful to the staff of LFO IRA NASU for providing the continuous operation of the receiving HF station. This work was supported by Partner Project P735 (EOARD 191OE054) between the European Office of Aerospace Research and Development (EOARD) of the Air Force Office of Scientific Research, Ukrainian Science and Technology Center and Institute of Radio Astronomy, National Academy of Sciences of Ukraine and also by Projects: Yatagan-4 (#0121U108635), Obstanovka (#0120U100231), Lirus (#0121U109902), Shpitsbergen-2021 (#0121U108110), Heliomax-2021 (#0121U112293) and Zond-5 (#0119U100354). E. Mishin was supported by AFOSR LRIR 19RV COR038.</t>
  </si>
  <si>
    <t>0048-6604</t>
  </si>
  <si>
    <t>1944-799X</t>
  </si>
  <si>
    <t>RADIO SCI</t>
  </si>
  <si>
    <t>Radio Sci.</t>
  </si>
  <si>
    <t>e2021RS007303</t>
  </si>
  <si>
    <t>10.1029/2021RS007303</t>
  </si>
  <si>
    <t>Astronomy &amp; Astrophysics; Geochemistry &amp; Geophysics; Meteorology &amp; Atmospheric Sciences; Remote Sensing; Telecommunications</t>
  </si>
  <si>
    <t>WN7RK</t>
  </si>
  <si>
    <t>WOS:000711964600006</t>
  </si>
  <si>
    <t>Jin, WT; Li, F; Yan, JG; Yang, X; Ye, M; Hao, WF; Andert, TP; Barriot, JP</t>
  </si>
  <si>
    <t>Jin, Wei-Tong; Li, Fei; Yan, Jian-Guo; Yang, Xuan; Ye, Mao; Hao, Wei-Feng; Andert, Thomas Paul; Barriot, Jean-Pierre</t>
  </si>
  <si>
    <t>Reducing loss of significance in the computation of Earth-based two-way Doppler observables for small body missions</t>
  </si>
  <si>
    <t>RESEARCH IN ASTRONOMY AND ASTROPHYSICS</t>
  </si>
  <si>
    <t>methods; numerical; space vehicles; planets and satellites; general</t>
  </si>
  <si>
    <t>MASS</t>
  </si>
  <si>
    <t>Two-way Doppler measurement is a typical Earth-based radiometric technique for interplanetary spacecraft navigation and gravity science investigation. The most widely used model for the computation of two-way Doppler observables is Moyer's differenced-range Doppler (DRD) formula, which is based on a Schwarzschild approximation of the Solar-System space-time. However, the computation of range difference in DRD formula is sensitive to round-off errors due to approximate numbers defined by the norm IEEE754 in all PCs. This paper presented two updated models and their corresponding detailed instructions for the computation of the two-way Doppler observables so as to impair the effects of this type of numerical error. These two models were validated by two case studies related to the Rosetta mission-asteroid Lutetia flyby and comet 67P/Churyumov-Gerasimenko orbiting case. In these two cases, the numerical noise from the updated models can be reduced by two orders-of-magnitude in the computed two-way Doppler observables. The results showed an accuracy from better than 6 x 10(-3) mm s(-1) at 1 s counting time interval to better than 3 x 10(-5) mm s(-1) at 60 s counting time interval.</t>
  </si>
  <si>
    <t>[Jin, Wei-Tong; Li, Fei; Yan, Jian-Guo; Yang, Xuan; Ye, Mao] Wuhan Univ, State Key Lab Informat Engn Surveying Mapping &amp; R, Wuhan 430079, Peoples R China; [Jin, Wei-Tong; Yang, Xuan] State Key Lab Satellite Nav Syst &amp; Equipment Tech, Shijiazhuang 050200, Hebei, Peoples R China; [Li, Fei; Hao, Wei-Feng] Wuhan Univ, Chinese Antarctic Ctr Surveying &amp; Mapping, Wuhan 430079, Peoples R China; [Andert, Thomas Paul] Univ Bundeswehr Munchen, D-85579 Neubiberg, Bayern, Germany; [Barriot, Jean-Pierre] Univ French Polynesia, BP 6570, F-98702 Tahiti, French Polynesi, France</t>
  </si>
  <si>
    <t>Wuhan University; Wuhan University; Bundeswehr University Munich</t>
  </si>
  <si>
    <t>Jin, WT (corresponding author), Wuhan Univ, State Key Lab Informat Engn Surveying Mapping &amp; R, Wuhan 430079, Peoples R China.;Jin, WT (corresponding author), State Key Lab Satellite Nav Syst &amp; Equipment Tech, Shijiazhuang 050200, Hebei, Peoples R China.</t>
  </si>
  <si>
    <t>jwt_whdx@whu.edu.cn; fli@whu.edu.cn; jgyan@whu.edu.cn</t>
  </si>
  <si>
    <t>National Natural Science Foundation of China [42030110, 41874010, U1831132]; Hubei Province Foundation innovation group project [2018CFA087]; DAR grant in planetology from the French Space Agency (CNES); Deutsches Zentrum fur Luft-und Raumfahrt, Bonn-Oberkassel [50QM1704, 50QM1901]</t>
  </si>
  <si>
    <t>National Natural Science Foundation of China(National Natural Science Foundation of China (NSFC)); Hubei Province Foundation innovation group project; DAR grant in planetology from the French Space Agency (CNES); Deutsches Zentrum fur Luft-und Raumfahrt, Bonn-Oberkassel</t>
  </si>
  <si>
    <t>This research is supported by the National Natural Science Foundation of China (Grant Nos. 42030110, 41874010 and U1831132) and Hubei Province Foundation innovation group project (2018CFA087). JPB was funded by a DAR grant in planetology from the French Space Agency (CNES). TA is funded by Deutsches Zentrum fur Luft-und Raumfahrt, Bonn-Oberkassel (Grant Nos. 50QM1704 and 50QM1901).</t>
  </si>
  <si>
    <t>NATL ASTRONOMICAL OBSERVATORIES, CHIN ACAD SCIENCES</t>
  </si>
  <si>
    <t>20A DATUN RD, CHAOYANG, BEIJING, 100012, PEOPLES R CHINA</t>
  </si>
  <si>
    <t>1674-4527</t>
  </si>
  <si>
    <t>2397-6209</t>
  </si>
  <si>
    <t>RES ASTRON ASTROPHYS</t>
  </si>
  <si>
    <t>Res. Astron. Astrophys.</t>
  </si>
  <si>
    <t>10.1088/1674-4527/21/8/191</t>
  </si>
  <si>
    <t>WN3FF</t>
  </si>
  <si>
    <t>WOS:000711657300001</t>
  </si>
  <si>
    <t>Wang, SM; Xie, AH; Zhu, JP</t>
  </si>
  <si>
    <t>Wang Shi-meng; Xie Ai-hong; Zhu Jiang-ping</t>
  </si>
  <si>
    <t>Does polar amplification exist in Antarctic surface during the recent four decades?</t>
  </si>
  <si>
    <t>JOURNAL OF MOUNTAIN SCIENCE</t>
  </si>
  <si>
    <t>Antarctic amplification; Surface air temperature; Meridional Sectors; Three Antarctic sub regions</t>
  </si>
  <si>
    <t>ARCTIC AMPLIFICATION; CLIMATE-CHANGE; IMPACTS; PENINSULA</t>
  </si>
  <si>
    <t>There are numerous studies on polar amplification and its influence on mid-latitude weather and climate. However, assessments on whether polar amplification occurs in Antarctica are rarely conducted. Based on the latest atmospheric reanalysis of ERA5 produced by European Centre for Medium-Range Weather Forecasts (ECMWF), we have defined the Antarctic amplification index, and calculated the trend of annual and seasonal Surface Air Temperature (SAT) mean during 1979-2019 for Antarctic Ice Sheet (AIS) and the trend mean of different meridional sectors of Antarctic sub regions including East Antarctic Ice Sheet (EAIS), West Antarctic Ice Sheet (WAIS) and Antarctic Peninsula (AP). Antarctic amplification shows regional differences and seasonal variations. Antarctica shows a slight warming with the largest magnitude in AP. The temperature anomalies indicate the least fluctuations in austral summer, and the more fluctuations in winter and spring. In austral summer, the warming trend domains EAIS and WAIS, while the cooling trend appears over AP. The zonal mean in Southern Hemisphere maintains a warming trend in the low latitudes, and fluctuates greatly in the middle and high latitudes. The strongest Antarctic amplification phenomenon occurs in spring, with the amplification index of 1.20. For AP, the amplification occurs in austral autumn, and the amplification index is 2.16. At South Pole and the surrounding regions, SAT for land only fluctuates largely and shows different trends in different seasons. The mechanism of Antarctic amplification is unclear till now, and its research suffers from the limitation of measured data. This suggests that future research needs progress in comprehensive ground observation network, remote sensing data accumulation, and high-resolution climate modeling with better representation of both atmospheric and cryospheric processes in Antarctica.</t>
  </si>
  <si>
    <t>[Wang Shi-meng; Xie Ai-hong; Zhu Jiang-ping] Chinese Acad Sci, Northwest Inst Ecoenvironm &amp; Resources, State Key Lab Cryospher Sci, Lanzhou 730000, Peoples R China; [Zhu Jiang-ping] Univ Chinese Acad Sci, Beijing 100049, Peoples R China</t>
  </si>
  <si>
    <t>Xie, AH; Zhu, JP (corresponding author), Chinese Acad Sci, Northwest Inst Ecoenvironm &amp; Resources, State Key Lab Cryospher Sci, Lanzhou 730000, Peoples R China.;Zhu, JP (corresponding author), Univ Chinese Acad Sci, Beijing 100049, Peoples R China.</t>
  </si>
  <si>
    <t>wangshimeng@nieer.ac.cn; xieaihong@nieer.ac.cn; zhujiangping@nieer.ac.cn</t>
  </si>
  <si>
    <t>zhu, jiangping/0000-0003-0660-2443; XIE, Aihong/0000-0002-2875-5339</t>
  </si>
  <si>
    <t>1672-6316</t>
  </si>
  <si>
    <t>1993-0321</t>
  </si>
  <si>
    <t>J MT SCI-ENGL</t>
  </si>
  <si>
    <t>J Mt. Sci.</t>
  </si>
  <si>
    <t>10.1007/s11629-021-6912-2</t>
  </si>
  <si>
    <t>WN0OV</t>
  </si>
  <si>
    <t>WOS:000711477100008</t>
  </si>
  <si>
    <t>Mo, ZX; Zeng, ZL; Huang, LK; Liu, LL; Huang, L; Zhou, L; Ren, C; He, HC</t>
  </si>
  <si>
    <t>Mo, Zhixiang; Zeng, Zhaoliang; Huang, Liangke; Liu, Lilong; Huang, Ling; Zhou, Lv; Ren, Chao; He, Hongchang</t>
  </si>
  <si>
    <t>Investigation of Antarctic Precipitable Water Vapor Variability and Trend from 18 Year (2001 to 2018) Data of Four Reanalyses Based on Radiosonde and GNSS Observations</t>
  </si>
  <si>
    <t>PWV; reanalyses; GNSS; radiosonde; Antarctica</t>
  </si>
  <si>
    <t>WEATHER PREDICTION MODEL; HIGH-QUALITY; GPS; SURFACE; DELAYS; TEMPERATURE; CIRCULATION; CHINA; ERA5</t>
  </si>
  <si>
    <t>Precipitable water vapor (PWV) plays a vital role in climate research, especially for Antarctica in which meteorological observations are insufficient due to the adverse climate and topography therein. Reanalysis data sets provide a great opportunity for Antarctic water vapor research. This study investigates the climatological PWV means, variability and trends over Antarctica from four reanalyses, including the fifth generation of European Centre for Medium-Range Weather Forecasts (ECMWF) Reanalysis (ERA5), the Second Modern-Era Retrospective analysis for Research and Applications (MERRA-2), Japanese 55-year Reanalysis (JRA-55) and National Centers for Environmental Prediction/Department of Energy (NCEP/DOE), in the period of 2001-2018 based on radiosonde and GNSS observations. PWV data from the ERA5, MERRA-2, JRA-55 and NCEP/DOE have been evaluated by radiosonde and GNSS observations, showing that ERA5 and MERRA-2 perform better than JRA-55 and NCEP/DOE with mean root mean square (RMS) errors below 1.2 mm. The climatological PWV mean distribution over Antarctica roughly shows a decreasing trend from west to east, with the highest content in summer and the lowest content in winter. The PWV variability is generally small over Antarctica, showing a seasonal dependence that is larger in the cold season and smaller in the warm season. PWV trends for all reanalyses at most Antarctic regions are insignificant and most reanalyses present overall drying trends from 2001 to 2018, except for ERA5 exhibiting a moistening trend. PWV trends also show seasonal and regional dependence. All reanalyses are generally consistent with radiosonde and GNSS observations in reproducing the PWV means (mean differences within 1.1 mm), variability (mean differences within 3%) and trends (mean differences within 6.4% decade(-1)) over Antarctica, except for NCEP/DOE showing spurious variability and trends in East Antarctica. Results can help us further understand these four reanalysis PWV products and promote climate research in Antarctica.</t>
  </si>
  <si>
    <t>[Mo, Zhixiang; Huang, Liangke; Liu, Lilong; Huang, Ling; Zhou, Lv; Ren, Chao; He, Hongchang] Guilin Univ Technol, Coll Geomat &amp; Geoinformat, Guilin 541004, Peoples R China; [Mo, Zhixiang; Huang, Liangke; Liu, Lilong; Huang, Ling; Zhou, Lv; Ren, Chao; He, Hongchang] Guangxi Key Lab Spatial Informat &amp; Geomat, Guilin 541004, Peoples R China; [Zeng, Zhaoliang] Wuhan Univ, Chinese Antarctic Ctr Surveying &amp; Mapping, Wuhan 430079, Peoples R China</t>
  </si>
  <si>
    <t>Guilin University of Technology; Wuhan University</t>
  </si>
  <si>
    <t>Huang, LK (corresponding author), Guilin Univ Technol, Coll Geomat &amp; Geoinformat, Guilin 541004, Peoples R China.;Huang, LK (corresponding author), Guangxi Key Lab Spatial Informat &amp; Geomat, Guilin 541004, Peoples R China.</t>
  </si>
  <si>
    <t>zxmo@glut.edu.cn; zhaoliang.zeng@whu.edu.cn; lkhuang@whu.edu.cn; lllong99@glut.edu.cn; linghuang@glut.edu.cn; zhoulv@glut.edu.cn; renchao@glut.edu.cn; hhe@glut.edu.cn</t>
  </si>
  <si>
    <t>wang, wenxin/JOZ-3291-2023; Ren, Chao/AFN-2244-2022; Huang, Liangke/CAG-3532-2022; zheng, xin/JNS-5523-2023; Li, Shuyao/JRY-8603-2023</t>
  </si>
  <si>
    <t>Ren, Chao/0000-0002-2591-6619; Zeng, Zhaoliang/0000-0002-9108-8575; Huang, Liangke/0000-0002-4241-3730; Zhou, Lv/0000-0002-9349-6265; Mo, Zhixiang/0000-0002-9400-2407</t>
  </si>
  <si>
    <t>National Natural Foundation of China [41864002, 41704027]; Guangxi Natural Science Foundation of China [2018GXNSFAA281182, 2018GXNSFAA281279, 2020GXNSFBA159033, 2020GXNSFBA297145]; Guangxi Science and Technology Base and Talent Project [AD19245060]; Guangxi Key Laboratory of Spatial Information and Geomatics [19-050-11-24]; Innovation Project of Guangxi Graduate Education [YCSW202109]; Ba Gui Scholars program of the provincial government of Guangxi</t>
  </si>
  <si>
    <t>National Natural Foundation of China(National Natural Science Foundation of China (NSFC)); Guangxi Natural Science Foundation of China; Guangxi Science and Technology Base and Talent Project; Guangxi Key Laboratory of Spatial Information and Geomatics; Innovation Project of Guangxi Graduate Education; Ba Gui Scholars program of the provincial government of Guangxi</t>
  </si>
  <si>
    <t>This research was funded by the National Natural Foundation of China (grant numbers: 41864002 and 41704027), Guangxi Natural Science Foundation of China (grant numbers: 2018GXNSFAA281182; 2018GXNSFAA281279; 2020GXNSFBA159033 and 2020GXNSFBA297145), Guangxi Science and Technology Base and Talent Project (grant number: AD19245060), the Guangxi Key Laboratory of Spatial Information and Geomatics (grant number: 19-050-11-24), Innovation Project of Guangxi Graduate Education (grant number: YCSW202109) and the Ba Gui Scholars program of the provincial government of Guangxi.</t>
  </si>
  <si>
    <t>10.3390/rs13193901</t>
  </si>
  <si>
    <t>WL7KM</t>
  </si>
  <si>
    <t>WOS:000710580200001</t>
  </si>
  <si>
    <t>van den Hoff, J; Carlyon, K; Emmerson, L; Mcmahon, CR; Miller, GD</t>
  </si>
  <si>
    <t>van den Hoff, John; Carlyon, Kris; Emmerson, Louise; Mcmahon, Clive R.; Miller, Gary D.</t>
  </si>
  <si>
    <t>PHILOPATRY, MATE FIDELITY, AND NEST-SITE FIDELITY FOR SOUTH POLAR SKUAS STERCORARIUS MACCORMICKI AT THE VESTFOLD HILLS, EAST ANTARCTICA</t>
  </si>
  <si>
    <t>MARINE ORNITHOLOGY</t>
  </si>
  <si>
    <t>disease; dispersal; human activity; immigration; philopatry</t>
  </si>
  <si>
    <t>CATHARACTA-MACCORMICKI; HEMISPHERE; SEABIRDS; WILDLIFE; DECLINE; REGION; ISLAND</t>
  </si>
  <si>
    <t>Antarctica experiences continual spatial and temporal expansions in human activities, but information to understand how resident species may be impacted is usually inadequate. We analysed resights of South Polar Skuas Stercorarius maccormicki that were individually marked with leg rings during 1999-2004 to compare breeding behaviours such as philopatry, adult mate fidelity, and site fidelity in the Vestfold Hills population, East Antarctica, with other regions. Despite their impressive dispersal capabilities, philopatry for birds resighted in the study area was within 4 km of the natal nest, and adult nest-fidelity was within 1 km of a previous nest site. Such faithfulness to site, combined with a life expectancy of &gt; 25 years, indicates that displacement of returning adults and offspring from established breeding habitat may be a slow process, perhaps at generational timescales. Mate fidelity for birds ringed as breeding pairs exceeded 10 years, with individuals of pairs who failed to return or skipped breeding for single or multiple seasons being readily replaced. Resights of marked individuals also showed the Vestfold Hills receives individual skuas from distant sources; hence, we can learn more about the role of this predatory, highly migratory species in the spread of disease across landscapes and between seabird species. This study extends our understanding of skua ecology and their high nest-site and mate fidelity. Findings suggesting that their capacity to relocate in response to human disturbance may be limited.</t>
  </si>
  <si>
    <t>[van den Hoff, John; Emmerson, Louise] Australian Antarct Div, GPO Box 858, Canberra, ACT 2601, Australia; [Carlyon, Kris] Dept Primary Ind, Marine Conservat Program, Parks,134 Macquarie St, Hobart, Tas 7000, Australia; [Mcmahon, Clive R.] Sydney Inst Marine Sci, IMOS Anim Tagging, 19 Chowder Bay Rd, Mosman, NSW 2088, Australia; [Miller, Gary D.] 9 Maddelena Court, Old Beach, Tas 7017, Australia</t>
  </si>
  <si>
    <t>Australian Antarctic Division; Sydney Institute of Marine Science</t>
  </si>
  <si>
    <t>van den Hoff, J (corresponding author), Australian Antarct Div, GPO Box 858, Canberra, ACT 2601, Australia.</t>
  </si>
  <si>
    <t>john_van@aad.gov.au</t>
  </si>
  <si>
    <t>McMahon, Clive R/D-5713-2013</t>
  </si>
  <si>
    <t>McMahon, Clive R/0000-0001-5241-8917</t>
  </si>
  <si>
    <t>Australian Antarctic Science projects [953, 1336, 4087, 4518]</t>
  </si>
  <si>
    <t>Australian Antarctic Science projects</t>
  </si>
  <si>
    <t>Fernando Arce, Nina Dehnhard, Vicki Heinrich, Nigel Howarth, Wade Lamberth, Tobias Staal, Kim Kliska, Marcus Salton, and Barbara Wienecke contributed sightings of ringed skuas. Joanne Watts, Annie Philips, and Robyn Mundy assisted GDM with capture, ringing, and resights. The Australian Antarctic Division provided logistical support for field work through Australian Antarctic Science projects 953, 1336, 4087, and 4518. Any close-proximity work with animals was approved by the Australian Antarctic Division's animal ethics committee. Toby Travers conjured Figure 1. We appreciate the efforts of M. Double, D. Ainley, and anonymous reviewers whose comments improved the paper.</t>
  </si>
  <si>
    <t>AFRICAN SEABIRD GROUP</t>
  </si>
  <si>
    <t>RHODES GIFT</t>
  </si>
  <si>
    <t>P. O. BOX 34113, RHODES GIFT, SOUTH AFRICA</t>
  </si>
  <si>
    <t>1018-3337</t>
  </si>
  <si>
    <t>2074-1235</t>
  </si>
  <si>
    <t>MAR ORNITHOL</t>
  </si>
  <si>
    <t>Mar. Ornithol.</t>
  </si>
  <si>
    <t>Marine &amp; Freshwater Biology; Ornithology</t>
  </si>
  <si>
    <t>Marine &amp; Freshwater Biology; Zoology</t>
  </si>
  <si>
    <t>WI5PA</t>
  </si>
  <si>
    <t>WOS:000708410700013</t>
  </si>
  <si>
    <t>Gorshkov, AG; Izosimova, ON; Kustova, OV; Marinaite, II; Galachyants, YP; Sinyukovich, VN; Khodzher, TV</t>
  </si>
  <si>
    <t>Gorshkov, Alexander G.; Izosimova, Oksana N.; Kustova, Olga, V; Marinaite, Irina I.; Galachyants, Yuri P.; Sinyukovich, Valery N.; Khodzher, Tamara, V</t>
  </si>
  <si>
    <t>Wildfires as a Source of PAHs in Surface Waters of Background Areas (Lake Baikal, Russia)</t>
  </si>
  <si>
    <t>wildfires; PAHs; water of Lake Baikal; ecological risk</t>
  </si>
  <si>
    <t>POLYCYCLIC AROMATIC-HYDROCARBONS; PERSISTENT ORGANOCHLORINE RESIDUES; FOREST-FIRES; ORGANIC POLLUTANTS; SOURCE APPORTIONMENT; CHANGING CLIMATE; RIVER; CONTAMINATION; MICROLAYER; SEDIMENTS</t>
  </si>
  <si>
    <t>Polycyclic aromatic hydrocarbons (PAHs) were detected in different types of PAH-containing samples collected in Lake Baikal during wildfires in the adjacent areas. The set of studied samples included the following: (i) water from the upper layer (5 m); (ii) water from the surface microlayer; (iii) water from the lake tributaries; (iv) water from deep layers (400 m); and (v) aerosol from the near-water layer. Ten PAHs were detected in the water samples: naphthalene, 1-methylnaphthalene, 2-methylnaphthalene acenaphthylene, acenaphthene, fluorene, phenanthrene, fluoranthene, pyrene, and chrysene. The total PAH concentrations (?PAHs) were detected in a wide range from 9.3 to 160 ng/L, characterizing by seasonal, intersessional, and spatial variability. In September 2016, the ?PAH concentration in the southern basin of the lake reached 610 ng/L in the upper water layer due to an increase in fluorene, phenanthrene, fluoranthene, and pyrene in the composition of the PAHs. In June 2019, Sigma PAHs in the water from the northern basin of the lake reached 290 ng/L, with the naphthalene and phenanthrene concentrations up to 170 ng/L and 92 ng/L, respectively. The calculation of back trajectories of the atmospheric transport near Lake Baikal, satellite images, and Sigma PAH concentrations in the surface water microlayer of 150 to 960 ng/L confirm the impact of wildfires on Lake Baikal, with which the seasonal increase in the Sigma PAH concentrations was associated in 2016 and 2019. The toxicity of PAHs detected in the water of the lake in extreme situations was characterized by the total value of the toxic equivalent for PAHs ranging from 0.17 to 0.22 ng/L, and a possible ecological risk of the impact on biota was assessed as moderate.</t>
  </si>
  <si>
    <t>[Gorshkov, Alexander G.; Izosimova, Oksana N.; Kustova, Olga, V; Marinaite, Irina I.; Galachyants, Yuri P.; Sinyukovich, Valery N.; Khodzher, Tamara, V] Russian Acad Sci, Limnol Inst, Siberian Branch, Ulan Batorskaya St 3, Irkutsk 664033, Russia</t>
  </si>
  <si>
    <t>Irkutsk Science Centre of the Russian Academy of Sciences; Russian Academy of Sciences; Limnological Institute SB RAS</t>
  </si>
  <si>
    <t>Gorshkov, AG (corresponding author), Russian Acad Sci, Limnol Inst, Siberian Branch, Ulan Batorskaya St 3, Irkutsk 664033, Russia.</t>
  </si>
  <si>
    <t>gorchkov_ag@mail.ru; smileoc@mail.ru; delete_21@mail.ru; marin@lin.irk.ru; yuri.galachyants@lin.irk.ru; sin@lin.irk.ru; khodzher@lin.irk.ru</t>
  </si>
  <si>
    <t>Galachyants, Yuri P/J-4633-2018; Gorshkov, Alexandre Georgievch/T-7587-2017</t>
  </si>
  <si>
    <t>Kustova, Olga/0000-0001-9087-4817; Marinaite, Irina/0000-0003-3856-420X</t>
  </si>
  <si>
    <t>Russian Federation [326]; [0279-2021-0005 (121032300224-8)]; [0279-2021-0014 (121032300199-9)]</t>
  </si>
  <si>
    <t>Russian Federation(Russian Federation); ;</t>
  </si>
  <si>
    <t>This study was carried out within the framework of the State Task, project No. 0279-2021-0005 (121032300224-8) and project No. 0279-2021-0014 (121032300199-9). Water sampling in the Arctic was carried out within the Russian Federation State Programme No. 326 of 15 September 2014 Organization and support of work and scientific research in the Arctic and Antarctic of the state program of the Russian Federation Environmental protection.</t>
  </si>
  <si>
    <t>10.3390/w13192636</t>
  </si>
  <si>
    <t>WI3KC</t>
  </si>
  <si>
    <t>WOS:000708262600001</t>
  </si>
  <si>
    <t>Agrelo, M; Daura-Jorge, FG; Rowntree, VJ; Sironi, M; Hammond, PS; Ingram, SN; Marón, CF; Vilches, FO; Seger, J; Payne, R; Simoes-Lopes, PC</t>
  </si>
  <si>
    <t>Agrelo, Macarena; Daura-Jorge, Fabio G.; Rowntree, Victoria J.; Sironi, Mariano; Hammond, Philip S.; Ingram, Simon N.; Maron, Carina F.; Vilches, Florencia O.; Seger, Jon; Payne, Roger; Simoes-Lopes, Paulo C.</t>
  </si>
  <si>
    <t>Ocean warming threatens southern right whale population recovery</t>
  </si>
  <si>
    <t>SEQUENTIAL MEGAFAUNAL COLLAPSE; EUBALAENA-AUSTRALIS; ANTARCTIC KRILL; BALEEN WHALES; EL-NINO; ECOSYSTEM; SEA; TRANSPORT; SURVIVAL; INCREASE</t>
  </si>
  <si>
    <t>Whales contribute to marine ecosystem functioning, and they may play a role in mitigating climate change and supporting the Antarctic krill (Euphausia superba) population, a keystone prey species that sustains the entire Southern Ocean (SO) ecosystem. By analyzing a five-decade (1971-2017) data series of individual southern right whales (SRWs; Eubalaena australis) photo-identified at Peninsula Valdes, Argentina, we found a marked increase in whale mortality rates following El Nino events. By modeling how the population responds to changes in the frequency and intensity of El Nino events, we found that such events are likely to impede SRW population recovery and could even cause population decline. Such outcomes have the potential to disrupt food-web interactions in the SO, weakening that ecosystem's contribution to the mitigation of climate change at a global scale.</t>
  </si>
  <si>
    <t>[Agrelo, Macarena; Daura-Jorge, Fabio G.; Simoes-Lopes, Paulo C.] Univ Fed Santa Catarina, Dept Ecol &amp; Zool, Lab Mamiferos Aquat, Programa Posgrad Ecol, Florianopolis, SC, Brazil; [Agrelo, Macarena; Sironi, Mariano; Maron, Carina F.; Vilches, Florencia O.] Inst Conservac Ballenas, OHiggins 4380, RA-1429 Buenos Aires, DF, Argentina; [Rowntree, Victoria J.; Payne, Roger] Ocean Alliance, 32 Horton St, Gloucester, MA 01930 USA; [Rowntree, Victoria J.; Seger, Jon] Univ Utah, Sch Biol Sci, Salt Lake City, UT 84112 USA; [Sironi, Mariano; Maron, Carina F.] Univ Nacl Cordoba, Fac Ciencias Exactas Fis &amp; Nat FCEFyN, RA-5000 Cordoba, Argentina; [Hammond, Philip S.] Univ St Andrews, Sea Mammal Res Unit, Scottish Oceans Inst, St Andrews KY16 8LB, Fife, Scotland; [Ingram, Simon N.] Univ Plymouth, Sch Biol &amp; Marine Sci, Plymouth PL4 8AA, Devon, England; [Vilches, Florencia O.] Univ Calif Santa Cruz, Dept Ecol &amp; Evolutionary Biol, Santa Cruz, CA 95064 USA</t>
  </si>
  <si>
    <t>Universidade Federal de Santa Catarina (UFSC); Utah System of Higher Education; University of Utah; National University of Cordoba; University of St Andrews; University of Plymouth; University of California System; University of California Santa Cruz</t>
  </si>
  <si>
    <t>Agrelo, M (corresponding author), Univ Fed Santa Catarina, Dept Ecol &amp; Zool, Lab Mamiferos Aquat, Programa Posgrad Ecol, Florianopolis, SC, Brazil.;Agrelo, M (corresponding author), Inst Conservac Ballenas, OHiggins 4380, RA-1429 Buenos Aires, DF, Argentina.</t>
  </si>
  <si>
    <t>maca.agrelo@gmail.com</t>
  </si>
  <si>
    <t>Simões-Lopes, P. C./AAC-8562-2020</t>
  </si>
  <si>
    <t>Simões-Lopes, P. C./0000-0002-7338-3669; Seger, Jon/0000-0001-5324-4840; Agrelo, Macarena/0000-0001-8251-2584; Ingram, Simon/0000-0002-2959-1647; Goncalves Daura-Jorge, Fabio/0000-0003-2923-1446; Hammond, Philip/0000-0002-2381-8302; Vilches, Florencia/0000-0002-8582-5532</t>
  </si>
  <si>
    <t>CAPES doctoral scholarship; CAPES-PRINT grant [88887.370641/2019-00]; CNPQ research grant [305573/2013-6]; CNPQ [407190/2012-0]; Ocean Alliance; Instituto de Conservacion de Ballenas; Wildlife Conservation Society; National Geographic Society; World Wildlife Fund; Alfredo Fortabat Foundation; Turner Foundation; Canadian Whale Institute</t>
  </si>
  <si>
    <t>CAPES doctoral scholarship(Coordenacao de Aperfeicoamento de Pessoal de Nivel Superior (CAPES)); CAPES-PRINT grant; CNPQ research grant(Conselho Nacional de Desenvolvimento Cientifico e Tecnologico (CNPQ)Fundacao de Apoio a Pesquisa do Distrito Federal (FAPDF)); CNPQ(Conselho Nacional de Desenvolvimento Cientifico e Tecnologico (CNPQ)); Ocean Alliance; Instituto de Conservacion de Ballenas; Wildlife Conservation Society; National Geographic Society(National Geographic Society); World Wildlife Fund; Alfredo Fortabat Foundation; Turner Foundation; Canadian Whale Institute</t>
  </si>
  <si>
    <t>This work was supported by CAPES doctoral scholarship (M.A.), CAPES-PRINT grant 88887.370641/2019-00 (M.A.), CNPQ research grant 305573/2013-6 (P.C.S.-L.), and CNPQ research grant 407190/2012-0 (F.G.D.-J.). Funding for aerial surveys since 1971 was provided by numerous donors through Ocean Alliance and Instituto de Conservacion de Ballenas such as Wildlife Conservation Society, National Geographic Society, World Wildlife Fund, Alfredo Fortabat Foundation, Turner Foundation, Canadian Whale Institute, I. Kerr, A. L. de Fortabat, S. Haney, A. and J. Moss, A. Morse, P. Singh, P. Logan, N. Griffis, and C. Walcott. Extended acknowledgments can be found in the Supplementary Materials.</t>
  </si>
  <si>
    <t>eabh2823</t>
  </si>
  <si>
    <t>10.1126/sciadv.abh2823</t>
  </si>
  <si>
    <t>WH3GV</t>
  </si>
  <si>
    <t>WOS:000707571700017</t>
  </si>
  <si>
    <t>Thompson, SP; Kennedy, H; Butler, BM; Day, SJ; Safi, E; Evans, A</t>
  </si>
  <si>
    <t>Thompson, Stephen P.; Kennedy, Hilary; Butler, Benjamin M.; Day, Sarah J.; Safi, Emmal; Evans, Aneurin</t>
  </si>
  <si>
    <t>Laboratory exploration of mineral precipitates from Europa's subsurface ocean</t>
  </si>
  <si>
    <t>JOURNAL OF APPLIED CRYSTALLOGRAPHY</t>
  </si>
  <si>
    <t>Europa; icy moons; low-temperature mineral precipitation; ocean worlds; long-duration studies</t>
  </si>
  <si>
    <t>AMORPHOUS CALCIUM-CARBONATE; ANTARCTIC SEA-ICE; POWDER DIFFRACTION; CHEMICAL EVOLUTION; INTERNAL STRUCTURE; HYDROTHERMAL SYSTEMS; SUBZERO TEMPERATURES; GALILEAN SATELLITES; BRINES IMPLICATIONS; JUPITERS SATELLITE</t>
  </si>
  <si>
    <t>The precipitation of hydrated phases from a chondrite-like Na-Mg-Ca-SO4-Cl solution is studied using in situ synchrotron X-ray powder diffraction, under rapid-(360 K h(-1), T = 250-80 K, t = 3 h) and ultra-slow-freezing (0.3 K day(-1), T = 273-245 K, t = 242 days) conditions. The precipitation sequence under slow cooling initially follows the predictions of equlibrium thermodynamics models. However, after similar to 50 days at 245 K, the formation of the highly hydrated sulfate phase Na2Mg(SO4)(2)center dot 16H(2)O, a relatively recent discovery in the Na2Mg(SO4)(2)H2O system, was observed. Rapid freezing, on the other hand, produced an assemblage of multiple phases which formed within a very short timescale (&lt;= 4 min, Delta T = 2 K) and, although remaining present throughout, varied in their relative proportions with decreasing temperature. Mirabilite and meridianiite were the major phases, with pentahydrite, epsomite, hydrohalite, gypsum, blodite, konyaite and loweite also observed. Na2Mg(SO4)(2)center dot 16H(2)O was again found to be present and increased in proportion relative to other phases as the temperature decreased. The results are discussed in relation to possible implications for life on Europa and application to other icy ocean worlds.</t>
  </si>
  <si>
    <t>[Thompson, Stephen P.; Day, Sarah J.; Safi, Emmal] Diamond Light Source, Harwell Sci &amp; Innovat Campus, Didcot OX11 0DE, Oxon, England; [Kennedy, Hilary] Bangor Univ, Sch Ocean Sci, Menai Bridge LL59 5AB, Anglesey, Wales; [Butler, Benjamin M.] James Hutton Inst, Environm &amp; Biochem Sci, Aberdeen AB15 8QH, Scotland; [Safi, Emmal; Evans, Aneurin] Keele Univ, Lennard Jones Labs, Astrophys Grp, Keele ST5 5BG, Staffs, England</t>
  </si>
  <si>
    <t>Diamond Light Source; Bangor University; James Hutton Institute; Keele University</t>
  </si>
  <si>
    <t>Thompson, SP (corresponding author), Diamond Light Source, Harwell Sci &amp; Innovat Campus, Didcot OX11 0DE, Oxon, England.</t>
  </si>
  <si>
    <t>stephen.thompson@diamond.ac.uk</t>
  </si>
  <si>
    <t>Kennedy, Hilary/M-5574-2014</t>
  </si>
  <si>
    <t>Kennedy, Hilary/0000-0003-2290-2120; Butler, Benjamin/0000-0002-7834-1820</t>
  </si>
  <si>
    <t>NERC Algorithm Studentship [NE/K501013]; Macaulay Development Trust Fellowship [MDT-50]; Diamond Light Source; Keele University</t>
  </si>
  <si>
    <t>NERC Algorithm Studentship; Macaulay Development Trust Fellowship; Diamond Light Source; Keele University</t>
  </si>
  <si>
    <t>BMB was supported by a NERC Algorithm Studentship (NE/K501013) and a Macaulay Development Trust Fellowship (MDT-50). ES acknowledges Diamond Light Source and Keele University for financial support.</t>
  </si>
  <si>
    <t>INT UNION CRYSTALLOGRAPHY</t>
  </si>
  <si>
    <t>CHESTER</t>
  </si>
  <si>
    <t>2 ABBEY SQ, CHESTER, CH1 2HU, ENGLAND</t>
  </si>
  <si>
    <t>1600-5767</t>
  </si>
  <si>
    <t>J APPL CRYSTALLOGR</t>
  </si>
  <si>
    <t>J. Appl. Crystallogr.</t>
  </si>
  <si>
    <t>10.1107/S1600576721008554</t>
  </si>
  <si>
    <t>Chemistry, Multidisciplinary; Crystallography</t>
  </si>
  <si>
    <t>Chemistry; Crystallography</t>
  </si>
  <si>
    <t>WD9MB</t>
  </si>
  <si>
    <t>WOS:000705255400017</t>
  </si>
  <si>
    <t>Sakai, HD; Matsuda, R; Imura, S; Kurosawa, N</t>
  </si>
  <si>
    <t>Sakai, Hiroyuki D.; Matsuda, Ryo; Imura, Satoshi; Kurosawa, Norio</t>
  </si>
  <si>
    <t>Complete Genome and Plasmid Sequences of the Psychrotolerant Aureimonas Strain SA4125, Isolated from Antarctic Moss Vegetation</t>
  </si>
  <si>
    <t>MICROBIOLOGY RESOURCE ANNOUNCEMENTS</t>
  </si>
  <si>
    <t>SP-NOV.</t>
  </si>
  <si>
    <t>The complete genome sequences of Aureimonas sp. strain SA4125 and its native plasmid pSA4125 were determined. The genome sequence comprises 4,968,066 bp, with a GC content of 66.0%, and contains 4,691 coding DNA sequences (CDSs), 3 rRNA operons, and 50 tRNAs. The native plasmid comprises 131,777 bp, with a GC content of 62.3%, and contains 138 CDSs.</t>
  </si>
  <si>
    <t>[Sakai, Hiroyuki D.; Kurosawa, Norio] Soka Univ, Fac Sci &amp; Engn, Dept Sci &amp; Engn Sustainable Innovat, Hachioji, Tokyo, Japan; [Matsuda, Ryo; Kurosawa, Norio] Soka Univ, Grad Sch Sci &amp; Engn, Dept Environm Engn Symbiosis, Hachioji, Tokyo, Japan; [Imura, Satoshi] Res Org Informat &amp; Syst, Natl Inst Polar Res, Tokyo, Japan; [Imura, Satoshi] Grad Univ Adv Studies, Sch Multidisciplinary Sci, Dept Polar Sci, SOKENDAI, Tokyo, Japan</t>
  </si>
  <si>
    <t>Soka University; Soka University; Research Organization of Information &amp; Systems (ROIS); National Institute of Polar Research (NIPR) - Japan; Graduate University for Advanced Studies - Japan</t>
  </si>
  <si>
    <t>Kurosawa, N (corresponding author), Soka Univ, Fac Sci &amp; Engn, Dept Sci &amp; Engn Sustainable Innovat, Hachioji, Tokyo, Japan.;Kurosawa, N (corresponding author), Soka Univ, Grad Sch Sci &amp; Engn, Dept Environm Engn Symbiosis, Hachioji, Tokyo, Japan.</t>
  </si>
  <si>
    <t>kurosawa@soka.ac.jp</t>
  </si>
  <si>
    <t>Imura, Satoshi/0000-0002-6803-6996; Kurosawa, Norio/0000-0001-5095-2104; Sakai, Hiroyuki/0000-0003-3583-0285; Matsuda, Ryo/0000-0001-9312-2231</t>
  </si>
  <si>
    <t>National Institute of Polar Research (NIPR) through the General Collaboration Project [22-20]</t>
  </si>
  <si>
    <t>National Institute of Polar Research (NIPR) through the General Collaboration Project</t>
  </si>
  <si>
    <t>We acknowledge the members of the 45th Japanese Antarctic Research Expedition, especially the terrestrial biology team members, for their field support. This work was supported by the National Institute of Polar Research (NIPR) through the General Collaboration Project (number 22-20) to N.K.</t>
  </si>
  <si>
    <t>2576-098X</t>
  </si>
  <si>
    <t>MICROBIOL RESOUR ANN</t>
  </si>
  <si>
    <t>Microbiol. Resour. Ann.</t>
  </si>
  <si>
    <t>e00878-21</t>
  </si>
  <si>
    <t>10.1128/MRA.00878-21</t>
  </si>
  <si>
    <t>WI4DX</t>
  </si>
  <si>
    <t>WOS:000708314100014</t>
  </si>
  <si>
    <t>Zahri, KNM; Gomez-Fuentes, C; Sabri, S; Zulkharnain, A; Khalil, KA; Lim, S; Ahmad, SA</t>
  </si>
  <si>
    <t>Zahri, Khadijah Nabilah Mohd; Gomez-Fuentes, Claudio; Sabri, Suriana; Zulkharnain, Azham; Khalil, Khalilah Abdul; Lim, Sooa; Ahmad, Siti Aqlima</t>
  </si>
  <si>
    <t>Evaluation of Heavy Metal Tolerance Level of the Antarctic Bacterial Community in Biodegradation of Waste Canola Oil</t>
  </si>
  <si>
    <t>SUSTAINABILITY</t>
  </si>
  <si>
    <t>heavy metals; biodegradation; canola oil; Antarctic; bacteria; dose response</t>
  </si>
  <si>
    <t>RESISTANCE; TOXICITY; CONTAMINATION; POLLUTION; CADMIUM; STRESS; DIESEL; LEAD</t>
  </si>
  <si>
    <t>Heavy metal contamination is accidentally becoming prevalent in Antarctica, one of the world's most pristine regions. Anthropogenic as well as natural causes can result in heavy metal contamination. Each heavy metal has a different toxic effect on various microorganisms and species, which can interfere with other pollutant bioremediation processes. This study focused on the effect of co-contaminant heavy metals on waste canola oil (WCO) biodegradation by the BS14 bacterial community collected from Antarctic soil. The toxicity of different heavy metals in 1 ppm of concentration to the WCO-degrading bacteria was evaluated and further analyzed using half maximal inhibition concentration (IC50) and effective concentration (EC50) tests. The results obtained indicated that Ag and Hg significantly impeded bacterial growth and degradation of WCO, while interestingly, Cr, As, and Pb had the opposite effect. Meanwhile, Cd, Al, Zn, Ni, Co, and Cu only slightly inhibited the bacterial community in WCO biodegradation. The IC50 values of Ag and Hg for WCO degradation were found to be 0.47 and 0.54 ppm, respectively. Meanwhile, Cr, As, and Pb were well-tolerated and induced bacterial growth and WCO degradation, resulting in the EC50 values of 3.00, 23.80, and 28.98 ppm, respectively. The ability of the BS14 community to tolerate heavy metals while biodegrading WCO in low-temperature conditions was successfully confirmed, which is a crucial aspect in biodegrading oil due to the co-contamination of oil and heavy metals that can occur simultaneously, and at the same time it can be applied in heavy metal-contaminated areas.</t>
  </si>
  <si>
    <t>[Zahri, Khadijah Nabilah Mohd; Ahmad, Siti Aqlima] Univ Putra Malaysia, Fac Biotechnol &amp; Biomol Sci, Dept Biochem, Serdang 43400, Selangor, Malaysia; [Gomez-Fuentes, Claudio] Univ Magallanes, Dept Chem Engn, Ave Bulnes, Punta Arenas 01855, Chile; [Gomez-Fuentes, Claudio; Ahmad, Siti Aqlima] Univ Magallanes, Ctr Res &amp; Antarctic Environm Monitoring CIMAA, Ave Bulnes, Punta Arenas 01855, Chile; [Sabri, Suriana] Univ Putra Malaysia, Fac Biotechnol &amp; Biomol Sci, Dept Microbiol, Serdang 43400, Selangor, Malaysia; [Zulkharnain, Azham] Shibaura Inst Technol, Coll Syst Engn &amp; Sci, Dept Biosci &amp; Engn, Minuma Ku, 307 Fukasaku, Saitama 3378570, Japan; [Khalil, Khalilah Abdul] Univ Teknol MARA, Fac Appl Sci, Sch Biol, Sect 2, Shah Alam 45000, Selangor, Malaysia; [Lim, Sooa] Hoseo Univ, Dept Pharmaceut Engn, Asan 31499, Chungnam, South Korea</t>
  </si>
  <si>
    <t>Universiti Putra Malaysia; Universidad de Magallanes; Universidad de Magallanes; Universiti Putra Malaysia; Shibaura Institute of Technology; Universiti Teknologi MARA; Hoseo University</t>
  </si>
  <si>
    <t>Ahmad, SA (corresponding author), Univ Putra Malaysia, Fac Biotechnol &amp; Biomol Sci, Dept Biochem, Serdang 43400, Selangor, Malaysia.;Ahmad, SA (corresponding author), Univ Magallanes, Ctr Res &amp; Antarctic Environm Monitoring CIMAA, Ave Bulnes, Punta Arenas 01855, Chile.</t>
  </si>
  <si>
    <t>khadijahnabilah95@gmail.com; claudio.gomez@umag.cl; suriana@upm.edu.my; azham@shibaura-it.ac.jp; khali552@uitm.edu.my; salim0609@hoseo.edu; aqlima@upm.edu.my</t>
  </si>
  <si>
    <t>Zahri, Khadijah Nabilah Mohd/AEQ-4594-2022; Gomez-Fuentes, Claudio/ACN-8984-2022</t>
  </si>
  <si>
    <t>Gomez-Fuentes, Claudio/0000-0001-9060-7727; Sabri, Suriana/0000-0003-4027-5730; Zulkharnain, Azham/0000-0001-9173-8171; Zahri, Khadijah/0009-0000-2963-3109; Ahmad, Siti Aqlima/0000-0002-7625-3704</t>
  </si>
  <si>
    <t>Putra-IPM fund [GPM-2018/9660000, GPM-2019/9678900]; Sultan Mizan Antarctic Research Foundation (YPASM) [6300247]; National Research Foundation of Korea (NRF) - Korea government (MSIT) [2021R1G1A1010154]; Centro de Investigacion y Monitoreo Ambiental Antarctico (CIMAA)</t>
  </si>
  <si>
    <t>Putra-IPM fund; Sultan Mizan Antarctic Research Foundation (YPASM); National Research Foundation of Korea (NRF) - Korea government (MSIT)(National Research Foundation of KoreaMinistry of Science, ICT &amp; Future Planning, Republic of KoreaMinistry of Science &amp; ICT (MSIT), Republic of Korea); Centro de Investigacion y Monitoreo Ambiental Antarctico (CIMAA)</t>
  </si>
  <si>
    <t>This project was financially supported by the Putra-IPM fund under the research grant attached to S.A. Ahmad (GPM-2018/9660000, GPM-2019/9678900) disbursed by Universiti Putra Malaysia (UPM) and YPASM Smart Partnership Initiative (6300247) by the Sultan Mizan Antarctic Research Foundation (YPASM). S. Lim is supported by the National Research Foundation of Korea (NRF) grant (No. 2021R1G1A1010154) funded by the Korea government (MSIT). C.G. Fuentes is supported by the Centro de Investigacion y Monitoreo Ambiental Antarctico (CIMAA).</t>
  </si>
  <si>
    <t>2071-1050</t>
  </si>
  <si>
    <t>SUSTAINABILITY-BASEL</t>
  </si>
  <si>
    <t>Sustainability</t>
  </si>
  <si>
    <t>10.3390/su131910749</t>
  </si>
  <si>
    <t>WI0RT</t>
  </si>
  <si>
    <t>WOS:000708075400001</t>
  </si>
  <si>
    <t>Borges, AKM; Oliveira, TPR; Rosa, IL; Braga-Pereira, F; Ramos, HAC; Rocha, LA; Alves, RRN</t>
  </si>
  <si>
    <t>Borges, Anna Karolina Martins; Oliveira, Tacyana Pereira Ribeiro; Rosa, Ierece Lucena; Braga-Pereira, Franciany; Ramos, Henrique Anatole Cardoso; Rocha, Luiz Alves; Alves, Romulo Romeu Nobrega</t>
  </si>
  <si>
    <t>Caught in the (inter)net: Online trade of ornamental fish in Brazil</t>
  </si>
  <si>
    <t>Facebook; Fishkeeping; Illegal trade; Online ads; Social networks</t>
  </si>
  <si>
    <t>ILLEGAL TRADE; MARINE; CONSERVATION; RARITY; AQUACULTURE; CHALLENGES; ORCHIDS; DEMAND; TOOL</t>
  </si>
  <si>
    <t>Social media platforms have increasingly played an influential role in boosting the online wildlife trade, by providing an easily accessible way to share information, advertise specimens, and arrange sales. We investigate how the online trade in freshwater and marine fishes for ornamental purposes operates through social media in Brazil, aiming to gain an understanding of the characteristics of that trade, and of the actors operating in it. A six-month monitoring of advertisements posted on Facebook groups was conducted, through which we recorded 1121 posts announcing the sale of ornamental fishes, totaling 5005 specimens belonging to at least 608 species, 66% of which were non-native to Brazil and 25% forbidden to be traded by national legislation. For freshwater fishes, native species were the most advertised and at a lower number of specimens/ad than marine fishes, which, conversely, mostly comprised non-native species. We found that higher prices were associated with non-native, prohibited, and large-sized species. Brazil is both an important commercial market for ornamental fishes, and one of the top countries for the use of social networks. Therefore, it may lend itself as a useful case-study that can help increase our general understanding of the functioning of the online wildlife trade. The high number of ads and species involved recorded, coupled with the potential offered by the online trade to increase unmonitored and unregulated sales are significant issues that need to be addressed by national environmental agencies and social media platforms.</t>
  </si>
  <si>
    <t>[Borges, Anna Karolina Martins; Braga-Pereira, Franciany; Alves, Romulo Romeu Nobrega] Univ Fed Paraiba, Dept Sistemat &amp; Ecol, Programa Posgrad Ciencias Biol, BR-58059970 Joao Pessoa, Paraiba, Brazil; [Borges, Anna Karolina Martins; Alves, Romulo Romeu Nobrega] Univ Fed Rural Pernambuco, Dept Biol, Programa Posgrad Etnobiol &amp; Conservacao Nat, BR-52171900 Recife, PE, Brazil; [Oliveira, Tacyana Pereira Ribeiro] Univ Estadual Paraiba, Ctr Ciencias Biol &amp; Sociais Aplicadas, BR-58071160 Joao Pessoa, Paraiba, Brazil; [Rosa, Ierece Lucena] Univ Fed Paraiba, Dept Sistemat &amp; Ecol, BR-58059970 Joao Pessoa, Paraiba, Brazil; [Braga-Pereira, Franciany] Rede Pesquisa Estudos Diversidade Conservacao &amp; U, Manaus, Amazonas, Brazil; [Braga-Pereira, Franciany] Univ Autonoma Barcelona, Inst Ciencia &amp; Tecnol Ambientals, Barcelona, Catalonia, Spain; [Ramos, Henrique Anatole Cardoso] Commiss Conservat Antarctic Marine Living Resourc, Hobart, Tas 7000, Australia; [Rocha, Luiz Alves] Calif Acad Sci, Dept Ichthyol, San Francisco, CA 94118 USA; [Alves, Romulo Romeu Nobrega] Univ Estadual Paraiba, Dept Biol, BR-58109753 Campina Grande, Paraiba, Brazil</t>
  </si>
  <si>
    <t>Universidade Federal da Paraiba; Universidade Federal Rural de Pernambuco (UFRPE); Universidade Estadual da Paraiba; Universidade Federal da Paraiba; Autonomous University of Barcelona; California Academy of Sciences; Universidade Estadual da Paraiba</t>
  </si>
  <si>
    <t>Borges, AKM (corresponding author), Univ Fed Paraiba, Dept Sistemat &amp; Ecol, BR-58059970 Joao Pessoa, Paraiba, Brazil.</t>
  </si>
  <si>
    <t>karolm26@hotmail.com</t>
  </si>
  <si>
    <t>Alves, Romulo/A-7026-2009; Borges, Anna Karolina Martins/Y-7945-2019; Borges, Anna Karolina Martins/ISV-0788-2023; Rosa, Ierece L/C-5707-2013; Oliveira, Tacyana/I-4197-2012</t>
  </si>
  <si>
    <t>Alves, Romulo/0000-0001-6824-0797; Borges, Anna Karolina Martins/0000-0003-4985-9927; Oliveira, Tacyana/0000-0001-7601-188X; Braga-Pereira, Franciany/0000-0002-7848-2850</t>
  </si>
  <si>
    <t>National Council for Scientific and Technological Development (CNPq) [130751/2018-9]; National Council for Scientific and Technological Development (CNPq); Brazilian National Council for Scientific and Technological Development (CNPq) [422041/2018-1]</t>
  </si>
  <si>
    <t>National Council for Scientific and Technological Development (CNPq)(Conselho Nacional de Desenvolvimento Cientifico e Tecnologico (CNPQ)); National Council for Scientific and Technological Development (CNPq)(Conselho Nacional de Desenvolvimento Cientifico e Tecnologico (CNPQ)); Brazilian National Council for Scientific and Technological Development (CNPq)(Conselho Nacional de Desenvolvimento Cientifico e Tecnologico (CNPQ))</t>
  </si>
  <si>
    <t>AKMB was supported by an MSc scholarship granted by the National Council for Scientific and Technological Development (CNPq, 130751/2018-9). RRNA is supported by a productivity research grant of National Council for Scientific and Technological Development (CNPq). This study was supported in part by Brazilian National Council for Scientific and Technological Development (CNPq; grant 422041/2018-1).</t>
  </si>
  <si>
    <t>10.1016/j.biocon.2021.109344</t>
  </si>
  <si>
    <t>WD4MP</t>
  </si>
  <si>
    <t>WOS:000704917200010</t>
  </si>
  <si>
    <t>Ishiwa, T; Okuno, J; Suganuma, Y</t>
  </si>
  <si>
    <t>Ishiwa, Takeshige; Okuno, Jun'ichi; Suganuma, Yusuke</t>
  </si>
  <si>
    <t>Excess ice loads in the Indian Ocean sector of East Antarctica during the last glacial period</t>
  </si>
  <si>
    <t>SEA-LEVEL CHANGE; LUTZOW-HOLM BAY; ISOSTATIC-ADJUSTMENT; ISOTOPE STAGE-3; HISTORY; SHEET; DEGLACIATION; MOUNTAINS; MELTWATER; MAXIMUM</t>
  </si>
  <si>
    <t>An accurate reconstruction of the Antarctic Ice Sheet is essential in order to develop an understanding of ice-sheet responses to global climate changes. However, the erosive nature of ice-sheet expansion and the difficulty of accessing much of Antarctica make it challenging to obtain field-based evidence of ice-sheet and sea-level changes before the Last Glacial Maximum. Limited sedimentary records from Lutzow-Holm and Prydz Bays in East Antarctica demonstrate that the sea level during Marine Isotope Stage 3 was close to the present level despite the global sea-level drop lower than -40 m. We demonstrate glacial isostatic adjustment modeling with refined Antarctic Ice Sheet loading histories. Our experiments reveal that the Indian Ocean sector of the Antarctic Ice Sheet would have been required to experience excess ice loads before the Last Glacial Maximum in order to explain the observed sea-level highstands during Marine Isotope Stage 3. As such, we suggest that the Antarctic Ice Sheet partly reached its maximum thickness before the global Last Glacial Maximum.</t>
  </si>
  <si>
    <t>[Ishiwa, Takeshige; Okuno, Jun'ichi; Suganuma, Yusuke] Natl Inst Polar Res, 10-3 Midoricho, Tachikawa, Tokyo 1908518, Japan; [Okuno, Jun'ichi; Suganuma, Yusuke] Grad Univ Adv Studies SOKENDAI, Sch Multidisciplinary Sci, Dept Polar Res Sci, 10-3 Midoricho, Tachikawa, Tokyo 1908518, Japan</t>
  </si>
  <si>
    <t>Research Organization of Information &amp; Systems (ROIS); National Institute of Polar Research (NIPR) - Japan; Graduate University for Advanced Studies - Japan</t>
  </si>
  <si>
    <t>Ishiwa, T (corresponding author), Natl Inst Polar Res, 10-3 Midoricho, Tachikawa, Tokyo 1908518, Japan.</t>
  </si>
  <si>
    <t>Ishiwa, Takeshige/AAH-6406-2021</t>
  </si>
  <si>
    <t>Ishiwa, Takeshige/0000-0002-7566-4421</t>
  </si>
  <si>
    <t>Japan Society for the Promotion of Science (JSPS) grant KAKENHI [18K13621, 16H05739, 19H00728]; TOREY Science Foundation (Japan); JSPS [17H06321]; National Institute of Polar Research; Grants-in-Aid for Scientific Research [16H05739, 19H00728, 21H01173, 21K03685, 18K13621, 17H06321] Funding Source: KAKEN</t>
  </si>
  <si>
    <t>Japan Society for the Promotion of Science (JSPS) grant KAKENHI(Ministry of Education, Culture, Sports, Science and Technology, Japan (MEXT)Japan Society for the Promotion of ScienceGrants-in-Aid for Scientific Research (KAKENHI)); TOREY Science Foundation (Japan); JSPS(Ministry of Education, Culture, Sports, Science and Technology, Japan (MEXT)Japan Society for the Promotion of Science); National Institute of Polar Research(National Institute of Polar Research (NIPR) - Japan); Grants-in-Aid for Scientific Research(Ministry of Education, Culture, Sports, Science and Technology, Japan (MEXT)Japan Society for the Promotion of ScienceGrants-in-Aid for Scientific Research (KAKENHI))</t>
  </si>
  <si>
    <t>This research was funded by the Japan Society for the Promotion of Science (JSPS) grant KAKENHI 18K13621 (to T. Ishiwa), grant 16H05739 (to Y. Suganuma), and grant 19H00728 (to Y. Suganuma); the TOREY Science Foundation (Japan) to Y. Suganuma; and the JSPS Giant Reservoirs-Antarctic program (grant 17H06321). Pippa Whitehouse and Hideki Miura provided useful feedback on this paper. We appreciate the anonymous reviewers and Evan Gowan for reviewing the manuscript and giving valuable comments. We thank Editage (www.editage.com) for English language editing. The production of this paper was supported by a National Institute of Polar Research publication subsidy.</t>
  </si>
  <si>
    <t>10.1130/G48830.1</t>
  </si>
  <si>
    <t>WD6YL</t>
  </si>
  <si>
    <t>WOS:000705084600006</t>
  </si>
  <si>
    <t>Yang, QK; Wu, XQ; Wu, S; Han, YJ; Su, CD; Zhang, ST; Qing, C</t>
  </si>
  <si>
    <t>Yang, Qike; Wu, Xiaoqing; Wu, Su; Han, Yajuan; Su, Changdong; Zhang, Shitai; Qing, Chun</t>
  </si>
  <si>
    <t>Simple method to estimate the optical turbulence over snow and ice</t>
  </si>
  <si>
    <t>JOURNAL OF THE OPTICAL SOCIETY OF AMERICA A-OPTICS IMAGE SCIENCE AND VISION</t>
  </si>
  <si>
    <t>DOME-C; BOUNDARY-LAYER; SURFACE-LAYER; SEA-ICE; SIMULATIONS; ANTARCTICA; ASTRONOMY; SCALE</t>
  </si>
  <si>
    <t>A simple physics-based method for estimating optical turbulence (Cn2) within the surface layer over snow and ice is proposed, using the Tatarski equation with an improved outer scale model. This improved outer scale model mainly requires the calculation of the wind shear and temperature gradients. Based on the measurements from a mobile polar atmospheric parameter measurement system at the Antarctic Taishan Station in 2014, Cn2 was estimated using two methods: the Tatarski equation and the Monin-Obukhov similarity (MOS) theory. Compared with 16 days of measurements from a micro-thermometer, the correlation coefficient of log10( Cn2) estimated by the Tatarski equa-tion is 0.72, which is a slightly more accurate Cn2 variation in trend and magnitude than the MOS theory. The results suggest that this simple method has potential value for the forecasting applications of optical turbulence. (c) 2021 Optical Society of America</t>
  </si>
  <si>
    <t>[Yang, Qike; Wu, Xiaoqing; Wu, Su; Han, Yajuan; Su, Changdong; Zhang, Shitai; Qing, Chun] Chinese Acad Sci, Anhui Inst Opt &amp; Fine Mech, Key Lab Atmospher Opt, HFIPS, Hefei 230031, Peoples R China; [Yang, Qike; Wu, Su; Han, Yajuan; Su, Changdong; Zhang, Shitai] Univ Sci &amp; Technol China, Grad Sch, Sci Isl Branch, Hefei 230026, Peoples R China; [Yang, Qike; Wu, Xiaoqing; Wu, Su; Han, Yajuan; Su, Changdong; Zhang, Shitai; Qing, Chun] Adv Laser Technol Lab Anhui Prov, Hefei 230037, Peoples R China</t>
  </si>
  <si>
    <t>Chinese Academy of Sciences; Hefei Institutes of Physical Science, CAS; Anhui Institute of Optics &amp; Fine Mechanics (AIOFM), CAS; Chinese Academy of Sciences; University of Science &amp; Technology of China, CAS</t>
  </si>
  <si>
    <t>Wu, XQ (corresponding author), Chinese Acad Sci, Anhui Inst Opt &amp; Fine Mech, Key Lab Atmospher Opt, HFIPS, Hefei 230031, Peoples R China.;Wu, XQ (corresponding author), Adv Laser Technol Lab Anhui Prov, Hefei 230037, Peoples R China.</t>
  </si>
  <si>
    <t>xqwu@aiofm.ac.cn</t>
  </si>
  <si>
    <t>Yang, Qike/ISB-4960-2023</t>
  </si>
  <si>
    <t>Yang, Qike/0000-0001-9440-0037; qing, chun/0000-0003-2456-1366</t>
  </si>
  <si>
    <t>Foundation of Key Laboratory of Science and Technology Innovation of Chinese Academy of Sciences [CXJJ-19S028]; National Natural Science Foundation of China [41576185, 91752103]</t>
  </si>
  <si>
    <t>Foundation of Key Laboratory of Science and Technology Innovation of Chinese Academy of Sciences; National Natural Science Foundation of China(National Natural Science Foundation of China (NSFC))</t>
  </si>
  <si>
    <t>Foundation of Key Laboratory of Science and Technology Innovation of Chinese Academy of Sciences (CXJJ-19S028); National Natural Science Foundation of China (41576185, 91752103).</t>
  </si>
  <si>
    <t>Optica Publishing Group</t>
  </si>
  <si>
    <t>2010 MASSACHUSETTS AVE NW, WASHINGTON, DC 20036 USA</t>
  </si>
  <si>
    <t>1084-7529</t>
  </si>
  <si>
    <t>1520-8532</t>
  </si>
  <si>
    <t>J OPT SOC AM A</t>
  </si>
  <si>
    <t>J. Opt. Soc. Am. A-Opt. Image Sci. Vis.</t>
  </si>
  <si>
    <t>10.1364/JOSAA.432106</t>
  </si>
  <si>
    <t>Optics</t>
  </si>
  <si>
    <t>WD5QC</t>
  </si>
  <si>
    <t>WOS:000704993900002</t>
  </si>
  <si>
    <t>Zheng, YW; Jong, LM; Phipps, SJ; Roberts, JL; Moy, AD; Curran, MAJ; van Ommen, TD</t>
  </si>
  <si>
    <t>Zheng, Yaowen; Jong, Lenneke M.; Phipps, Steven J.; Roberts, Jason L.; Moy, Andrew D.; Curran, Mark A. J.; van Ommen, Tas D.</t>
  </si>
  <si>
    <t>Extending and understanding the South West Western Australian rainfall record using a snowfall reconstruction from Law Dome, East Antarctica</t>
  </si>
  <si>
    <t>WHEAT PRODUCTION; CLIMATE-CHANGE; EL-NINO; VARIABILITY; OSCILLATION; ENVIRONMENT; IMPACTS; SYSTEMS; LINKS</t>
  </si>
  <si>
    <t>SouthWestWestern Australia (SWWA) has experienced a prolonged reduction in rainfall in recent decades, with associated reductions in regional water supply and residential and agricultural impacts. The cause of the reduction has been widely considered but remains unclear. The relatively short length of the instrumental record limits long-term investigation. A previous proxy-based study used a statistically negative correlation between SWWA rainfall and snowfall from the Dome Summit South (DSS) ice core drilling site, Law Dome, East Antarctica, and concluded that the anomaly of recent decades is unprecedented over the similar to 750year period of the study (1250-2004 CE). Here, we extend the snow accumulation record to cover the period from 22 BCE to 2015 CE and derive a rainfall reconstruction over this extended period. This extended record confirms that the recent anomaly is unique in the period since 1250 CE and unusual over the full similar to 2000-year period, with just two other earlier droughts of similar duration and intensity. The reconstruction shows that SWWA rainfall started to decrease around 1971 CE. Ensembles of climate model simulations are used to investigate the potential roles of natural variability and external climate drivers in explaining changes in SWWA rainfall. We find that anthropogenic greenhouse gases are likely to have contributed towards the SWWA rainfall drying trend after 1971 CE. However, natural variability may also have played a role in determining the timing and magnitude of the reduction in rainfall.</t>
  </si>
  <si>
    <t>[Zheng, Yaowen; Phipps, Steven J.] Univ Tasmania, Inst Marine &amp; Antarctic Studies, Hobart, Tas, Australia; [Zheng, Yaowen] Ocean Univ China, Coll Ocean &amp; Atmospher Sci, Qingdao, Shandong, Peoples R China; [Zheng, Yaowen] Victoria Univ Wellington, Antarctic Res Ctr, Wellington, New Zealand; [Jong, Lenneke M.; Roberts, Jason L.; Moy, Andrew D.; Curran, Mark A. J.; van Ommen, Tas D.] Australian Antarctic Div, Kingston, Tas, Australia; [Jong, Lenneke M.; Roberts, Jason L.; Moy, Andrew D.; Curran, Mark A. J.; van Ommen, Tas D.] Univ Tasmania, Inst Marine &amp; Antarctic Studies, Australian Antarctic Program Partnership, Hobart, Tas, Australia; [Phipps, Steven J.] Ikigai Res, Hobart, Tas, Australia</t>
  </si>
  <si>
    <t>University of Tasmania; Ocean University of China; Victoria University Wellington; Australian Antarctic Division; University of Tasmania</t>
  </si>
  <si>
    <t>Zheng, YW (corresponding author), Univ Tasmania, Inst Marine &amp; Antarctic Studies, Hobart, Tas, Australia.;Zheng, YW (corresponding author), Ocean Univ China, Coll Ocean &amp; Atmospher Sci, Qingdao, Shandong, Peoples R China.;Zheng, YW (corresponding author), Victoria Univ Wellington, Antarctic Res Ctr, Wellington, New Zealand.</t>
  </si>
  <si>
    <t>yaowen.zheng@vuw.ac.nz</t>
  </si>
  <si>
    <t>van Ommen, Tas D/B-5020-2012; Jong, Lenneke/AAT-3230-2020; Phipps, Steven/B-3135-2008</t>
  </si>
  <si>
    <t>Jong, Lenneke/0000-0001-6707-570X; Zheng, Yaowen/0000-0003-3818-3474; Phipps, Steven/0000-0001-5657-8782</t>
  </si>
  <si>
    <t>Australian Government Department of Industry, Science, Energy and Resources [ASCI000002]; Australian Research Council [SR140300001]; Australian Government Department of Agriculture, Water and the Environment (Australian Antarctic Science Project) [4061]; Australian Government Department of Agriculture, Water and the Environment (Australian Antarctic Science Project ) [4062]; Australian Government Department of Agriculture, Water and the Environment ( Australian Antarctic Science Project) [4537]</t>
  </si>
  <si>
    <t>Australian Government Department of Industry, Science, Energy and Resources; Australian Research Council(Australian Research Council); Australian Government Department of Agriculture, Water and the Environment (Australian Antarctic Science Project); Australian Government Department of Agriculture, Water and the Environment (Australian Antarctic Science Project ); Australian Government Department of Agriculture, Water and the Environment ( Australian Antarctic Science Project)</t>
  </si>
  <si>
    <t>This research has been supported by the Australian Government Department of Industry, Science, Energy and Resources (grant no. ASCI000002); the Australian Research Council (grant no. SR140300001); and the Australian Government Department of Agriculture, Water and the Environment (Australian Antarctic Science Project 4061, Australian Antarctic Science Project 4062 and Australian Antarctic Science Project 4537).</t>
  </si>
  <si>
    <t>10.5194/cp-17-1973-2021</t>
  </si>
  <si>
    <t>WB8TW</t>
  </si>
  <si>
    <t>WOS:000703840800001</t>
  </si>
  <si>
    <t>Feron, S; Cordero, RR; Damiani, A; Malhotra, A; Seckmeyer, G; Llanillo, P</t>
  </si>
  <si>
    <t>Feron, Sarah; Cordero, Raul R.; Damiani, Alessandro; Malhotra, Avni; Seckmeyer, Gunther; Llanillo, Pedro</t>
  </si>
  <si>
    <t>Warming events projected to become more frequent and last longer across Antarctica</t>
  </si>
  <si>
    <t>SURFACE MELT; MELTWATER; OCEAN</t>
  </si>
  <si>
    <t>Summer temperatures are often above freezing along the Antarctic coastline, which makes ice shelves and coastal snowpacks vulnerable to warming events (understood as periods of consecutive days with warmer than usual conditions). Here, we project changes in the frequency, duration and amplitude of summertime warming events expected until end of century according to two emission scenarios. By using both global and regional climate models, we found that these events are expected to be more frequent and last longer, continent-wide. By end of century, the number of warming events is projected to double in most of West Antarctica and to triple in the vast interior of East Antarctica, even under a moderate-emission scenario. We also found that the expected rise of warming events in coastal areas surrounding the continent will likely lead to enhanced surface melt, which may pose a risk for the future stability of several Antarctic ice shelves.</t>
  </si>
  <si>
    <t>[Feron, Sarah] Univ Groningen, NL-8911 CE Leeuwarden, Netherlands; [Feron, Sarah; Cordero, Raul R.] Univ Santiago, Av Bernardo OHiggins 3363, Santiago, Chile; [Damiani, Alessandro] Chiba Univ, Ctr Environm Remote Sensing, Inage Ward, 1-33 Yayoicho, Chiba 2638522, Japan; [Malhotra, Avni] Univ Zurich, Winterthurerstr 190, CH-8057 Zurich, Switzerland; [Seckmeyer, Gunther] Leibniz Univ Hannover, Herrenhauser Str 2, Hannover, Germany; [Llanillo, Pedro] Alfred Wegener Inst AWI, Handelshafen 12, D-27570 Bremerhaven, Germany</t>
  </si>
  <si>
    <t>University of Groningen; Universidad de Santiago de Chile; Chiba University; University of Zurich; Leibniz University Hannover; Helmholtz Association; Alfred Wegener Institute, Helmholtz Centre for Polar &amp; Marine Research</t>
  </si>
  <si>
    <t>Feron, S (corresponding author), Univ Groningen, NL-8911 CE Leeuwarden, Netherlands.;Feron, S; Cordero, RR (corresponding author), Univ Santiago, Av Bernardo OHiggins 3363, Santiago, Chile.</t>
  </si>
  <si>
    <t>s.c.feron@rug.nl; raul.cordero@usach.cl</t>
  </si>
  <si>
    <t>; Llanillo, Pedro/L-5877-2015</t>
  </si>
  <si>
    <t>Malhotra, Avni/0000-0002-7850-6402; Cordero, Raul R./0000-0001-7607-7993; Feron, Sarah/0000-0002-0572-5639; Llanillo, Pedro/0000-0002-9308-501X; Damiani, Alessandro/0000-0003-3014-6193</t>
  </si>
  <si>
    <t>INACH [Preis RT_69-20, RT_70-18]; ANID [Preis 1191932, REDES180158]; CORFO [Preis 19BP-117358, 18BPE-93920, 18BPCR-89100]</t>
  </si>
  <si>
    <t>INACH; ANID; CORFO</t>
  </si>
  <si>
    <t>We thank the World Climate Research Programme's Working Group on Coupled Modelling, which is responsible for CMIP, and we thank the climate modeling groups (listed in Table S1 of this paper) for producing and making available their model output. We also thank the RACMO team for the data access and all their hard work in producing the datasets. The support of INACH (Preis RT_69-20 &amp; RT_70-18), ANID (Preis 1191932 &amp; REDES180158), CORFO (Preis 19BP-117358, 18BPE-93920 &amp; 18BPCR-89100) is gratefully acknowledged.</t>
  </si>
  <si>
    <t>10.1038/s41598-021-98619-z</t>
  </si>
  <si>
    <t>WA2WZ</t>
  </si>
  <si>
    <t>WOS:000702752900057</t>
  </si>
  <si>
    <t>Guo, CY; Zhang, CS; Feng, F; Wang, CH; Wang, C</t>
  </si>
  <si>
    <t>Guo, Chunyu; Zhang, Chengsen; Feng, Feng; Wang, Chunhui; Wang, Chao</t>
  </si>
  <si>
    <t>Predicting ship ramming performance in thick level ice via experiments</t>
  </si>
  <si>
    <t>SHIPS AND OFFSHORE STRUCTURES</t>
  </si>
  <si>
    <t>Model tests; ramming; level ice; icebreaking research vessel; ship-ice interaction; ice load</t>
  </si>
  <si>
    <t>NUMERICAL-SIMULATION; MODEL; RESISTANCE; COMPRESSION; DESIGN</t>
  </si>
  <si>
    <t>Polar sailing ships employ continuous and ramming operations to break ice when sailing in the Arctic or Antarctic waters. Upon encountering ice above a certain thickness, including icebergs and ice ridges, ramming methods are employed. The ship sailing performance while ramming ice is difficult to predict under complex ice conditions. To provide an accurate prediction of the ship sailing performance during the ramming operation under thick level ice conditions, we constructed a model ship in an ice tank to simulate a polar scientific research ship ramming thick ice. The nondimensional numbers were analysed to determine the ramming capacity of the ship. The experimental results show that the navigation performance of a ship is related to the ramming speed, and the ship penetration distance and local load increase linearly with the ship speed. Improvements for future ship design are proposed based on the results obtained in this study.</t>
  </si>
  <si>
    <t>[Guo, Chunyu; Zhang, Chengsen; Feng, Feng; Wang, Chunhui; Wang, Chao] Harbin Engn Univ, Coll Shipbldg Engn, Harbin 150001, Peoples R China</t>
  </si>
  <si>
    <t>Harbin Engineering University</t>
  </si>
  <si>
    <t>Guo, CY (corresponding author), Harbin Engn Univ, Coll Shipbldg Engn, Harbin 150001, Peoples R China.</t>
  </si>
  <si>
    <t>guochunyu_heu@outlook.com</t>
  </si>
  <si>
    <t>Wang, Chunhui/GQR-1652-2022; Zhang, Chengsen/JNE-3314-2023</t>
  </si>
  <si>
    <t>Wang, Chunhui/0000-0002-3551-4226; zhang, chengsen/0000-0002-2802-9513</t>
  </si>
  <si>
    <t>High Tech Ship Research Project of MIIT [2017-614]; National Natural Science Foundation of China [51909043]; China Scholarship Council [202106680054]</t>
  </si>
  <si>
    <t>High Tech Ship Research Project of MIIT; National Natural Science Foundation of China(National Natural Science Foundation of China (NSFC)); China Scholarship Council(China Scholarship Council)</t>
  </si>
  <si>
    <t>This work was supported by the High Tech Ship Research Project of MIIT [grant number 2017-614], the National Natural Science Foundation of China [grant number 51909043] and the China Scholarship Council [grant number 202106680054].</t>
  </si>
  <si>
    <t>1744-5302</t>
  </si>
  <si>
    <t>1754-212X</t>
  </si>
  <si>
    <t>SHIPS OFFSHORE STRUC</t>
  </si>
  <si>
    <t>Ships Offshore Struct.</t>
  </si>
  <si>
    <t>OCT 3</t>
  </si>
  <si>
    <t>10.1080/17445302.2021.1979917</t>
  </si>
  <si>
    <t>Engineering, Marine</t>
  </si>
  <si>
    <t>Engineering</t>
  </si>
  <si>
    <t>5P7IF</t>
  </si>
  <si>
    <t>WOS:000702986900001</t>
  </si>
  <si>
    <t>Spacht, DE; Gantz, JD; Devlin, JJ; McCabe, EA; Lee, RE ; Denlinger, DL; Teets, NM</t>
  </si>
  <si>
    <t>Spacht, Drew E.; Gantz, J. D.; Devlin, Jack J.; McCabe, Eleanor A.; Lee, Richard E., Jr.; Denlinger, David L.; Teets, Nicholas M.</t>
  </si>
  <si>
    <t>Fine-scale variation in microhabitat conditions influences physiology and metabolism in an Antarctic insect</t>
  </si>
  <si>
    <t>Microclimate; Seasonality; Antarctica; Physiological ecology; Entomology</t>
  </si>
  <si>
    <t>LIFE-HISTORY TRAITS; BELGICA-ANTARCTICA; COLD ADAPTATION; TEMPERATURE; DIPTERA; MICROCLIMATES; MIDGE; PERFORMANCE; SELECTION; SURVIVAL</t>
  </si>
  <si>
    <t>Microhabitats with distinct biotic and abiotic properties exist within landscapes, and this microhabitat variation can have dramatic impacts on the phenology and physiology of the organisms occupying them. The Antarctic midge Belgica antarctica inhabits diverse microhabitats along the Western Antarctic Peninsula that vary in macrophyte composition, hygric qualities, nutrient input, and thermal patterns. Here, we compare seasonal physiological changes in five populations of B. antarctica living in close proximity but in different microhabitats in the vicinity of Palmer Station, Antarctica. Thermal regimes among our sample locations differed in both mean temperature and thermal stability. Between the warmest and coldest sites, seasonal mean temperatures differed by 2.6C and degree day accumulations above freezing differed by a factor of 1.7. Larval metabolic and growth rates varied among the sites, and adult emergence occurred at different times. Distinct microhabitats also corresponded with differences in body composition, as lipid and carbohydrate content of larvae differed across sites. Further, seasonal changes in carbohydrate and protein content were dependent on site, indicating fine-scale variation in the biochemical composition of larvae as they prepare for winter. Together, these results demonstrate that variation in microhabitat properties influences the ontogeny, phenology, physiology, and biochemical makeup of midge populations living in close proximity. These results have implications for predicting responses of Antarctic ecosystems to environmental change.</t>
  </si>
  <si>
    <t>[Spacht, Drew E.; Denlinger, David L.] Ohio State Univ, Dept Evolut Ecol &amp; Organismal Biol, Columbus, OH 43210 USA; [Gantz, J. D.] Hendrix Coll, Dept Biol &amp; Hlth Sci, Conway, AR 72032 USA; [Devlin, Jack J.; McCabe, Eleanor A.; Teets, Nicholas M.] Univ Kentucky, Dept Entomol, Lexington, KY 40546 USA; [Lee, Richard E., Jr.] Miami Univ, Dept Biol, Oxford, OH 45056 USA; [Denlinger, David L.] Ohio State Univ, Dept Entomol, Columbus, OH 43210 USA</t>
  </si>
  <si>
    <t>University System of Ohio; Ohio State University; University of Kentucky; University System of Ohio; Miami University; University System of Ohio; Ohio State University</t>
  </si>
  <si>
    <t>Spacht, DE (corresponding author), Ohio State Univ, Dept Evolut Ecol &amp; Organismal Biol, Columbus, OH 43210 USA.</t>
  </si>
  <si>
    <t>spacht.2@buckeyemail.osu.edu</t>
  </si>
  <si>
    <t>Teets, Nicholas/IQT-5328-2023; Teets, Nicholas/H-7386-2013</t>
  </si>
  <si>
    <t>Teets, Nicholas/0000-0003-0963-7457</t>
  </si>
  <si>
    <t>National Science Foundation [PLR-1341385, PLR-1231393, OPP-850988]; USDA National Institute of Food and Agriculture [1010996]</t>
  </si>
  <si>
    <t>National Science Foundation(National Science Foundation (NSF)); USDA National Institute of Food and Agriculture(United States Department of Agriculture (USDA))</t>
  </si>
  <si>
    <t>This project was supported by National Science Foundation Grants PLR-1341385 to REL, PLR-1231393 to DLD, and OPP-850988 to NMT, and Hatch Project 1010996 from the USDA National Institute of Food and Agriculture to NMT.</t>
  </si>
  <si>
    <t>10.1007/s00442-021-05035-1</t>
  </si>
  <si>
    <t>WF2JW</t>
  </si>
  <si>
    <t>WOS:000702602300001</t>
  </si>
  <si>
    <t>Chandler, D; Langebroek, P</t>
  </si>
  <si>
    <t>Chandler, David; Langebroek, Petra</t>
  </si>
  <si>
    <t>Southern Ocean sea surface temperature synthesis: Part 1. Evaluation of temperature proxies at glacial-interglacial time scales</t>
  </si>
  <si>
    <t>Southern Ocean; Sea surface temperature (SST); Proxy; Quaternary; Paleoclimate; Glacial; Interglacial</t>
  </si>
  <si>
    <t>ANTARCTIC ICE-SHEET; WALLED DINOFLAGELLATE CYSTS; MAJOR DIATOM TAXA; PALEOTEMPERATURE INDEX U-37(K'); ARCHAEAL TETRAETHER LIPIDS; MARINE SEDIMENT RECORDS; CORE-TOP CALIBRATION; PLANKTONIC-FORAMINIFERA; EMILIANIA-HUXLEYI; SINKING VELOCITY</t>
  </si>
  <si>
    <t>Quaternary interglacial climates are often used as analogues for how the Antarctic Ice Sheet will respond to future climate warming. Southern Ocean marine sediments provide an important paleoclimate archive in this respect. Sea surface temperature (SST) reconstructions in the Southern Ocean depend exclusively on the fossils or geochemical signatures of planktic organisms, but the strengths of these SST proxies remain poorly quantified in this region. To improve confidence in paleoclimate reconstructions, Part 1 of this two-part study evaluates the reliability of Southern Ocean SST proxies employed at Quaternary glacial-interglacial time scales, focusing on three key potential problems: advection/dispersion, seasonality, and non-thermal influences. We find that foraminifera assemblages and long-chain alkenones likely provide the most reliable SST reconstructions in this region. Diatom assemblages and the Globigerina bulloides Mg/Ca ratio are considered to be 'moderately' reliable. Both are subject to potentially significant non-thermal influences, and diatom assemblages are likely modified by species-dependent advection as they sink to the sea floor. Nevertheless, diatoms are valuable at higher latitudes, since alkenones and foraminifera assemblages lose sensitivity below similar to 1 to 2 degrees C. Dinocyst assemblages, radiolarian assemblages, GDGTs and Neogloboquadrina pachyderms Mg/Ca are considered the least reliable in the Southern Ocean, due to weak calibrations, poorly-constrained non-thermal influences, and/or strong advection bias. We note that the seasonality of all proxies remains poorly constrained. Overall, Southern Ocean SST reconstructions using the recommended proxies and calibrations should be robust when averaging across multiple sites and proxy types, but should be treated with caution when analysing spatial variability, a small number of sites, or a single proxy type. Quantifying the effect of advection should be a priority for all planktic groups employed in Southern Ocean paleoclimate reconstructions. (C) 2021 The Authors. Published by Elsevier Ltd.</t>
  </si>
  <si>
    <t>[Chandler, David; Langebroek, Petra] Bjerknes Ctr Climate Res, NORCE Norwegian Res Ctr, Bergen, Norway</t>
  </si>
  <si>
    <t>Bjerknes Centre for Climate Research; Norwegian Research Centre (NORCE)</t>
  </si>
  <si>
    <t>Chandler, D (corresponding author), Bjerknes Ctr Climate Res, NORCE Norwegian Res Ctr, Bergen, Norway.</t>
  </si>
  <si>
    <t>dcha@norceresearch.no</t>
  </si>
  <si>
    <t>Langebroek, Petra M/K-2076-2014</t>
  </si>
  <si>
    <t>Chandler, David/0000-0001-5759-2412</t>
  </si>
  <si>
    <t>European Union [820575]; H2020 Societal Challenges Programme [820575] Funding Source: H2020 Societal Challenges Programme</t>
  </si>
  <si>
    <t>European Union(European Union (EU)); H2020 Societal Challenges Programme(Horizon 2020European Union (EU)H2020 Societal Challenges Programme)</t>
  </si>
  <si>
    <t>This study was funded by the European Union's Horizon 2020 research and innovation programme under grant agreement no. 820575 (TiPACCs). We gratefully acknowledge the many authors of the original temperature reconstructions and core-top sediment datasets, who have made their data available for use in this study. We acknowledge the developers of the open-source Python packages which we used for data analysis. Finally, we thank an anonymous reviewer for their valuable comments.</t>
  </si>
  <si>
    <t>10.1016/j.quascirev.2021.107191</t>
  </si>
  <si>
    <t>WOS:000703097800005</t>
  </si>
  <si>
    <t>Southern Ocean sea surface temperature synthesis: Part 2. Penultimate glacial and last interglacial</t>
  </si>
  <si>
    <t>Southern ocean; Sea surface temperature (SST); Proxy; Quaternary; Paleoclimate; Glacial; Interglacial</t>
  </si>
  <si>
    <t>ANTARCTIC ICE-SHEET; DEEP-WATER CIRCULATION; CLIMATE VARIABILITY; CHRONOLOGY AICC2012; HIGH-LATITUDES; INDIAN-OCEAN; CALIBRATION; LEVEL; CORE; SIMULATIONS</t>
  </si>
  <si>
    <t>The last interglacial (LIG: similar to 130 to 115 thousand years before present) is often used as an analogue for near-future climate warming. Antarctic Ice Sheet response to LIG warming is of particular interest, because of its implications for sea level rise. Comparison between LIG climate simulations and proxy-based reconstructions of Southern Ocean sea surface temperature (SST) remains challenging, due to high uncertainties in both reconstructions and simulations. In this two-part study, the accompanying paper (Part 1) addressed uncertainties in the SST reconstructions by evaluating proxies relevant to Southern Ocean SST, and made recommendations for which proxies and respective calibrations are most reliable on glacial-interglacial time scales in this region. In the second part (this paper), we now apply these recommendations to a synthesis of Southern Ocean SST over the penultimate glacial and LIG. Similar to previous studies, we find that LIG warming at 40 degrees S to 60 degrees S reached 1.6 +/- 1.1 degrees C (annual mean) or 1.9 +/- 1.3 degrees C (austral summer: JFM) relative to present. Annual/summer cooling in the penultimate glacial maximum reached -3.6 +/- 1.0 degrees C/-4.0 +/- 1.2 degrees C, similar to the last glacial maximum. Compared with the previous LIG SST syntheses, our reported uncertainties more strongly reflect geographic variability and dating errors, as we have reduced errors in the individual temperature reconstructions and do not date records by aligning peaks in their SST. However, the reconstruction errors are still important, and we do not recommend detailed interpretation of temperature records from small numbers of sites. Instead, comparisons of our new synthesis with model simulations should focus only on the regional average. (C) 2021 The Author(s). Published by Elsevier Ltd.</t>
  </si>
  <si>
    <t>This study was funded by the European Union's Horizon 2020 research and innovation programme under grant agreement no. 820575 (TiPACCs). We gratefully acknowledge the many authors of the original temperature reconstructions and core-top sediment datasets, who have made their data available for use in this study. We acknowledge the developers of the open-source software used for data analysis and presentation (WebPlotDigitiser and several Python packages). Finally, we thank two anonymous reviewers for their helpful suggestions.</t>
  </si>
  <si>
    <t>10.1016/j.quascirev.2021.107190</t>
  </si>
  <si>
    <t>WOS:000703097800004</t>
  </si>
  <si>
    <t>Lyu, ZQ; Goosse, H; Dalaiden, Q; Klein, F; Shi, F; Wagner, S; Braconnot, P</t>
  </si>
  <si>
    <t>Lyu, Zhiqiang; Goosse, Hugues; Dalaiden, Quentin; Klein, Francois; Shi, Feng; Wagner, Sebastian; Braconnot, Pascale</t>
  </si>
  <si>
    <t>Spatial patterns of multi-centennial surface air temperature trends in Antarctica over 1-1000 CE: Insights from ice core records and modeling</t>
  </si>
  <si>
    <t>First millennium; Antarctica; Data assimilation; Spatial pattern; Reconstruction</t>
  </si>
  <si>
    <t>SOUTHERN ANNULAR MODE; EARTH SYSTEM MODEL; LAST MILLENNIUM; HEMISPHERE CLIMATE; SNOW ACCUMULATION; DATA ASSIMILATION; WEST ANTARCTICA; MASS-BALANCE; VARIABILITY; SIMULATIONS</t>
  </si>
  <si>
    <t>The spatial pattern of Antarctic surface air temperature variability on multi-decadal to multi-centennial time scales is poorly known because of the short instrumental records, the relatively small number of high-resolution paleoclimate observations, and biases in climate models. Here, changes in surface air temperature over Antarctica are reconstructed over the past two millennia using data assimilation constrained by different ice core water isotope records in order to identify robust signals. The comparison between previous statistically based temperature reconstructions and simulations covering the full Common Era driven by natural and anthropogenic forcings shows major discrepancies occurring in the period 1-1000 CE over East Antarctica, with the reconstructions displaying a warming over 1-500 CE that is not reproduced by the simulations. This suggests that the trends in the first millennium deduced from the statistically based reconstructions are unlikely to be entirely forced by external forcings. Our reconstructions show the high sensitivity of the 500-year temperature trend in Antarctica and its spatial distribution to selection of the records for the reconstructions, especially during 1-500 CE. A robust cooling over Antarctica during 501-1000 CE has been obtained in three data assimilation-based reconstructions with a larger magnitude in the WAIS than elsewhere over Antarctica, in agreement with previous estimates with the larger changes than simulated in climate models. The reconstructions for atmospheric circulation indicate that the pattern of temperature changes over 501-1000 CE is related to the positive trend of Southern Annular Mode and a deepening of Amundsen Sea Low. This confirms the role of internal variability in the temperature trends on multi-centennial scales. (C) 2021 Elsevier Ltd. All rights reserved.</t>
  </si>
  <si>
    <t>[Lyu, Zhiqiang; Goosse, Hugues; Dalaiden, Quentin; Klein, Francois] Univ Catholique Louvain UCL, Georges Lemaitre Ctr Earth &amp; Climate Res TECLIM, Earth &amp; Life Inst ELI, Louvain La Neuve, Belgium; [Shi, Feng] Chinese Acad Sci, Inst Geol &amp; Geophys, Key Lab Cenozo Geol &amp; Environm, Beijing, Peoples R China; [Shi, Feng] CAS Ctr Excellence Life &amp; Paleoenvironm, Beijing 100044, Peoples R China; [Wagner, Sebastian] Helmholtz Zentrum Hereon, Inst Coastal Syst, D-21502 Geesthacht, Germany; [Braconnot, Pascale] Univ Paris Saclay, Unite Mixte CEA CNRS UVSQ, IPSL Lab Sci Climat &amp; Environm, Bat 714, F-91191 Gif Sur Yvette, France</t>
  </si>
  <si>
    <t>Chinese Academy of Sciences; Institute of Geology &amp; Geophysics, CAS; Helmholtz Association; Helmholtz-Zentrum Hereon; Universite Paris Saclay; CEA; Centre National de la Recherche Scientifique (CNRS); Universite Paris Cite</t>
  </si>
  <si>
    <t>Lyu, ZQ (corresponding author), Univ Catholique Louvain UCL, Georges Lemaitre Ctr Earth &amp; Climate Res TECLIM, Earth &amp; Life Inst ELI, Louvain La Neuve, Belgium.</t>
  </si>
  <si>
    <t>zhiqiang.lyu@student.uclouvain.be</t>
  </si>
  <si>
    <t>Shi, Feng/AAG-6973-2020</t>
  </si>
  <si>
    <t>Shi, Feng/0000-0003-3963-1822; Braconnot, Pascale/0000-0002-1852-9178; Lyu, Zhiqiang/0000-0002-6850-7807; Wagner, Sebastian/0000-0001-5603-3897; Dalaiden, Quentin/0000-0002-3885-3848</t>
  </si>
  <si>
    <t>Belgian Research Action through Interdisciplinary Networks (BRAINebe) from the Belgian Science Policy Office [BR/165/A2/Mass2Ant]; China Scholarship Council (CSC) -Universite catholique de Louvain CoeFunding; Youth Innovation Promotion Association CAS; Key Research Program of the Institute of Geology &amp; Geophysics, CAS [IGGCAS-201905]; Fond de la Recherche Scientifique de Belgique (F.R.S.-FNRS)</t>
  </si>
  <si>
    <t>Belgian Research Action through Interdisciplinary Networks (BRAINebe) from the Belgian Science Policy Office; China Scholarship Council (CSC) -Universite catholique de Louvain CoeFunding; Youth Innovation Promotion Association CAS; Key Research Program of the Institute of Geology &amp; Geophysics, CAS; Fond de la Recherche Scientifique de Belgique (F.R.S.-FNRS)(Fonds de la Recherche Scientifique - FNRS)</t>
  </si>
  <si>
    <t>We acknowledge the World Climate Research Programme Working Group on Coupled Modeling, which is responsible for CMIP, and we thank the climate modeling groups for producing and making available their model outputs. This work was supported by the Belgian Research Action through Interdisciplinary Networks (BRAINebe) from the Belgian Science Policy Office in the framework of the East Antarctic surface mass balance in the Anthropocene: observations and multiscale modeling (Mass2Ant) project (contract no. BR/165/A2/Mass2Ant). Zhiqiang Lyu is supported by China Scholarship Council (CSC) -Universite catholique de Louvain CoeFunding. Hugues Goosse is the research director within the F.R.S.eFNRS. Feng Shi is funded by the Youth Innovation Promotion Association CAS and the Key Research Program of the Institute of Geology &amp; Geophysics, CAS (Grant No. IGGCAS-201905). Computational resources have been provided by the supercomputing facilities of the Universite catholique de Louvain (CISM/UCL) and the Consortium des Equipements de Calcul Intensif en Federation Wallonie Bruxelles (CECI) funded by the Fond de la Recherche Scientifique de Belgique (F.R.S.-FNRS) under convention 2.5020.11.</t>
  </si>
  <si>
    <t>10.1016/j.quascirev.2021.107205</t>
  </si>
  <si>
    <t>WOS:000703097800010</t>
  </si>
  <si>
    <t>Mora-Soto, A; Capsey, A; Friedlander, AM; Palacios, M; Brewin, PE; Golding, N; Dayton, P; Van Tussenbroek, B; Montiel, A; Goodell, W; Velasco-Charpentier, C; Hart, T; Macaya, EC; Pérez-Matus, A; Macias-Fauria, M</t>
  </si>
  <si>
    <t>Mora-Soto, Alejandra; Capsey, Austin; Friedlander, Alan M.; Palacios, Mauricio; Brewin, Paul E.; Golding, Neil; Dayton, Paul; Van Tussenbroek, Brigitta; Montiel, Americo; Goodell, Whitney; Velasco-Charpentier, Catalina; Hart, Tom; Macaya, Erasmo C.; Perez-Matus, Alejandro; Macias-Fauria, Marc</t>
  </si>
  <si>
    <t>One of the least disturbed marine coastal ecosystems on Earth: Spatial and temporal persistence of Darwin's sub-Antarctic giant kelp forests</t>
  </si>
  <si>
    <t>JOURNAL OF BIOGEOGRAPHY</t>
  </si>
  <si>
    <t>abiotic habitat; coastal biogeography; giant kelp forests; historical cartography; Macrocystis pyrifera; nautical charts; remote sensing; sub-Antarctic marine ecosystems; the Voyage of the Beagle</t>
  </si>
  <si>
    <t>CENTRAL-SOUTHERN CHILE; L C-AGARDH; MACROCYSTIS-PYRIFERA; ENVIRONMENTAL CONTROLS; GLACIER FLUCTUATIONS; PATAGONIAN FJORDS; FALKLAND ISLANDS; DYNAMICS; GEORGIA; OCEAN</t>
  </si>
  <si>
    <t>Aim Marine habitats and their dynamics are difficult to systematically monitor, particularly those in remote locations. This is the case with the sub-Antarctic ecosystem of the giant kelp Macrocystis pyrifera, which was already noted by Charles Darwin in his accounts on the Voyage of the Beagle and recorded on the nautical charts made during that expedition. We combined these and other nautical charts from the 19th and early 20th centuries with surveys conducted in the 1970s and 1980s and satellite detection algorithms from 1984 to 2019, to analyse kelp distribution through time and the factors that correlate with it. Location Marine ecoregions of Channels and Fjords of Southern Chile, Falkland Islands (Malvinas), and the island of South Georgia. Taxon Macrocystis pyrifera. Methods We characterised 309 giant kelp forests by their coastal geospatial attributes. Statistically significant variables were included in a conditional inference tree to predict kelp forest size. Sea surface temperature (SST) records were analysed to confirm temperature ranges over the last four decades. Nautical charts, historical surveys, aerial photogrammetry, unmanned aerial vehicle (UAV) surveys and satellite imagery were overlaid to assess spatial distribution of kelp forest canopies, spanning the period 1829-2020. Results Considering the extensive natural and human caused changes over the last two centuries, this diverse kelp ecosystem is remarkably persistent. We found that the ocean currents and wave exposure, combined with the geomorphological settings of the coastline are the most critical factors predicting the extent of the kelp forests. Main conclusions We have described the long-term ecological persistence of the kelp forests in this vastly under-studied region that offers a conceptual biogeographical model supporting the global importance proposed by Charles Darwin 200 years ago (Darwin, 1845). In the current context of global change, the need for conservation of this persistent and well-preserved marine ecosystem has never been more important.</t>
  </si>
  <si>
    <t>[Mora-Soto, Alejandra; Macias-Fauria, Marc] Univ Oxford, Sch Geog &amp; Environm, Biogeosci Lab Grp, Oxford OX1 3QY, England; [Capsey, Austin] UK Hydrog Off, Taunton, Somerset, England; [Friedlander, Alan M.; Goodell, Whitney] Natl Geog Soc, Pristine Seas, Washington, DC USA; [Friedlander, Alan M.] Univ Hawaii, Hawaii Inst Marine Biol, Kaneohe, HI USA; [Palacios, Mauricio] Univ Austral Chile, Programa Doctorado Biol Marina, Valdivia, Chile; [Palacios, Mauricio] Univ Magallanes, Fac Ciencias, Punta Arenas, Chile; [Palacios, Mauricio; Macaya, Erasmo C.] Ctr FONDAP Invest Dinam Ecosistemas Marinos Altas, Valdivia, Chile; [Palacios, Mauricio] Wildlife Conservat Soc Marine Program, Santiago, Chile; [Brewin, Paul E.; Golding, Neil] South Atlantic Environm Res Inst SAERI, Stanley, Falkland Island; [Brewin, Paul E.] Shallow Marine Surveys Grp SMSG, Stanley, Falkland Island; [Dayton, Paul] Univ Calif San Diego, Scripps Inst Oceanog, La Jolla, CA USA; [Van Tussenbroek, Brigitta] Univ Nacl Autonoma Mexico, Inst Ciencias Mary Limnol, Unidad Academ Sistemas Arrecifales Puerto Morelos, Puerto Morelos, Mexico; [Montiel, Americo] Univ Magallanes, Inst Patagonia, Lab Ecol Func, Punta Arenas, Chile; [Goodell, Whitney] Natl Geog Soc, Explorat Technol Lab, Washington, DC USA; [Velasco-Charpentier, Catalina] Univ Magallanes, Ctr Invest Gaia Antart, Punta Arenas, Chile; [Velasco-Charpentier, Catalina] Fdn Mar &amp; Ciencia, Valparaiso, Chile; [Hart, Tom] Univ Oxford, Dept Zool, Penguin Watch, Oxford, England; [Macaya, Erasmo C.] Univ Concepcion, Dept Oceanog, Lab Estudios Algales ALGALAB, Concepcion, Chile; [Perez-Matus, Alejandro] Pontificia Univ Catolica Chile, Fac Ciencias Biol, Estac Costera Invest Marinas, Subtidal Ecol Lab, Santiago, Chile; [Perez-Matus, Alejandro] Millennium Nucleus Ecol &amp; Conservat Temperate Mes, Valparaiso, Chile</t>
  </si>
  <si>
    <t>University of Oxford; NERC National Oceanography Centre; National Geographic Society; University of Hawaii System; Universidad Austral de Chile; Universidad de Magallanes; University of California System; University of California San Diego; Scripps Institution of Oceanography; Universidad Nacional Autonoma de Mexico; Universidad de Magallanes; National Geographic Society; Universidad de Magallanes; University of Oxford; Universidad de Concepcion; Pontificia Universidad Catolica de Chile</t>
  </si>
  <si>
    <t>Mora-Soto, A (corresponding author), Univ Oxford, Sch Geog &amp; Environm, Biogeosci Lab Grp, Oxford OX1 3QY, England.</t>
  </si>
  <si>
    <t>alejandra.morasoto@ouce.ox.ac.uk</t>
  </si>
  <si>
    <t>Macaya, Erasmo C/B-8651-2011; Mora-Soto, Alejandra/HNQ-6933-2023; van Tussenbroek, Brigitta Ine/P-2517-2017; Perez Matus, Alejandro/F-5019-2014</t>
  </si>
  <si>
    <t>Mora-Soto, Alejandra/0000-0003-2254-5338; van Tussenbroek, Brigitta Ine/0000-0002-6447-7479; Perez Matus, Alejandro/0000-0001-9591-6721; Montiel, Americo/0000-0002-2644-4879; , Paul/0000-0002-0261-9646; Goodell, Whitney/0000-0003-3276-3742; Palacios, Mauricio/0000-0002-5484-8459</t>
  </si>
  <si>
    <t>0305-0270</t>
  </si>
  <si>
    <t>1365-2699</t>
  </si>
  <si>
    <t>J BIOGEOGR</t>
  </si>
  <si>
    <t>J. Biogeogr.</t>
  </si>
  <si>
    <t>10.1111/jbi.14221</t>
  </si>
  <si>
    <t>Ecology; Geography, Physical</t>
  </si>
  <si>
    <t>Environmental Sciences &amp; Ecology; Physical Geography</t>
  </si>
  <si>
    <t>UX0QM</t>
  </si>
  <si>
    <t>WOS:000700553600016</t>
  </si>
  <si>
    <t>Wang, WG; Zhao, MW; Liu, YG; Jiang, M; Wu, CQ; Liu, Y</t>
  </si>
  <si>
    <t>Wang, Weiguo; Zhao, Mengwei; Liu, Yanguang; Jiang, Min; Wu, Chengqiang; Liu, Yang</t>
  </si>
  <si>
    <t>Evolution of the North Atlantic Current and Barents Ice Sheet as revealed by grain size populations in the northern Norwegian Sea during the last 60 ka</t>
  </si>
  <si>
    <t>Norwegian Sea; sediments; grain size population; North Atlantic Current; Barents Ice Sheet; paleoceanography; last glacial</t>
  </si>
  <si>
    <t>RAPID CLIMATIC VARIATIONS; NORDIC SEAS; ARCTIC-OCEAN; DEEP-WATER; BERING-SEA; SEDIMENTS; SURFACE; CIRCULATION; DEPOSITION; HISTORY</t>
  </si>
  <si>
    <t>The grain size distribution of bulk sediment samples was decomposed in a core to reconstruct paleoceanographic evolution over the past 60 ka in the northern Norwegian Sea. The results show that sediments consisted of 3-4 grain populations derived from the North Atlantic Current (NAC) and Barents Ice Sheet (BIS). The grain size data suggest three palaeoceanographic evolution stages: (1) an environment affected by BIS and NAC and changed with the interstadial/stadial transition in phase with the Greenland ice-core record at 60-31 ka BP, during which discharge of icebergs and the content of the coarsest population containing ice-rafted debris (IRD) in the sediments increased significantly during stadial, while the fine silt population containing volcanic glasses increased with the enhancement of NAC during the interstadial; (2) an extreme environment controlled by BIS at 31-13 ka BP. BIS reached to its maximum at about 31 ka BP and the turbid plumes that formed at the leading edge of BIS contributed to a significant increase in the clayey population in sediments. Icebergs drained into the northern Norwegian Sea with periodical calving of the BIS at 31-19 ka BP. Subsequently, the ablation of the BIS discharged massive floods with clayey sediments and icebergs into the Norwegian Sea at 19-13 ka BP, resulting in a constant increase in clay and IRD in sediments; and (3) a marine environment similar to the present one under the strong influence of NAC following the complete melting of the BIS after 13 ka BP, NAC is the dominant transport agent and no IRD occurred in sediments. The fine silt populations containing volcanic glasses transported by NAC significantly increased.</t>
  </si>
  <si>
    <t>[Wang, Weiguo; Jiang, Min; Wu, Chengqiang] Minist Nat Resources, Inst Oceanog 3, Xiamen 361005, Peoples R China; [Zhao, Mengwei] Pilot Natl Lab Marine Sci &amp; Technol Qingdao, Qingdao 266237, Peoples R China; [Liu, Yanguang] Minist Nat Resources, Inst Oceanog 1, Qingdao 266061, Peoples R China; [Liu, Yang] Lanzhou Univ, Sch Earth Sci, Lanzhou 730000, Peoples R China</t>
  </si>
  <si>
    <t>Ministry of Natural Resources of the People's Republic of China; Third Institute of Oceanography, Ministry of Natural Resources; Laoshan Laboratory; First Institute of Oceanography, Ministry of Natural Resources; Ministry of Natural Resources of the People's Republic of China; Lanzhou University</t>
  </si>
  <si>
    <t>Zhao, MW (corresponding author), Pilot Natl Lab Marine Sci &amp; Technol Qingdao, Qingdao 266237, Peoples R China.</t>
  </si>
  <si>
    <t>yinwei_zhao@163.com</t>
  </si>
  <si>
    <t>Basic Scientific Research Operation Fee of the Third Institute of Oceanography, the Ministry of Natural Resources [2018006]; project of the Chinese Arctic and Antarctic Administration of the State Oceanic Administration [CHINARE2016-03-02]; Shandong Provincial Natural Science Foundation [ZR2019BD054]</t>
  </si>
  <si>
    <t>Basic Scientific Research Operation Fee of the Third Institute of Oceanography, the Ministry of Natural Resources; project of the Chinese Arctic and Antarctic Administration of the State Oceanic Administration; Shandong Provincial Natural Science Foundation(Natural Science Foundation of Shandong Province)</t>
  </si>
  <si>
    <t>Foundation item: The Basic Scientific Research Operation Fee of the Third Institute of Oceanography, the Ministry of Natural Resources under contract No. 2018006; the project of the Chinese Arctic and Antarctic Administration of the State Oceanic Administration under contract No. CHINARE2016-03-02; the Shandong Provincial Natural Science Foundation under contract No. ZR2019BD054.</t>
  </si>
  <si>
    <t>10.1007/s13131-021-1848-5</t>
  </si>
  <si>
    <t>WOS:000724005600010</t>
  </si>
  <si>
    <t>Vreugdenhil, CA; Gayen, B</t>
  </si>
  <si>
    <t>Vreugdenhil, Catherine A.; Gayen, Bishakhdatta</t>
  </si>
  <si>
    <t>Ocean Convection</t>
  </si>
  <si>
    <t>FLUIDS</t>
  </si>
  <si>
    <t>turbulent convection; surface buoyancy forcing; mixed layer dynamics; convective heat flux; ocean circulation</t>
  </si>
  <si>
    <t>ANTARCTIC BOTTOM WATER; RONNE ICE SHELF; DEEP CONVECTION; MIXED-LAYER; SOUTHERN-OCEAN; MAUD RISE; TURBULENT CONVECTION; WEDDELL POLYNYA; ATLANTIC-OCEAN; HEAT-FLUX</t>
  </si>
  <si>
    <t>Ocean convection is a key mechanism that regulates heat uptake, water-mass transformation, CO2 exchange, and nutrient transport with crucial implications for ocean dynamics and climate change. Both cooling to the atmosphere and salinification, from evaporation or sea-ice formation, cause surface waters to become dense and down-well as turbulent convective plumes. The upper mixed layer in the ocean is significantly deepened and sustained by convection. In the tropics and subtropics, night-time cooling is a main driver of mixed layer convection, while in the mid- and high-latitude regions, winter cooling is key to mixed layer convection. Additionally, at higher latitudes, and particularly in the sub-polar North Atlantic Ocean, the extensive surface heat loss during winter drives open-ocean convection that can reach thousands of meters in depth. On the Antarctic continental shelf, polynya convection regulates the formation of dense bottom slope currents. These strong convection events help to drive the immense water-mass transport of the globally-spanning meridional overturning circulation (MOC). However, convection is often highly localised in time and space, making it extremely difficult to accurately measure in field observations. Ocean models such as global circulation models (GCMs) are unable to resolve convection and turbulence and, instead, rely on simple convective parameterizations that result in a poor representation of convective processes and their impact on ocean circulation, air-sea exchange, and ocean biology. In the past few decades there has been markedly more observations, advancements in high-resolution numerical simulations, continued innovation in laboratory experiments and improvement of theory for ocean convection. The impacts of anthropogenic climate change on ocean convection are beginning to be observed, but key questions remain regarding future climate scenarios. Here, we review the current knowledge and future direction of ocean convection arising from sea-surface interactions, with a focus on mixed layer, open-ocean, and polynya convection.</t>
  </si>
  <si>
    <t>[Vreugdenhil, Catherine A.; Gayen, Bishakhdatta] Univ Melbourne, Dept Mech Engn, Melbourne, Vic 3010, Australia; [Gayen, Bishakhdatta] Indian Inst Sci, Ctr Atmospher &amp; Ocean Sci, Bangalore 560012, Karnataka, India</t>
  </si>
  <si>
    <t>University of Melbourne; Melbourne Bioinformatics; Indian Institute of Science (IISC) - Bangalore</t>
  </si>
  <si>
    <t>Vreugdenhil, CA; Gayen, B (corresponding author), Univ Melbourne, Dept Mech Engn, Melbourne, Vic 3010, Australia.;Gayen, B (corresponding author), Indian Inst Sci, Ctr Atmospher &amp; Ocean Sci, Bangalore 560012, Karnataka, India.</t>
  </si>
  <si>
    <t>cat.vreugdenhil@unimelb.edu.au; bishakhdatta.gayen@unimelb.edu.au</t>
  </si>
  <si>
    <t>Gayen, Bishakhdatta/D-9679-2011</t>
  </si>
  <si>
    <t>Gayen, Bishakhdatta/0000-0001-6543-2590; Vreugdenhil, Catherine/0000-0002-1808-6274</t>
  </si>
  <si>
    <t>Doreen Thomas Fellowship, University of Melbourne; Australian Research Council Future Fellowship [FT180100037]; Commonwealth of Australia; Australian Research Council [FT180100037] Funding Source: Australian Research Council</t>
  </si>
  <si>
    <t>Doreen Thomas Fellowship, University of Melbourne; Australian Research Council Future Fellowship(Australian Research Council); Commonwealth of Australia(Australian Government); Australian Research Council(Australian Research Council)</t>
  </si>
  <si>
    <t>C.A.V. is supported by a Doreen Thomas Fellowship, University of Melbourne. B.G. is supported by Australian Research Council Future Fellowship, Grant FT180100037. We gratefully thank D. Falor for preparing Figure 1b. The numerical simulations in Figure 3 were conducted on the Australian National Computational Infrastructure, which is supported by the Commonwealth of Australia.</t>
  </si>
  <si>
    <t>2311-5521</t>
  </si>
  <si>
    <t>Fluids</t>
  </si>
  <si>
    <t>10.3390/fluids6100360</t>
  </si>
  <si>
    <t>Mechanics; Physics, Fluids &amp; Plasmas</t>
  </si>
  <si>
    <t>Mechanics; Physics</t>
  </si>
  <si>
    <t>VL7YI</t>
  </si>
  <si>
    <t>WOS:000913015200001</t>
  </si>
  <si>
    <t>Kanzawa, K; Miyake, F; Horiuchi, K; Sasa, K; Takano, K; Matsumura, M; Takahashi, T; Motizuki, Y; Takahashi, K; Nakai, Y; Ohtani, K; Tada, Y; Ochiai, Y; Motoyama, H; Matsuzaki, H; Yamazaki, A; Muramatsu, Y; Yamagata, T</t>
  </si>
  <si>
    <t>Kanzawa, K.; Miyake, F.; Horiuchi, K.; Sasa, K.; Takano, K.; Matsumura, M.; Takahashi, T.; Motizuki, Y.; Takahashi, K.; Nakai, Y.; Ohtani, K.; Tada, Y.; Ochiai, Y.; Motoyama, H.; Matsuzaki, H.; Yamazaki, A.; Muramatsu, Y.; Yamagata, T.</t>
  </si>
  <si>
    <t>High-Resolution 10Be and 36Cl Data From the Antarctic Dome Fuji Ice Core (∼100 Years Around 5480 BCE): An Unusual Grand Solar Minimum Occurrence?</t>
  </si>
  <si>
    <t>COSMIC-RAY EVENT; TREE-RINGS; RADIOCARBON CONCENTRATION; AD 775; AMS SYSTEM; GAMMA-RAY; SE POLAND; INCREASE; C-14; SIGNATURE</t>
  </si>
  <si>
    <t>Cosmogenic nuclides in tree rings and polar ice cores record the information of past cosmic ray intensities and solar activities. A large C-14 increase over 10 years has been discovered around 5480 BCE. The C-14 variations in this event differ from those of other short-term cosmic ray events and typical grand solar minima. To elucidate the cause of the C-14 increase around 5480 BCE, we measured the Be-10 and Cl-36 concentrations in the Antarctic Dome Fuji ice core at quasi-annual and 4-5 years resolutions, respectively. Based on the combined C-14, Be-10, and Cl-36 data, the 5480 BCE event was probably not caused by a solar proton event (SPE) or a gamma-ray event, because the Cl-36 concentration did not significantly increase as expected in these events. The incremented Be-10 data were enhanced similarly to those of recent grand solar minima, but more rapidly increased (over similar to 10 years). These results suggest that an unusual grand solar minimum occurred around 5480 BCE, characterized by a rapidly decreasing solar activity.</t>
  </si>
  <si>
    <t>[Kanzawa, K.; Miyake, F.; Tada, Y.] Nagoya Univ, Inst Space Earth Environm Res, Nagoya, Aichi, Japan; [Horiuchi, K.; Ohtani, K.] Hirosaki Univ, Grad Sch Sci &amp; Technol, Hirosaki, Aomori, Japan; [Sasa, K.; Takano, K.; Matsumura, M.; Takahashi, T.; Ochiai, Y.] Univ Tsukuba, Accelerator Mass Spectrometry Grp, Tsukuba, Ibaraki, Japan; [Motizuki, Y.; Takahashi, K.; Nakai, Y.] RIKEN Nishina Ctr, Wako, Saitama, Japan; [Motoyama, H.] Natl Inst Polar Res, Tokyo, Japan; [Matsuzaki, H.; Yamagata, T.] Univ Tokyo, Univ Museum, Tokyo, Japan; [Yamazaki, A.; Muramatsu, Y.] Gakushuin Univ, Tokyo, Japan</t>
  </si>
  <si>
    <t>Nagoya University; Hirosaki University; University of Tsukuba; RIKEN; Research Organization of Information &amp; Systems (ROIS); National Institute of Polar Research (NIPR) - Japan; University of Tokyo; Gakushuin University</t>
  </si>
  <si>
    <t>Kanzawa, K (corresponding author), Nagoya Univ, Inst Space Earth Environm Res, Nagoya, Aichi, Japan.</t>
  </si>
  <si>
    <t>kanzawa@isee.nagoya-u.ac.jp</t>
  </si>
  <si>
    <t>Miyake, Fusa/HLP-9694-2023; Takahashi, kazuyat/U-3232-2018; Nakai, Yoichi/D-6190-2017; Sasa, Kimikazu/ITR-9279-2023</t>
  </si>
  <si>
    <t>Miyake, Fusa/0000-0001-8002-9601; Sasa, Kimikazu/0000-0001-8705-886X; Kanzawa, Kayo/0000-0002-4344-9946</t>
  </si>
  <si>
    <t>JSPS KAKENHI [16H06005, 20H00173, 20H05643]; JSPS [17H06320, 15H02340, 17H01119]; [25247082]; [19H00706]; Grants-in-Aid for Scientific Research [15H02340, 20H05643, 20H00173, 16H06005, 17H06320, 17H01119] Funding Source: KAKEN</t>
  </si>
  <si>
    <t>JSPS KAKENHI(Ministry of Education, Culture, Sports, Science and Technology, Japan (MEXT)Japan Society for the Promotion of ScienceGrants-in-Aid for Scientific Research (KAKENHI)); JSPS(Ministry of Education, Culture, Sports, Science and Technology, Japan (MEXT)Japan Society for the Promotion of Science); ; ; Grants-in-Aid for Scientific Research(Ministry of Education, Culture, Sports, Science and Technology, Japan (MEXT)Japan Society for the Promotion of ScienceGrants-in-Aid for Scientific Research (KAKENHI))</t>
  </si>
  <si>
    <t>The authors gratefully acknowledge Dome Fuji drilling team, JARE-42 party, and MALT staff. We thank Katsutoshi Mano and Hisashi Ohmori for supporting a cutting work of ice core. We also thank Keisuke Kawahara and Keisuke Suda for supporting the analysis. K. Kanzawa and F. Miyake's works were supported by a JSPS KAKENHI Grant Numbers 16H06005, 20H00173, and 20H05643. K. Horiuchi's work was supported by a Grant-in-Aid for Scientific Research (A) (grants 25247082, 19H00706) and a Grant-inAid for Scientific Research on Innovative Areas (grant 17H06320) from JSPS. K. Takano's work was supported by a Grant-in-Aid for Scientific Research (A) (grant 15H02340) from JSPS. Ionic measurements were carried out at RIKEN with the help of RIKEN CEMS Materials Characterization Support Team, and were supported by a JSPS Grant-in-Aid for Scientific Research (A) (Grant No. 17H01119).</t>
  </si>
  <si>
    <t>e2021JA029378</t>
  </si>
  <si>
    <t>10.1029/2021JA029378</t>
  </si>
  <si>
    <t>WOS:000711498900050</t>
  </si>
  <si>
    <t>Thierry, BNN; Tang, H; Achile, NP; Xu, LX; Zhou, C; Hu, FX</t>
  </si>
  <si>
    <t>Thierry, Bruno Nyatchouba Nsangue; Tang Hao; Achile, Njomoue Pandong; Xu Liuxiong; Zhou Cheng; Hu Fuxiang</t>
  </si>
  <si>
    <t>Experimental and Numerical Investigations of the Hydrodynamic Characteristics, Twine Deformation, and Flow Field Around the Netting Structure Composed of Two Types of Twine Materials for Midwater Trawls</t>
  </si>
  <si>
    <t>JOURNAL OF OCEAN UNIVERSITY OF CHINA</t>
  </si>
  <si>
    <t>netting; k-omega shear stress turbulent (SST) model; porous media model; large deflection nonlinear structural model; hydrodynamic characteristics</t>
  </si>
  <si>
    <t>RESISTANCE COEFFICIENTS; CURRENT LOADS; NET CAGES; SIMULATION; DRAG; MODEL; BEHAVIOR; FORCE</t>
  </si>
  <si>
    <t>Nettings are complex flexible structures used in various fisheries. Understanding the hydrodynamic characteristics, deformation, and the flow field around nettings is important to design successful fishing gear. This study investigated the hydrodynamic characteristics and deformation of five nettings made of polyethylene and nylon materials in different attack angles through numerical simulation and physical model experiment. The numerical model was based on the one-way coupling between computational fluid dynamics (CFD) and large deflection nonlinear structural models. Navier-Stokes equations were solved using the finite volume approach, the flow was described using the k-omega shear stress turbulent model, and the large deflection structural dynamic equation was derived using a finite element approach to understand the netting deformation and nodal displacement. The porous media model was chosen to model the nettings in the CFD solver. Numerical data were compared with the experimental results of the physical model to validate the numerical models. Results showed that the numerical data were compatible with the experimental data with an average relative error of 2.34%, 3.40%, 6.50%, and 5.80% in the normal drag coefficients, parallel drag coefficients, inclined drag coefficients, and inclined lift coefficients, respectively. The hydrodynamic forces of the polyethylene and nylon nettings decreased by approximately 52.56% and 66.66%, respectively, with decreasing net solidity. The drag and lift coefficients of the nylon netting were approximately 17.15% and 6.72% lower than those of the polyethylene netting. A spatial development of turbulent flow occurred around the netting because of the netting wake. However, the flow velocity reduction downstream from the netting in the wake region increased with increasing attack angle and net solidity. In addition, the deformation, stress, and strain on each netting increased with increasing solidity ratio.</t>
  </si>
  <si>
    <t>[Thierry, Bruno Nyatchouba Nsangue; Tang Hao; Xu Liuxiong; Zhou Cheng] Shanghai Ocean Univ, Coll Marine Sci, Shanghai 201306, Peoples R China; [Tang Hao; Xu Liuxiong; Zhou Cheng] Natl Engn Res Ctr Ocean Fisheries, Shanghai 201306, Peoples R China; [Tang Hao; Xu Liuxiong; Zhou Cheng] Minist Agr &amp; Rural Affairs, Key Lab Ocean Fisheries Explorat, Shanghai 201306, Peoples R China; [Tang Hao; Xu Liuxiong; Zhou Cheng] Shanghai Ocean Univ, Key Lab Sustainable Exploitat Ocean Fisheries Res, Minist Educ, Shanghai 201306, Peoples R China; [Tang Hao; Xu Liuxiong; Zhou Cheng] Minist Agr &amp; Rural Affairs, Sci Observing &amp; Expt Stn Ocean Fishery Resources, Shanghai 201306, Peoples R China; [Achile, Njomoue Pandong] Univ Douala, Natl High Polytech Sch Douala, Lab E3M, Douala 2701, Cameroon; [Hu Fuxiang] Tokyo Univ Marine Sci &amp; Technol, Fac Marine Sci, Minato Ku, Tokyo 1088477, Japan</t>
  </si>
  <si>
    <t>Shanghai Ocean University; National Engineering Research Center for Oceanic Fisheries; Ministry of Agriculture &amp; Rural Affairs; Shanghai Ocean University; Ministry of Agriculture &amp; Rural Affairs; Tokyo University of Marine Science &amp; Technology</t>
  </si>
  <si>
    <t>Tang, H (corresponding author), Shanghai Ocean Univ, Coll Marine Sci, Shanghai 201306, Peoples R China.;Tang, H (corresponding author), Natl Engn Res Ctr Ocean Fisheries, Shanghai 201306, Peoples R China.;Tang, H (corresponding author), Minist Agr &amp; Rural Affairs, Key Lab Ocean Fisheries Explorat, Shanghai 201306, Peoples R China.;Tang, H (corresponding author), Shanghai Ocean Univ, Key Lab Sustainable Exploitat Ocean Fisheries Res, Minist Educ, Shanghai 201306, Peoples R China.;Tang, H (corresponding author), Minist Agr &amp; Rural Affairs, Sci Observing &amp; Expt Stn Ocean Fishery Resources, Shanghai 201306, Peoples R China.</t>
  </si>
  <si>
    <t>htang@shou.edu.cn</t>
  </si>
  <si>
    <t>zhou, cheng/AEL-4243-2022; Bruno, Nyatchouba Nsangue Thierry/AAZ-5386-2021; xu, liu/KCL-1154-2024; Tang, Hao/GXH-6097-2022</t>
  </si>
  <si>
    <t>Tang, Hao/0000-0002-3393-1683</t>
  </si>
  <si>
    <t>National Natural Science Foundation of China [31902426, 41 806110]; Shanghai Sailing Program [19YF1419800]; National Key RAMP;D Program of China [2019YFD 0901502]; Special Project for the Exploitation and Utilization of Antarctic Biological Resources of Ministry of Agriculture and Rural Affairs [D-8002-18-0097]</t>
  </si>
  <si>
    <t>National Natural Science Foundation of China(National Natural Science Foundation of China (NSFC)); Shanghai Sailing Program; National Key RAMP;D Program of China; Special Project for the Exploitation and Utilization of Antarctic Biological Resources of Ministry of Agriculture and Rural Affairs</t>
  </si>
  <si>
    <t>This study was financially sponsored by the National Natural Science Foundation of China (Nos. 31902426, 41 806110), the Shanghai Sailing Program (No. 19YF1419800), the National Key R&amp;D Program of China (No. 2019YFD 0901502), and the Special Project for the Exploitation and Utilization of Antarctic Biological Resources of Ministry of Agriculture and Rural Affairs (No. D-8002-18-0097).</t>
  </si>
  <si>
    <t>OCEAN UNIV CHINA</t>
  </si>
  <si>
    <t>QINGDAO</t>
  </si>
  <si>
    <t>5 YUSHAN RD, QINGDAO, 266003, PEOPLES R CHINA</t>
  </si>
  <si>
    <t>1672-5182</t>
  </si>
  <si>
    <t>1993-5021</t>
  </si>
  <si>
    <t>J OCEAN U CHINA</t>
  </si>
  <si>
    <t>J. OCEAN UNIV.</t>
  </si>
  <si>
    <t>10.1007/s11802-021-4740-1</t>
  </si>
  <si>
    <t>TW8SM</t>
  </si>
  <si>
    <t>WOS:000682662400019</t>
  </si>
  <si>
    <t>Stewart, JA; Li, T; Spooner, PT; Burke, A; Chen, TY; Roberts, J; Rae, JWB; Peck, V; Kender, S; Liu, Q; Robinson, LF</t>
  </si>
  <si>
    <t>Stewart, Joseph A.; Li, Tao; Spooner, Peter T.; Burke, Andrea; Chen, Tianyu; Roberts, Jenny; Rae, James W. B.; Peck, Victoria; Kender, Sev; Liu, Qian; Robinson, Laura F.</t>
  </si>
  <si>
    <t>Productivity and Dissolved Oxygen Controls on the Southern Ocean Deep-Sea Benthos During the Antarctic Cold Reversal</t>
  </si>
  <si>
    <t>coral; foraminifera; Drake Passage; deglacial</t>
  </si>
  <si>
    <t>CORAL DESMOPHYLLUM-DIANTHUS; BORON ISOTOPE; ATMOSPHERIC CO2; SCLERACTINIAN CORAL; INTERMEDIATE WATER; SEAWATER PH; LAST; ICE; FORAMINIFERA; EVOLUTION</t>
  </si>
  <si>
    <t>The Antarctic Cold Reversal (ACR; 14.7 to 13 thousand years ago; ka) phase of the last deglaciation saw a pause in the rise of atmospheric CO2 and Antarctic temperature, that contrasted with warming in the North. A reexpansion of sea ice and a northward shift in the position of the westerly winds in the Southern Ocean are well-documented, but the response of deep-sea biota and the primary drivers of habitat viability remain unclear. Here, we present a new perspective on ecological changes in the deglacial Southern Ocean, including multifaunal benthic assemblage (foraminifera and cold-water corals) and coral geochemical data (Ba/Ca and delta B-11) from the Drake Passage. Our records show that, during the ACR, peak abundances of thick-walled benthic foraminifera Uvigerina bifurcata and corals are observed at shallow depths in the sub-Antarctic (similar to 300 m), while coral populations at greater depths and further south diminished. Our ecological and geochemical data indicate that habitat shifts were dictated by (a) a northward migration of food supply (primary production) into the sub-Antarctic Zone and (b) poorly oxygenated seawater at depth during this Antarctic cooling interval.</t>
  </si>
  <si>
    <t>[Stewart, Joseph A.; Li, Tao; Spooner, Peter T.; Chen, Tianyu; Liu, Qian; Robinson, Laura F.] Univ Bristol, Sch Earth Sci, Bristol, Avon, England; [Li, Tao; Chen, Tianyu] Nanjing Univ, Sch Earth Sci &amp; Engn, Nanjing, Peoples R China; [Spooner, Peter T.] UCL, Dept Earth Sci, London, England; [Burke, Andrea; Rae, James W. B.] Univ St Andrews, Sch Earth &amp; Environm Sci, St Andrews, Fife, Scotland; [Roberts, Jenny] Thermo Fisher Sci, Bremen, Germany; [Peck, Victoria] British Antarctic Survey, Cambridge, England; [Kender, Sev] Univ Exeter, Camborne Sch Mines, Exeter, Cornwall, England; [Kender, Sev] British Geol Survey, Environm Sci Ctr, Nottingham, England</t>
  </si>
  <si>
    <t>University of Bristol; Nanjing University; University of London; University College London; University of St Andrews; Thermo Fisher Scientific; UK Research &amp; Innovation (UKRI); Natural Environment Research Council (NERC); NERC British Antarctic Survey; University of Exeter; UK Research &amp; Innovation (UKRI); Natural Environment Research Council (NERC); NERC British Geological Survey</t>
  </si>
  <si>
    <t>Stewart, JA (corresponding author), Univ Bristol, Sch Earth Sci, Bristol, Avon, England.</t>
  </si>
  <si>
    <t>joseph.stewart@bristol.ac.uk</t>
  </si>
  <si>
    <t>Liu, Qian/JMB-0169-2023; Chen, Tianyu/JDD-7264-2023; Li, Tao/ITW-0434-2023; Rae, James/R-3812-2017; Kender, Sev/B-9409-2016</t>
  </si>
  <si>
    <t>Liu, Qian/0000-0001-9033-0879; Li, Tao/0000-0002-9975-152X; Rae, James/0000-0003-3904-2526; Stewart, Joseph/0000-0003-3092-5058; Spooner, Peter/0000-0003-1147-081X; Kender, Sev/0000-0003-4216-3214; Burke, Andrea/0000-0002-3754-1498</t>
  </si>
  <si>
    <t>Antarctic Bursary; ERC; NERC [278705, NE/S001743/1, NE/R005117/1, NE/N003861/1]; NERC [NE/S001743/1, NE/N003861/1, NE/R005117/1] Funding Source: UKRI</t>
  </si>
  <si>
    <t>Antarctic Bursary; ERC(European Research Council (ERC)); NERC(UK Research &amp; Innovation (UKRI)Natural Environment Research Council (NERC)); NERC(UK Research &amp; Innovation (UKRI)Natural Environment Research Council (NERC))</t>
  </si>
  <si>
    <t>We acknowledge the crew and researchers on board the research cruises who obtained the samples for this study. We thank C. Coath, C. Taylor, S. Mitchell, M. Prokopenko, M. Auro, A. Samperiz, M. Ferreira, C. Cole, and E. Littley for their help with laboratory work. We thank the editors and anonymous reviewers for their comments that improved this manuscript. Funding was provided by an Antarctic Bursary awarded to J.A.S., ERC and NERC grants awarded to L.F.R. (278705, NE/S001743/1, NE/R005117/1) and L.F.R. and J.W.B.R. (NE/N003861/1).</t>
  </si>
  <si>
    <t>e2021PA004288</t>
  </si>
  <si>
    <t>10.1029/2021PA004288</t>
  </si>
  <si>
    <t>WOS:000711966000008</t>
  </si>
  <si>
    <t>Guépin, C; Aloisio, R; Cummings, A; Anchordoqui, LA; Krizmanic, JF; Olinto, AV; Reno, MH; Venters, TM</t>
  </si>
  <si>
    <t>Guepin, Claire; Aloisio, Roberto; Cummings, Austin; Anchordoqui, Luis A.; Krizmanic, John F.; Olinto, Angela, V; Reno, Mary Hall; Venters, Tonia M.</t>
  </si>
  <si>
    <t>Indirect dark matter searches at ultrahigh energy neutrino detectors</t>
  </si>
  <si>
    <t>COSMIC-RAYS; CANDIDATES; SIMULATIONS; GALAXIES; CLUSTER; PROFILE; PHYSICS; MASSES; LIMITS</t>
  </si>
  <si>
    <t>High to ultrahigh energy neutrino detectors can uniquely probe the properties of dark matter chi by searching for the secondary neutrinos produced through annihilation and/or decay processes. We evaluate the sensitivities to dark matter thermally averaged annihilation cross section and partial decay width Gamma(chi -&gt;nu(nu) over bar) (in the mass scale 10(7) &lt;= m(chi)/GeV &lt;= 10(15)) for next generation observatories like POEMMA (Probe of Extreme Multi-Messenger Astrophysics) and GRAND (Giant Radio Array for Neutrino Detection). We show that in the range 10(7) &lt;= m(chi)/GeV &lt;= 10(11), space-based Cherenkov detectors like POEMMA have the advantage of full-sky coverage and rapid stewing, enabling an optimized dark matter observation strategy focusing on the Galactic Center. We also show that ground-based radio detectors such as GRAND can achieve high sensitivities and high duty cycles in radio quiet areas. We compare the sensitivities of next generation neutrino experiments with existing constraints from IceCube and updated 90% C.L. upper limits on and Gamma(chi -&gt;nu(nu) over bar) using results from the Pierre Auger Collaboration and Antarctic Impulsive Transient Antenna. We show that in the range 10(7) &lt;= m(V)/GeV &lt;= 10(11), POEMMA and GRAND10k will improve the neutrino sensitivity to particle dark matter by factors of 2 to 10 over existing limits, whereas GRAND200k will improve this sensitivity by 2 orders of magnitude. In the range 10(11) &lt;= m(chi)/GeV &lt;= 10(15), POEMMA's fluorescence observation mode will achieve an unprecedented sensitivity to dark matter properties. Finally, we highlight the importance of the uncertainties related to the dark matter distribution in the galactic halo, using the latest fit and estimates of the galactic parameters.</t>
  </si>
  <si>
    <t>[Guepin, Claire] Univ Maryland, Joint Space Sci Inst, College Pk, MD 20742 USA; [Aloisio, Roberto; Cummings, Austin] Gran Sasso Sci Inst, Laquila, Italy; [Aloisio, Roberto; Cummings, Austin] Ist Nazl Fis Nucl, Lab Nazl Gran Sasso, Assergi, AQ, Italy; [Anchordoqui, Luis A.] CUNY, Lehman Coll, Dept Phys &amp; Astron, New York, NY 10468 USA; [Anchordoqui, Luis A.] Amer Museum Nat Hist, Dept Astrophys, New York, NY 10024 USA; [Krizmanic, John F.] NASA, CRESST, Goddard Space Flight Ctr, Greenbelt, MD 20771 USA; [Krizmanic, John F.] Univ Maryland, Ctr Space Sci &amp; Technol, Baltimore, MD 21250 USA; [Olinto, Angela, V] Univ Chicago, EFI, KICP, Dept Astron &amp; Astrophys, Chicago, IL 60637 USA; [Reno, Mary Hall] Univ Iowa, Dept Phys &amp; Astron, Iowa City, IA 52242 USA; [Venters, Tonia M.] NASA, Astrophys Sci Div, Goddard Space Flight Ctr, Greenbelt, MD 20771 USA</t>
  </si>
  <si>
    <t>University System of Maryland; University of Maryland College Park; Gran Sasso Science Institute (GSSI); Istituto Nazionale di Fisica Nucleare (INFN); Gran Sasso Science Institute (GSSI); City University of New York (CUNY) System; Lehman College (CUNY); American Museum of Natural History (AMNH); National Aeronautics &amp; Space Administration (NASA); NASA Goddard Space Flight Center; University System of Maryland; University of Maryland Baltimore; University of Chicago; University of Iowa; National Aeronautics &amp; Space Administration (NASA); NASA Goddard Space Flight Center</t>
  </si>
  <si>
    <t>Guépin, C (corresponding author), Univ Maryland, Joint Space Sci Inst, College Pk, MD 20742 USA.</t>
  </si>
  <si>
    <t>cguepin@umd.edu</t>
  </si>
  <si>
    <t>Aloisio, Roberto/I-9533-2012; Venters, Tonia/D-2936-2012</t>
  </si>
  <si>
    <t>Aloisio, Roberto/0000-0003-0161-5923; Reno, Mary Hall/0000-0001-6264-3990; Venters, Tonia/0000-0002-4188-627X</t>
  </si>
  <si>
    <t>Neil Gehrels Prize Postdoctoral Fellowship; U.S. National Science Foundation [PHY-2112527]; U.S. Department of Energy [DE-SC-0010113]; NASA Probe Mission Concept Study award [16APROBES16-0023, NNX17AJ82G]; NASA at the University of Maryland, Baltimore County under NASA/GSFC [80NSSC19K0626, 17-APRA17-0066]</t>
  </si>
  <si>
    <t>Neil Gehrels Prize Postdoctoral Fellowship; U.S. National Science Foundation(National Science Foundation (NSF)); U.S. Department of Energy(United States Department of Energy (DOE)); NASA Probe Mission Concept Study award; NASA at the University of Maryland, Baltimore County under NASA/GSFC</t>
  </si>
  <si>
    <t>The authors thank Francis Halzen, Cosmin Deaconu, and Maria Benito for useful discussions. C. G. is supported by the Neil Gehrels Prize Postdoctoral Fellowship. L. A. A. is supported by the U.S. National Science Foundation Grant No. PHY-2112527. M. H. R. is supported in part by U.S. Department of Energy Grant No. DE-SC-0010113. The conceptual design for POEMMA was supported by the NASA Probe Mission Concept Study award 16APROBES16-0023 through Grant No. NNX17AJ82G for the 2020 Decadal Survey Planning. This work is supported by NASA Grant No. 80NSSC19K0626 at the University of Maryland, Baltimore County under proposal 17-APRA17-0066 at NASA/GSFC.</t>
  </si>
  <si>
    <t>10.1103/PhysRevD.104.083002</t>
  </si>
  <si>
    <t>WD0IT</t>
  </si>
  <si>
    <t>WOS:000704632300004</t>
  </si>
  <si>
    <t>Robinson, DE; Menzies, J; Wellner, JS; Clark, RW</t>
  </si>
  <si>
    <t>Robinson, Delaney E.; Menzies, John; Wellner, Julia S.; Clark, Rachel W.</t>
  </si>
  <si>
    <t>Subglacial sediment deformation in the Ross Sea, Antarctica</t>
  </si>
  <si>
    <t>QUATERNARY SCIENCE ADVANCES</t>
  </si>
  <si>
    <t>Last glacial maximum; Antarctica; Sedimentology-marine cores; Subglacial deformation; Microsedimentology; Paleo-ice stream; Ross Sea; Glacial history</t>
  </si>
  <si>
    <t>PLEISTOCENE-HOLOCENE RETREAT; SCANDINAVIAN ICE-SHEET; LAST GLACIAL MAXIMUM; CONTINENTAL-SHELF; MICROMORPHOLOGICAL EVIDENCE; GROUNDING ZONE; BASAL SEDIMENT; TILL FORMATION; SHAPE ANALYSIS; DEFORMING-BED</t>
  </si>
  <si>
    <t>The Ross Sea embayment is the outlet for one-third of all Antarctic ice flow, receiving input from both East and West Antarctica. Marine-based ice streams, whose stability is susceptible to global sea-level changes, expand and contract across the Ross Sea continental shelf, eroding and deforming the substrate and transporting sediment subglacially. Deposits from the Last Glacial Maximum in the western Ross Sea provide an opportunity to investigate paleo-ice stream processes using sediment cores associated with glacial landforms. This study combines micro-to macro-sedimentological analyses to characterize lithofacies that represent a glacial-interglacial succession. We observe subtle variations in sediment properties within the subglacial unit that suggest till heterogeneity. Physical characteristics that vary both laterally and vertically indicates different sediment response to glacial stress, resulting in non-pervasive deformation within the till. These observations are consistent with the interpretation that a dynamic ice sheet with variable flow regimes existed across the Ross Sea during the Last Glacial Maximum. Further microscopic evidence of dynamic subglacial conditions includes sediment aggregates preserved as discrete grains in the form of soft sediment clasts or till pellets. Till pellet-rich sediment is commonly associated with the transition from a subglacial to proximal glaciomarine environment, although here we demonstrate they are widespread in both facies. Their widespread occurrence downcore and distribution across the continental shelf provides sedimentological evidence of a deformable bed beneath an ice stream during the Last Glacial Maximum. Ultimately, better tools for discriminating between glacial deposits will allow for more detailed reconstructions of ice-sheet history, and thus determine the forcing mechanisms to which the ice is responding.</t>
  </si>
  <si>
    <t>[Robinson, Delaney E.; Wellner, Julia S.; Clark, Rachel W.] Univ Houston, Dept Earth &amp; Atmospher Sci, 4800 Calhoun Rd, Houston, TX 77204 USA; [Menzies, John] Brock Univ, Dept Earth Sci, St Catharines, ON L2S 3A1, Canada</t>
  </si>
  <si>
    <t>University of Houston System; University of Houston; Brock University</t>
  </si>
  <si>
    <t>Robinson, DE (corresponding author), Univ Houston, Dept Earth &amp; Atmospher Sci, 4800 Calhoun Rd, Houston, TX 77204 USA.</t>
  </si>
  <si>
    <t>derobin3@central.uh.edu</t>
  </si>
  <si>
    <t>; Menzies, John/P-5677-2018</t>
  </si>
  <si>
    <t>Wellner, Julia/0000-0002-6807-8635; Menzies, John/0000-0001-5446-3025; Clark, Rachel W./0000-0002-5487-3160</t>
  </si>
  <si>
    <t>2666-0334</t>
  </si>
  <si>
    <t>QUAT SCI ADV</t>
  </si>
  <si>
    <t>Quat. Sci. Adv.</t>
  </si>
  <si>
    <t>10.1016/j.qsa.2021.100029</t>
  </si>
  <si>
    <t>7H9SM</t>
  </si>
  <si>
    <t>WOS:000903536200002</t>
  </si>
  <si>
    <t>Venturelli, RA; Vick-Majors, TJ; Collins, B; Gagnon, A; Kasic, K; Kurz, MD; Li, W; Priscu, J; Roberts, M; Rosenheim, BE</t>
  </si>
  <si>
    <t>Venturelli, Ryan A.; Vick-Majors, Trista J.; Collins, Billy; Gagnon, Alan; Kasic, Kathy; Kurz, Mark D.; Li, Wei; Priscu, John; Roberts, Mark; Rosenheim, Brad E.</t>
  </si>
  <si>
    <t>SALSA Sci Team</t>
  </si>
  <si>
    <t>A FRAMEWORK FOR TRANSDISCIPLINARY RADIOCARBON RESEARCH: USE OF NATURAL-LEVEL AND ELEVATED-LEVEL 14C IN ANTARCTIC FIELD RESEARCH</t>
  </si>
  <si>
    <t>RADIOCARBON</t>
  </si>
  <si>
    <t>AMS; contamination; radiocarbon</t>
  </si>
  <si>
    <t>CONTAMINATION; LEUCINE</t>
  </si>
  <si>
    <t>Radiocarbon (C-14) is an isotopic tracer used to address a wide range of scientific research questions. However, contamination by elevated levels of C-14 is deleterious to natural-level laboratory workspaces and accelerator mass spectrometer facilities designed to precisely measure small amounts of C-14. The risk of contaminating materials and facilities intended for natural-level C-14 with elevated-level C-14-labeled materials has dictated near complete separation of research groups practicing profoundly different measurements. Such separation can hinder transdisciplinary research initiatives, especially in remote and isolated field locations where both natural-level and elevated-level radiocarbon applications may be useful. This paper outlines the successful collaboration between researchers making natural-level C-14 measurements and researchers using C-14-labeled materials during a subglacial drilling project in West Antarctica (SALSA 2018-2019). Our strict operating protocol allowed us to successfully carry out C-14 labeling experiments within close quarters at our remote field camp without contaminating samples of sediment and water intended for natural level C-14 measurements. Here we present our collaborative protocol for maintaining natural level C-14 cleanliness as a framework for future transdisciplinary radiocarbon collaborations.</t>
  </si>
  <si>
    <t>[Venturelli, Ryan A.; Rosenheim, Brad E.] Univ S Florida, Coll Marine Sci, 140 7th Ave South, St Petersburg, FL 33701 USA; [Vick-Majors, Trista J.] Michigan Technol Univ, Dept Biol Sci, Great Lakes Res Ctr, Houghton, MI 49931 USA; [Collins, Billy; Li, Wei; Priscu, John] Montana State Univ, Bozeman, MT 59717 USA; [Gagnon, Alan; Kurz, Mark D.; Roberts, Mark] Woods Hole Oceanog Inst NOSAMS, Geol &amp; Geophys, Woods Hole, MA 02543 USA; [Kasic, Kathy] Calif State Univ Sacramento, Sacramento, CA 95819 USA</t>
  </si>
  <si>
    <t>State University System of Florida; University of South Florida; Michigan Technological University; Montana State University System; Montana State University Bozeman; California State University System; California State University Sacramento</t>
  </si>
  <si>
    <t>Venturelli, RA (corresponding author), Univ S Florida, Coll Marine Sci, 140 7th Ave South, St Petersburg, FL 33701 USA.</t>
  </si>
  <si>
    <t>rventurelli@tulane.edu</t>
  </si>
  <si>
    <t>Vick-Majors, Trista/0000-0002-6868-4010</t>
  </si>
  <si>
    <t>National Science Foundation, Subglacial Antarctic Lakes Scientific Access (SALSA) project [OPP-1543347]; NOSAMS internship program [OCE-1755125]</t>
  </si>
  <si>
    <t>National Science Foundation, Subglacial Antarctic Lakes Scientific Access (SALSA) project; NOSAMS internship program</t>
  </si>
  <si>
    <t>This work was supported by the National Science Foundation as part of the Subglacial Antarctic Lakes Scientific Access (SALSA) project (OPP-1543347) and the NOSAMS internship program (OCE-1755125) . We thank Rebecca Ricards, Matthew Kippenhan, and Steve Zellerhoff for their help in keeping SALSA camp radiocarbon clean. This manuscript benefited from comments made by two anonymous reviewers.</t>
  </si>
  <si>
    <t>0033-8222</t>
  </si>
  <si>
    <t>1945-5755</t>
  </si>
  <si>
    <t>Radiocarbon</t>
  </si>
  <si>
    <t>10.1017/RDC.2021.55</t>
  </si>
  <si>
    <t>WY0QA</t>
  </si>
  <si>
    <t>WOS:000718989700012</t>
  </si>
  <si>
    <t>Hollmann, H; Treverrow, A; Peters, LE; Reading, AM; Kulessa, B</t>
  </si>
  <si>
    <t>Hollmann, Hannes; Treverrow, Adam; Peters, Leo E.; Reading, Anya M.; Kulessa, Bernd</t>
  </si>
  <si>
    <t>Seismic observations of a complex firn structure across the Amery Ice Shelf, East Antarctica</t>
  </si>
  <si>
    <t>Polar firn; seismics; snow mechanics</t>
  </si>
  <si>
    <t>DRONNING-MAUD LAND; WEST ANTARCTICA; STRAIN RATES; POLAR FIRN; DENSIFICATION; ORIENTATION; ANISOTROPY; MICROSTRUCTURE; GREENLAND; FABRICS</t>
  </si>
  <si>
    <t>We use seismic refraction data to investigate the firn structure across a suture zone on the Amery Ice Shelf, East Antarctica, and the possible role of glacier dynamics in firn evolution. In the downstream direction, the data reveal decreasing compressional-wave velocities and increasing penetration depth of the propagating wave in the firn layer, consistent with similar to 1 m firn thickening every 6 km. The boundary between the Lambert Glacier unit to the west and a major suture zone and the Mawson Escarpment Ice Stream unit to the east, is marked by differences in firn thicknesses, compressional-wave velocities and seismic anisotropy in the across-flow direction. The latter does not contradict the presence of a single-maximum crystal orientation fabric oriented 45-90 degrees away from the flow direction. This is consistent with the presence of transverse simple shear governing the region's underlying ice flow regime, in association with elevated strain along the suture zone. The confirmation and quantification of the implied dynamic coupling between firn and the underlying ice requires integration of future seismic refraction, coring and modelling studies. Because firn is estimated to cover similar to 98% of the Antarctic continent any such coupling may have widespread relevance to ice-sheet evolution and flow.</t>
  </si>
  <si>
    <t>[Hollmann, Hannes; Treverrow, Adam] Univ Tasmania, Inst Marine &amp; Antarctic Studies, Hobart, Tas, Australia; [Peters, Leo E.] Univ West Indies, Seism Res Ctr, St Augustine, Trinidad Tobago; [Reading, Anya M.] Univ Tasmania, Sch Nat Sci Phys, Hobart, Tas, Australia; [Kulessa, Bernd] Swansea Univ, Coll Sci, Swansea, W Glam, Wales</t>
  </si>
  <si>
    <t>University of Tasmania; University West Indies Mona Jamaica; University West Indies Saint Augustine; University of Tasmania; Swansea University</t>
  </si>
  <si>
    <t>Hollmann, H (corresponding author), Univ Tasmania, Inst Marine &amp; Antarctic Studies, Hobart, Tas, Australia.</t>
  </si>
  <si>
    <t>hannes.hollmann@utas.edu.au</t>
  </si>
  <si>
    <t>Treverrow, Adam/J-7450-2014; Reading, Anya M/E-6728-2012</t>
  </si>
  <si>
    <t>Reading, Anya M/0000-0002-9316-7605; Hollmann, Hannes/0000-0001-6113-1627</t>
  </si>
  <si>
    <t>Australian Research Council's Special Research Initiative for Antarctic Gateway Partnership [SR140300001]; Australian Antarctic Division (AAD) ASAC [2581]</t>
  </si>
  <si>
    <t>Australian Research Council's Special Research Initiative for Antarctic Gateway Partnership(Australian Research Council); Australian Antarctic Division (AAD) ASAC</t>
  </si>
  <si>
    <t>This research was supported under Australian Research Council's Special Research Initiative for Antarctic Gateway Partnership (Project ID SR140300001). The seismic survey was supported by the Australian Antarctic Division (AAD) ASAC Project 2581 with Richard Coleman as Chief Investigator. Data from the 2004/05 seismic survey can be found on the data portal of the Institute for Marine and Antarctic Studies, University of Tasmania (http://dx.doi.org/doi:10.25959/5e52efd1ab9e7), or via contacting the authors. We thank Alex Brisbourne, Coen Hofstede and the editor for thoughtful reviews which improved the manuscript. We also thank Christopher Watson and Richard Coleman for providing advice and assistance.</t>
  </si>
  <si>
    <t>10.1017/jog.2021.21</t>
  </si>
  <si>
    <t>UQ3HA</t>
  </si>
  <si>
    <t>WOS:000695957300003</t>
  </si>
  <si>
    <t>Ohno, H; Iizuka, Y; Fujita, S</t>
  </si>
  <si>
    <t>Ohno, Hiroshi; Iizuka, Yoshinori; Fujita, Shuji</t>
  </si>
  <si>
    <t>Pure rotational Raman spectroscopy applied to N2/O2 analysis of air bubbles in polar firn</t>
  </si>
  <si>
    <t>Antarctic glaciology; ice core; polar firn</t>
  </si>
  <si>
    <t>ICE CORE; MOLECULAR-DIFFUSION; CLOSE-OFF; GASES; FRACTIONATION; CHRONOLOGY; INCLUSIONS; CLIMATE; RECORD</t>
  </si>
  <si>
    <t>Earlier gas measurements of firn air (atmosphere in open pore channels) at polar sites have revealed the occurrence of gas fractionation phenomena during bubble close-off, in addition to well-known thermal and gravitational gas separation. Nevertheless, because of difficulties posed by measurement, little is known about the distribution of air constituents in already closed pores (bubbles) in firn. Herein, we describe the application of high-sensitivity pure rotational Raman spectroscopy, combined with sample immersion in the fluorocarbon-based inert fluid for removing the optical disturbance by diffused reflection. That application efficiently elicits information about nitrogen and oxygen composition ratios (N-2/O-2 or O-2/N-2) for each air bubble in firn. The developed methodology presents important implications for elucidating how gas records are formed and modified in the course of pore close-off in polar firn.</t>
  </si>
  <si>
    <t>[Ohno, Hiroshi] Kitami Inst Technol, Kitami, Hokkaido, Japan; [Iizuka, Yoshinori] Hokkaido Univ, Inst Low Temp Sci, Sapporo, Hokkaido, Japan; [Fujita, Shuji] Natl Inst Polar Res, Res Org Informat &amp; Syst ROIS, Tokyo, Japan; [Fujita, Shuji] Grad Univ Adv Studies, Sch Multidisciplinary Sci, Dept Polar Sci, SOKENDAI, Miura, Kanagawa, Japan</t>
  </si>
  <si>
    <t>Kitami Institute of Technology; Hokkaido University; Research Organization of Information &amp; Systems (ROIS); National Institute of Polar Research (NIPR) - Japan; Graduate University for Advanced Studies - Japan</t>
  </si>
  <si>
    <t>Ohno, H (corresponding author), Kitami Inst Technol, Kitami, Hokkaido, Japan.</t>
  </si>
  <si>
    <t>h_ohno@mail.kitami-it.ac.jp</t>
  </si>
  <si>
    <t>Ohno, Hiroshi/L-7899-2014; Iizuka, Yoshinori/D-9112-2012; Fujita, Shuji/A-7884-2016</t>
  </si>
  <si>
    <t>Fujita, Shuji/0000-0003-0127-0777</t>
  </si>
  <si>
    <t>MEXT/JSPS KAKENHI [18H05292, 18H05294]; Joint Research Program of the Institute of Low Temperature Science, Hokkaido University; General Collaboration Project of the National Institute of Polar Research; Grants-in-Aid for Scientific Research [18H05294, 18H05292] Funding Source: KAKEN</t>
  </si>
  <si>
    <t>MEXT/JSPS KAKENHI(Ministry of Education, Culture, Sports, Science and Technology, Japan (MEXT)Japan Society for the Promotion of ScienceGrants-in-Aid for Scientific Research (KAKENHI)); Joint Research Program of the Institute of Low Temperature Science, Hokkaido University; General Collaboration Project of the National Institute of Polar Research; Grants-in-Aid for Scientific Research(Ministry of Education, Culture, Sports, Science and Technology, Japan (MEXT)Japan Society for the Promotion of ScienceGrants-in-Aid for Scientific Research (KAKENHI))</t>
  </si>
  <si>
    <t>We thank all participants for fieldwork, ice sampling, and logistic support. The present research is supported by a Grant-in-Aid for Scientific Research on Creative Scientific Research, Japan. This study was supported by MEXT/JSPS KAKENHI grants 18H05292 and 18H05294, the Joint Research Program of the Institute of Low Temperature Science, Hokkaido University, and the General Collaboration Project of the National Institute of Polar Research.</t>
  </si>
  <si>
    <t>PII S002214302100040X</t>
  </si>
  <si>
    <t>10.1017/jog.2021.40</t>
  </si>
  <si>
    <t>WOS:000695957300013</t>
  </si>
  <si>
    <t>Arthur, JF; Stokes, CR; Jamieson, SSR; Miles, BWJ; Carr, JR; Leeson, AA</t>
  </si>
  <si>
    <t>Arthur, Jennifer F.; Stokes, Chris R.; Jamieson, Stewart S. R.; Miles, Bertie W. J.; Carr, J. Rachel; Leeson, Amber A.</t>
  </si>
  <si>
    <t>The triggers of the disaggregation of Voyeykov Ice Shelf (2007), Wilkes Land, East Antarctica, and its subsequent evolution</t>
  </si>
  <si>
    <t>Ice/atmosphere interactions; ice/ocean interactions; ice-shelf break-up; melt-surface; sea-ice/ice-shelf interactions</t>
  </si>
  <si>
    <t>SURFACE MASS-BALANCE; SEA-ICE; BREAK-UP; JAKOBSHAVN ISBRAE; OUTLET GLACIERS; LARSEN; CLIMATE; VARIABILITY; MELANGE; DISINTEGRATION</t>
  </si>
  <si>
    <t>The weakening and/or removal of floating ice shelves in Antarctica can induce inland ice flow acceleration. Numerical modelling suggests these processes will play an important role in Antarctica's future sea-level contribution, but our understanding of the mechanisms that lead to ice tongue/shelf collapse is incomplete and largely based on observations from the Antarctic Peninsula and West Antarctica. Here, we use remote sensing of structural glaciology and ice velocity from 2001 to 2020 and analyse potential ocean-climate forcings to identify mechanisms that triggered the rapid disintegration of similar to 2445 km(2) of ice melange and part of the Voyeykov Ice Shelf in Wilkes Land, East Antarctica between 27 March and 28 May 2007. Results show disaggregation was pre-conditioned by weakening of the ice tongue's structural integrity and was triggered by melange removal driven by a regional atmospheric circulation anomaly and a less extensive latent-heat polynya. Disaggregation did not induce inland ice flow acceleration, but our observations highlight an important mechanism through which floating termini can be removed, whereby the break-out of melange and multiyear landfast sea ice triggers disaggregation of a structurally-weak ice shelf. These observations highlight the need for numerical ice-sheet models to account for interactions between sea-ice, melange and ice shelves.</t>
  </si>
  <si>
    <t>[Arthur, Jennifer F.; Stokes, Chris R.; Jamieson, Stewart S. R.; Miles, Bertie W. J.] Univ Durham, Dept Geog, Durham DH1 3LE, England; [Carr, J. Rachel] Newcastle Univ, Sch Geog Polit &amp; Sociol, Newcastle Upon Tyne NE1 7RU, Tyne &amp; Wear, England; [Leeson, Amber A.] Univ Lancaster, Lancaster Environm Ctr, Data Sci Inst, Lancaster LA1 4YW, England</t>
  </si>
  <si>
    <t>Durham University; Newcastle University - UK; Lancaster University</t>
  </si>
  <si>
    <t>Arthur, JF (corresponding author), Univ Durham, Dept Geog, Durham DH1 3LE, England.</t>
  </si>
  <si>
    <t>jennifer.arthur@durham.ac.uk</t>
  </si>
  <si>
    <t>Stokes, Chris R/A-1957-2011; Leeson, Amber/JFA-1001-2023; Jamieson, Stewart/B-8330-2013</t>
  </si>
  <si>
    <t>Miles, Bertie/0000-0002-3388-4688; Jamieson, Stewart/0000-0002-9036-2317; Leeson, Amber/0000-0001-8720-9808; Arthur, Jennifer/0000-0001-8753-7211</t>
  </si>
  <si>
    <t>IAPETUS Natural Environment Research Council (NERC) Doctoral Training Partnership [NE/L002590/1]; NERC [NE/R000824/1]</t>
  </si>
  <si>
    <t>IAPETUS Natural Environment Research Council (NERC) Doctoral Training Partnership(UK Research &amp; Innovation (UKRI)Natural Environment Research Council (NERC)); NERC(UK Research &amp; Innovation (UKRI)Natural Environment Research Council (NERC))</t>
  </si>
  <si>
    <t>J.F.A. was funded by the IAPETUS Natural Environment Research Council (NERC) Doctoral Training Partnership (grant number NE/L002590/1). C.R.S., S.S.R.J. and B.W.L.M. were supported by NERC grant NE/R000824/1. We acknowledge RACMO data from M.R van den Broeke, the Norwegian Polar Institute's Quantarctica package, and Copernicus Climate Change Service Information (ERA5 reanalysis). We thank two anonymous reviewers for providing constructive comments which led to the improvement of this paper and the editor (Helen Fricker) for handling the manuscript.</t>
  </si>
  <si>
    <t>10.1017/jog.2021.45</t>
  </si>
  <si>
    <t>WOS:000695957300016</t>
  </si>
  <si>
    <t>Kumar, A; Mukhia, S; Kumar, R</t>
  </si>
  <si>
    <t>Kumar, Anil; Mukhia, Srijana; Kumar, Rakshak</t>
  </si>
  <si>
    <t>Industrial applications of cold-adapted enzymes: challenges, innovations and future perspective</t>
  </si>
  <si>
    <t>3 BIOTECH</t>
  </si>
  <si>
    <t>Psychrophiles; Cold-adapted enzymes; Flexibility; Industrial applications; Omics tools</t>
  </si>
  <si>
    <t>GAMMA-CARBONIC ANHYDRASE; ALKALINE PECTATE LYASE; L-TERT-LEUCINE; SUPEROXIDE-DISMUTASE; BIOCHEMICAL-CHARACTERIZATION; PSYCHROPHILIC BACTERIUM; BETA-GALACTOSIDASE; POTENTIAL APPLICATION; ANTARCTIC BACTERIUM; MARINE BACTERIUM</t>
  </si>
  <si>
    <t>Extreme cold environments are potential reservoirs of microorganisms producing unique and novel enzymes in response to environmental stress conditions. Such cold-adapted enzymes prove to be valuable tools in industrial biotechnology to meet the increasing demand for efficient biocatalysts. The inherent properties like high catalytic activity at low temperature, high specific activity and low activation energy make the cold-adapted enzymes well suited for application in various industries. The interest in this group of enzymes is expanding as they are the preferred alternatives to harsh chemical synthesis owing to their biodegradable and non-toxic nature. Irrespective of the multitude of applications, the use of cold-adapted enzymes at the industrial level is still limited. The current review presents the unique adaptive features and the role of cold-adapted enzymes in major industries like food, detergents, molecular biology and bioremediation. The review highlights the significance of omics technology i.e., metagenomics, metatranscriptomics and metaproteomics in enzyme bioprospection from extreme environments. It further points out the challenges in using cold-adapted enzymes at the industrial level and the innovations associated with novel enzyme prospection strategies. Documentations on cold-adapted enzymes and their applications are abundant; however, reports on the role of omics tools in exploring cold-adapted enzymes are still scarce. So, the review covers the aspect concerning the novel techniques for enzyme discovery from nature.</t>
  </si>
  <si>
    <t>[Kumar, Anil; Mukhia, Srijana; Kumar, Rakshak] CSIR, Biotechnol Div, Inst Himalayan Bioresource Technol, POB 06, Palampur 176061, Himachal Prades, India; [Kumar, Anil] Acad Sci &amp; Innovat Res AcSIR, Ghaziabad 201002, Uttar Pradesh, India; [Mukhia, Srijana] Guru Nanak Dev Univ, Dept Microbiol, Amritsar 143005, Punjab, India</t>
  </si>
  <si>
    <t>Council of Scientific &amp; Industrial Research (CSIR) - India; CSIR - Institute of Himalayan Bioresource Technology (IHBT); Academy of Scientific &amp; Innovative Research (AcSIR); Guru Nanak Dev University</t>
  </si>
  <si>
    <t>Kumar, R (corresponding author), CSIR, Biotechnol Div, Inst Himalayan Bioresource Technol, POB 06, Palampur 176061, Himachal Prades, India.</t>
  </si>
  <si>
    <t>rakshak@ihbt.res.in</t>
  </si>
  <si>
    <t>Kumar, Anil/ISA-5408-2023; Kumar, Rakshak/AAP-8704-2020</t>
  </si>
  <si>
    <t>Kumar, Anil/0000-0002-2286-1763; Kumar, Rakshak/0000-0002-6982-2454</t>
  </si>
  <si>
    <t>Department of Biotechnology (DBT), Ministry of Science and Technology Government of India [DBT/JRF/BET-17/I/2017/AL/367]; Indian Council of Medical Research (ICMR), Government of India [45/17/2020-/BIO/BMS]; Department of Science and Technology (DST), Government of India [DST/INSPIRE/04/2014/001280]; CSIR in-house project [MLP00201]; NMHS project of MoEFCC (NMHS) [GBPNI/NMHS-2018-19/SG/178]; Science and Engineering Research Board [SRG/2019/001071]; DST-TDT [DST/TDT/WM/2019/43]</t>
  </si>
  <si>
    <t>Department of Biotechnology (DBT), Ministry of Science and Technology Government of India(Department of Biotechnology (DBT) IndiaMinistry of Science and Technology, Government of India); Indian Council of Medical Research (ICMR), Government of India(Indian Council of Medical Research (ICMR)); Department of Science and Technology (DST), Government of India(Department of Science &amp; Technology (India)); CSIR in-house project; NMHS project of MoEFCC (NMHS); Science and Engineering Research Board; DST-TDT</t>
  </si>
  <si>
    <t>AK acknowledges the Department of Biotechnology (DBT), Ministry of Science and Technology Government of India, for the PhD studentship award (DBT/JRF/BET-17/I/2017/AL/367). SM acknowledges the Indian Council of Medical Research (ICMR), Government of India, for Senior Research Fellowship (SRF) award (No. 45/17/2020-/BIO/BMS). RK acknowledges the Department of Science and Technology (DST), Government of India, for the DST INSPIRE faculty award (DST/INSPIRE/04/2014/001280). Authors acknowledge the financial support by the CSIR in-house project MLP00201, NMHS project of MoEF&amp;CC (NMHS sanction no. GBPNI/NMHS-2018-19/SG/178), Science and Engineering Research Board Start-up research Grant no. SRG/2019/001071) and DST-TDT project no. DST/TDT/WM/2019/43. This manuscript represents CSIR-IHBT communication no. 4838.</t>
  </si>
  <si>
    <t>2190-572X</t>
  </si>
  <si>
    <t>2190-5738</t>
  </si>
  <si>
    <t>3 Biotech</t>
  </si>
  <si>
    <t>10.1007/s13205-021-02929-y</t>
  </si>
  <si>
    <t>UN8BF</t>
  </si>
  <si>
    <t>WOS:000694234100001</t>
  </si>
  <si>
    <t>Barnes, DKA; Sands, CJ; Paulsen, ML; Moreno, B; Moreau, C; Held, C; Downey, R; Bax, N; Stark, J; Zwerschke, N</t>
  </si>
  <si>
    <t>Barnes, D. K. A.; Sands, C. J.; Paulsen, M. L.; Moreno, B.; Moreau, C.; Held, C.; Downey, R.; Bax, N.; Stark, J.; Zwerschke, N.</t>
  </si>
  <si>
    <t>Societal importance of Antarctic negative feedbacks on climate change: blue carbon gains from sea ice, ice shelf and glacier losses</t>
  </si>
  <si>
    <t>Blue carbon; Ecosystem services; Sea ice; Nature-based solutions; Southern Ocean</t>
  </si>
  <si>
    <t>OCEAN ACIDIFICATION; ORGANIC-CARBON; BENTHIC COMMUNITIES; IMPACT; RETREAT; GROWTH; SEDIMENTATION; DISTURBANCE</t>
  </si>
  <si>
    <t>Diminishing prospects for environmental preservation under climate change are intensifying efforts to boost capture, storage and sequestration (long-term burial) of carbon. However, as Earth's biological carbon sinks also shrink, remediation has become a key part of the narrative for terrestrial ecosystems. In contrast, blue carbon on polar continental shelves have stronger pathways to sequestration and have increased with climate-forced marine ice losses-becoming the largest known natural negative feedback on climate change. Here we explore the size and complex dynamics of blue carbon gains with spatiotemporal changes in sea ice (60-100 MtCyear(-1)), ice shelves (4-40 MtCyear(-1) = giant iceberg generation) and glacier retreat (&lt; 1 MtCyear(-1)). Estimates suggest that, amongst these, reduced duration of seasonal sea ice is most important. Decreasing sea ice extent drives longer (not necessarily larger biomass) smaller cell-sized phytoplankton blooms, increasing growth of many primary consumers and benthic carbon storage-where sequestration chances are maximal. However, sea ice losses also create positive feedbacks in shallow waters through increased iceberg movement and scouring of benthos. Unlike loss of sea ice, which enhances existing sinks, ice shelf losses generate brand new carbon sinks both where giant icebergs were, and in their wake. These also generate small positive feedbacks from scouring, minimised by repeat scouring at biodiversity hotspots. Blue carbon change from glacier retreat has been least well quantified, and although emerging fjords are small areas, they have high storage-sequestration conversion efficiencies, whilst blue carbon in polar waters faces many diverse and complex stressors. The identity of these are known (e.g. fishing, warming, ocean acidification, non-indigenous species and plastic pollution) but not their magnitude of impact. In order to mediate multiple stressors, research should focus on wider verification of blue carbon gains, projecting future change, and the broader environmental and economic benefits to safeguard blue carbon ecosystems through law.</t>
  </si>
  <si>
    <t>[Barnes, D. K. A.; Sands, C. J.; Zwerschke, N.] British Antarctic Survey, NERC, Cambridge, England; [Barnes, D. K. A.; Sands, C. J.; Paulsen, M. L.; Moreno, B.; Moreau, C.; Held, C.; Downey, R.; Bax, N.; Stark, J.; Zwerschke, N.] Australian Antarctic Div, Hobart, Tas, Australia; [Paulsen, M. L.] Aarhus Univ, Aarhus, Denmark; [Moreno, B.] Univ Cient Sur, Lima, Peru; [Moreau, C.] Univ Libre Bruxelles, Brussels, Belgium; [Held, C.] Alfred Wegner Inst, Bremerhaven, Germany; [Downey, R.] Australian Natl Univ, Canberra, ACT, Australia; [Bax, N.] South Atlantic Environm Res Inst, Stanley, South Atlantic, Falkland Island</t>
  </si>
  <si>
    <t>Paulsen, Maria Lund/0000-0002-1474-7258; Moreno, Bernabe/0000-0002-9751-6307; Zwerschke, Nadescha/0000-0003-4099-8269; Sands, Chester/0000-0003-1028-0328; Moreau, Camille/0000-0002-0981-7442; Barnes, David/0000-0002-9076-7867</t>
  </si>
  <si>
    <t>10.1007/s00114-021-01748-8</t>
  </si>
  <si>
    <t>UM8NR</t>
  </si>
  <si>
    <t>WOS:000693583100002</t>
  </si>
  <si>
    <t>Baigorría, M</t>
  </si>
  <si>
    <t>Baigorria, Martin</t>
  </si>
  <si>
    <t>Territory in Contemporanean Argentinian Poetry: objectivism, 1990's poetry, and an Antarctic experiment</t>
  </si>
  <si>
    <t>PALABRA</t>
  </si>
  <si>
    <t>Spanish</t>
  </si>
  <si>
    <t>poetry; territory; objectivism; argentine nineties poetry; everyday speech</t>
  </si>
  <si>
    <t>Territory, as a special concern for the space in terms of local reality, allows us to reflect on some important novelties surfaced across contemporary Argentinian poetry. The dialogue between common speech and sight that characterize Argentinean 1990's poetry (Porrua 2001, 2004) can be also applied to the analysis of the relationships among subjective perception, changes in the social landscape, and the historical controversies that surround those issues. El guadal (Garcia Helder) and La zanjita (Desiderio) set the basic frame, and propose territory through observation or experimenting with oral speech. Combined or in separate ways, these possibilities can be found in El cielo de Boedo (Durand), Poesia civil (Raimondi) or Pujato (Cortinas). Particularly, Raimondi's and Cortinas's books reflect deeply on issues firstly laid out by the Argeninean essay along the 20th century (the function of collective symbols, identity as cultural problem, as well as their connection with the local territory, among other issues).</t>
  </si>
  <si>
    <t>[Baigorria, Martin] Univ Pedag Nacl, Literatura, Bogota, Colombia; [Baigorria, Martin] Univ Buenos Aires, Buenos Aires, DF, Argentina; [Baigorria, Martin] UNSAM, CONICET, LICH, CEPEL, Buenos Aires, DF, Argentina</t>
  </si>
  <si>
    <t>University of Buenos Aires; Consejo Nacional de Investigaciones Cientificas y Tecnicas (CONICET)</t>
  </si>
  <si>
    <t>Baigorría, M (corresponding author), Univ Pedag Nacl, Literatura, Bogota, Colombia.;Baigorría, M (corresponding author), Univ Buenos Aires, Buenos Aires, DF, Argentina.;Baigorría, M (corresponding author), UNSAM, CONICET, LICH, CEPEL, Buenos Aires, DF, Argentina.</t>
  </si>
  <si>
    <t>martin.rodriguezbaigorria@gmail.com</t>
  </si>
  <si>
    <t>Rodriguez Baigorria, Martin/0000-0001-5306-9288</t>
  </si>
  <si>
    <t>UNIV PEDAGOGICA &amp; TECNOLOGICA COLOMBIA, INST INVESTIG &amp; FORMACION AVANZADA</t>
  </si>
  <si>
    <t>TUNJA</t>
  </si>
  <si>
    <t>CARRETERA CENTRAL DEL NORTE, TUNJA, BOY 00000, COLOMBIA</t>
  </si>
  <si>
    <t>0121-8530</t>
  </si>
  <si>
    <t>2346-3864</t>
  </si>
  <si>
    <t>Palabra</t>
  </si>
  <si>
    <t>10.19053/01218530.n39.2020.11260</t>
  </si>
  <si>
    <t>Literature</t>
  </si>
  <si>
    <t>RU0BL</t>
  </si>
  <si>
    <t>WOS:000644817200003</t>
  </si>
  <si>
    <t>Fedorov, AM; Budyansky, MV; Belonenko, TV; Prants, SV; Uleysky, MY; Bashmachnikov, IL</t>
  </si>
  <si>
    <t>Fedorov, A. M.; Budyansky, M., V; Belonenko, T., V; Prants, S., V; Uleysky, M. Yu; Bashmachnikov, I. L.</t>
  </si>
  <si>
    <t>Lagrangian modeling of water circulation in the Lofoten Basin</t>
  </si>
  <si>
    <t>DYNAMICS OF ATMOSPHERES AND OCEANS</t>
  </si>
  <si>
    <t>The Lofoten basin; The Norwegian Sea; The Lofoten Vortex; Numerical modeling; Lagrangian tracking</t>
  </si>
  <si>
    <t>BAROCLINIC INSTABILITY; VERTICAL VELOCITY; MESOSCALE EDDIES; NORWEGIAN SEA; VORTEX; TRANSPORT; STABILITY</t>
  </si>
  <si>
    <t>Lagrangian particle tracking is implemented for the Lofoten Basin of the Norwegian Sea. The ocean dynamic fields are obtained from the GLORYS 12V1 reanalysis available by the Copernicus Marine Environment Monitoring Service. Spatial distributions of the Lagrangian particles during May-November 2014 are analyzed for two depth layers: the sea-surface (0.5 m) and 266 m. The results show a significant impact of the Norwegian Coastal Current (NCC) on the thermohaline structure of the upper Lofoten Basin, underestimated previously. The NCC penetrates deep into the central Lofoten basin as far as the longitude 0 degrees. In the subsurface layer, the area over which the NCC influences water structure is comparable to the area of the Norwegian Atlantic Slope Current (NASC), as well as to that of the Norwegian Atlantic Frontal Current (NAFC). The NCC maximum influence on the surface water of the Basin is reached in August. The inflow of the NCC is associated with relatively fresh water intrusions (0.5-2 parts per thousand fresher than the surrounding waters) moving from the coast to the central part of the Basin. The NASC and NAFC form two main sources of the Atlantic Water in the Lofoten Basin. At 266 m level, the NASC and NAFC waters dominate water structure in the basin. Herewith the NASC influence prevails over that of the NAFC, the latter being limited to the western periphery of the Basin. At this level, the NCC is observed only along a narrow band following the eastern coast. During summer, the core of the Lofoten Vortex (LV) at 266 m is mainly composed of the NAFC water. This fact contradicts the previous point of view of the dominance of the NASC in the LV core at all depth levels. Using two types of Lagrangian maps, we highlighted the summer and the autumn periods in the LV annual lifecycle. The summer LV is characterized by high orbital velocities, which are several times higher than those of the currents along the basin boundaries. The monthly mean orbital velocities in the LV reach 35 cm s(-1). To the end of autumn, the LV weakens with the monthly mean orbital velocities below 10 cm s(-1).</t>
  </si>
  <si>
    <t>[Fedorov, A. M.; Belonenko, T., V; Bashmachnikov, I. L.] St Petersburg State Univ, 7-9 Univ Skaya Nab, St Petersburg 199034, Russia; [Fedorov, A. M.; Bashmachnikov, I. L.] NIERSC, Nansen Int Environm &amp; Remote Sensing Ctr, 14th Line,7, St Petersburg 199034, Russia; [Fedorov, A. M.] Arctic &amp; Antarctic Res Inst, Bering Str 38, St Petersburg 199397, Russia; [Budyansky, M., V; Prants, S., V; Uleysky, M. Yu] Russian Acad Sci, Pacific Oceanol Inst, 43 Baltiiskaya St, Vladivostok 690041, Russia</t>
  </si>
  <si>
    <t>Saint Petersburg State University; Nansen Environmental &amp; Remote Sensing Center (NERSC); Arctic &amp; Antarctic Research Institute; Russian Academy of Sciences; Ilichev Pacific Oceanological Institute</t>
  </si>
  <si>
    <t>Fedorov, AM (corresponding author), Arctic &amp; Antarctic Res Inst, Bering Str 38, St Petersburg 199397, Russia.</t>
  </si>
  <si>
    <t>a.fedorov@spbu.ru</t>
  </si>
  <si>
    <t>Bashmachnikov, Igor/B-2879-2012; Uleysky, Michael Yu./G-7178-2015; Prants, Sergey/O-8492-2015; Budyansky, Maxim/AAL-3030-2020; Belonenko, Tatyana/K-2162-2013; Fedorov, Aleksandr/B-2695-2019</t>
  </si>
  <si>
    <t>Bashmachnikov, Igor/0000-0002-1257-4197; Belonenko, Tatyana/0000-0003-4608-7781; Fedorov, Aleksandr/0000-0001-6857-1393</t>
  </si>
  <si>
    <t>Saint Petersburg State University (SPSU), Russia [50735947, 75295423]; Russian Science Foundation, Russia [19-17-00006]; Pacific Oceanological Institute of the Russian Academy of Sciences, Russia State Task [0271-2019-0001]</t>
  </si>
  <si>
    <t>Saint Petersburg State University (SPSU), Russia; Russian Science Foundation, Russia(Russian Science Foundation (RSF)); Pacific Oceanological Institute of the Russian Academy of Sciences, Russia State Task</t>
  </si>
  <si>
    <t>The research was funded by Saint Petersburg State University (SPSU), Russia, project no. 75295423. The work of M.V.B., S.V.P., and M.Y.U. on Lagrangian simulation is supported by the Russian Science Foundation, Russia (project No. 19-17-00006) and on creation numerical codes by the Pacific Oceanological Institute of the Russian Academy of Sciences, Russia State Task (project no. 0271-2019-0001). A.M.F. acknowledges the Saint Petersburg State University (SPSU), Russia for the special grant (ID Pure: 50735947) and an institutional support from the Nansen Environmental and Remote Sensing Centre (NERSC), Norway.</t>
  </si>
  <si>
    <t>0377-0265</t>
  </si>
  <si>
    <t>1872-6879</t>
  </si>
  <si>
    <t>DYNAM ATMOS OCEANS</t>
  </si>
  <si>
    <t>Dyn. Atmos. Oceans</t>
  </si>
  <si>
    <t>10.1016/j.dynatmoce.2021.101258</t>
  </si>
  <si>
    <t>SEP 2021</t>
  </si>
  <si>
    <t>Geochemistry &amp; Geophysics; Meteorology &amp; Atmospheric Sciences; Oceanography</t>
  </si>
  <si>
    <t>WK0MO</t>
  </si>
  <si>
    <t>WOS:000709429300001</t>
  </si>
  <si>
    <t>Jackson, GD; Jackson, CH; Virtue, P; Fluckiger, M; Nichols, PD</t>
  </si>
  <si>
    <t>Jackson, George D.; Jackson, Christine H.; Virtue, Patti; Fluckiger, Miriam; Nichols, Peter D.</t>
  </si>
  <si>
    <t>Dietary fatty acid analyses of the squid Idioteuthis cordiformis: further evidence for predation on deepwater sharks</t>
  </si>
  <si>
    <t>Mastigoteuthidae; Cephalopod; Fatty acid; Squid; Diet</t>
  </si>
  <si>
    <t>LIPID-COMPOSITION; MOROTEUTHIS-INGENS; DIGESTIVE GLAND; SEA SHARKS; LIVER OIL; PROFILES; FOOD; ECOLOGY; CEPHALOPODA; GROWTH</t>
  </si>
  <si>
    <t>Idioteuthis cordiformis is the largest deepwater mastigoteuthid squid in the southern Pacific Ocean. Signature fatty acid (FA) and lipid class analysis was carried out on the digestive gland, fins and caecum oil of 18 individuals of I. cordiformis caught in the waters off southern Australia during late 2004. Lipid classes varied between the tissues and oil samples, with sex not being an important factor. The presence of hydrocarbons within the digestive gland and caecum was noteworthy, as high proportions of this lipid class are generally only common in the livers of many deepwater sharks. Monounsaturated FAs dominated the digestive gland and caecum oil, while the fin had high values of both saturated and polyunsaturated FAs. FA profiles of I. cordiformis were compared to profiles of potential prey species (sharks, small and large fish, crustaceans and squid) using Bray-Curtis similarity coefficients. Analysis of the digestive gland and caecum oil FA profiles revealed a close match with the following prey: myctophids (Lampanyctodes australis, Electrona paucirastra, Symbolophorus barnardi), the dragon fish Stomias boa, the smooth oreo Pseudocyttus maculatus and the deepwater sharks Etmopterus baxter, Dalatias licha, Centroselachus crepidater, Centroscymnus coelopsis and Centrophorus zeehaani. The fin FA profile did not match closely to any potential prey and was most similar to other squid mantle tissue. Based on the results of this study, I. cordiformis has a broad diet spectrum of teleost fish and deepwater sharks and occupies a high trophic position.</t>
  </si>
  <si>
    <t>[Jackson, George D.; Jackson, Christine H.] Loma Linda Univ, Sch Med, Dept Earth &amp; Biol Sci, Loma Linda, CA 92350 USA; [Virtue, Patti; Fluckiger, Miriam; Nichols, Peter D.] Univ Tasmania, Inst Marine &amp; Antarctic Studies, Hobart, Tas 7001, Australia; [Virtue, Patti; Fluckiger, Miriam; Nichols, Peter D.] CSIRO Oceans &amp; Atmosphere, Hobart, Tas 7004, Australia</t>
  </si>
  <si>
    <t>Loma Linda University; University of Tasmania; Commonwealth Scientific &amp; Industrial Research Organisation (CSIRO)</t>
  </si>
  <si>
    <t>Jackson, GD (corresponding author), Loma Linda Univ, Sch Med, Dept Earth &amp; Biol Sci, Loma Linda, CA 92350 USA.</t>
  </si>
  <si>
    <t>gdjackson@llu.edu</t>
  </si>
  <si>
    <t>Nichols, Peter D/C-5128-2011</t>
  </si>
  <si>
    <t>Hermon Slade Foundation</t>
  </si>
  <si>
    <t>We are grateful for the enthusiastic support and assistance from the crew of the 'Adriatic Pearl'. We also appreciate the help of M. Anderson for guidance with statistical analysis. We thank the Hermon Slade Foundation who provided funding for this project.</t>
  </si>
  <si>
    <t>SEP 30</t>
  </si>
  <si>
    <t>10.3354/meps13835</t>
  </si>
  <si>
    <t>WE0AL</t>
  </si>
  <si>
    <t>WOS:000705292800005</t>
  </si>
  <si>
    <t>Alewijnse, SR; Stowasser, G; Saunders, RA; Belcher, A; Crimmen, OA; Cooper, N; Trueman, CN</t>
  </si>
  <si>
    <t>Alewijnse, Sarah R.; Stowasser, Gabriele; Saunders, Ryan A.; Belcher, Anna; Crimmen, Oliver A.; Cooper, Natalie; Trueman, Clive N.</t>
  </si>
  <si>
    <t>Otolith-derived field metabolic rates of myctophids (Family Myctophidae) from the Scotia Sea (Southern Ocean)</t>
  </si>
  <si>
    <t>Lanternfish; Mesopelagic; Stable isotope; Oxygen consumption; Respiration; Carbon</t>
  </si>
  <si>
    <t>FATTY-ACID-COMPOSITION; MESOPELAGIC FISH; FEEDING ECOLOGY; OXYGEN-CONSUMPTION; PREDATORY IMPACT; MIDWATER FISHES; WAX ESTERS; BODY-MASS; CARBON; ZOOPLANKTON</t>
  </si>
  <si>
    <t>Myctophids (Family Myctophidae, commonly known as the lanternfishes) are critical components of open ocean food webs and an important part of the ocean biological carbon pump, as many species actively transport carbon to the deep ocean through their diel vertical migrations. Estimating the magnitude of myctophids' contribution to the biological carbon pump requires knowledge of their metabolic rate. Unfortunately, data on myctophid metabolic rates are sparse, as they rarely survive being captured and placed in a respirometer. Because of this limitation, many studies estimate myctophid metabolic rates indirectly from body mass and temperature scaling relationships, often extrapolating regressions from global data sets to regional scales. To test the validity of these estimates, we employed a newly developed proxy for mass-specific field metabolic rate (C-resp: the proportion of metabolically derived carbon in the otolith) based on the stable carbon isotope composition (delta C-13) of otolith aragonite. We recovered estimates of C-resp for individuals of 6 species of myctophids from the Scotia Sea, giving a range in C-resp values from 0.123-0.248. We found that ecological and physiological differences among species are better predictors of variation in C-resp values than body mass and temperature. We compared our results to estimates of metabolic rates derived from scaling relationships and from measurements of electron transport system activity. When considering myctophids as a whole, we found that estimates of oxygen consumption from different methods are broadly similar; however, there are considerable discrepancies at the species level. Our study highlights the usefulness of metabolic proxies where respirometry is currently unavailable, and provides valuable information on field metabolic rates of myctophids.</t>
  </si>
  <si>
    <t>[Alewijnse, Sarah R.; Trueman, Clive N.] Univ Southampton, Natl Oceanog Ctr, Ocean &amp; Earth Sci, European Way, Southampton SO14 3ZH, Hants, England; [Alewijnse, Sarah R.; Crimmen, Oliver A.; Cooper, Natalie] Nat Hist Museum London, Dept Life Sci, Cromwell Rd, London SW7 5BD, England; [Stowasser, Gabriele; Saunders, Ryan A.; Belcher, Anna] British Antarctic Survey, Madingley Rd, Cambridge CB3 0ET, England</t>
  </si>
  <si>
    <t>University of Southampton; NERC National Oceanography Centre; Natural History Museum London; UK Research &amp; Innovation (UKRI); Natural Environment Research Council (NERC); NERC British Antarctic Survey</t>
  </si>
  <si>
    <t>Alewijnse, SR (corresponding author), Univ Southampton, Natl Oceanog Ctr, Ocean &amp; Earth Sci, European Way, Southampton SO14 3ZH, Hants, England.;Alewijnse, SR (corresponding author), Nat Hist Museum London, Dept Life Sci, Cromwell Rd, London SW7 5BD, England.</t>
  </si>
  <si>
    <t>s.r.alewijnse@soton.ac.uk</t>
  </si>
  <si>
    <t>Alewijnse, Sarah R./AAG-8897-2021; Trueman, Clive N/E-6925-2011</t>
  </si>
  <si>
    <t>Alewijnse, Sarah R./0000-0002-3479-2443;</t>
  </si>
  <si>
    <t>Natural Environmental Research Council [NE/L002531/1]; Natural Environmental Research Council (British Antarctic Survey's Ecosystem Programme); NERC [1941566, bas0100035] Funding Source: UKRI</t>
  </si>
  <si>
    <t>Natural Environmental Research Council(UK Research &amp; Innovation (UKRI)Natural Environment Research Council (NERC)); Natural Environmental Research Council (British Antarctic Survey's Ecosystem Programme); NERC(UK Research &amp; Innovation (UKRI)Natural Environment Research Council (NERC))</t>
  </si>
  <si>
    <t>This work was funded by the Natural Environmental Research Council (grant number NE/L002531/1 and the British Antarctic Survey's Ecosystem Programme). We thank the officers, crew and scientists of the RRS `James Clark Ross' for collecting the samples used in this study. We thank Bastian Hambach and Megan Wilding for running the stable isotope analysis. We also thank Daniel Doran, Matthew Beverley-Smith and Joseph Jones for their assistance in preparing the otoliths, and Andrew Jackson for his assistance with the statistical analyses. We thank 3 anonymous reviewers for their comments on the manuscript.</t>
  </si>
  <si>
    <t>10.3354/meps13827</t>
  </si>
  <si>
    <t>WOS:000705292800008</t>
  </si>
  <si>
    <t>Sands, CJ; O'Hara, TD; Martín-Ledo, R</t>
  </si>
  <si>
    <t>Sands, Chester J.; O'Hara, Timothy D.; Martin-Ledo, Rafael</t>
  </si>
  <si>
    <t>Pragmatic Assignment of Species Groups Based on Primary Species Hypotheses: The Case of a Dominant Component of the Southern Ocean Benthic Fauna</t>
  </si>
  <si>
    <t>marine management; conservation; cryptic species; Ophiuroidea; primary species hypothesis; Southern Ocean; taxonomy; unrecognized diversity</t>
  </si>
  <si>
    <t>BAYESIAN PHYLOGENETIC INFERENCE; ECHINODERMATA OPHIUROIDEA; DELIMITATION; DIVERSITY; TAXONOMY; MRBAYES; INTROGRESSION; CONSERVATION; BIODIVERSITY; RADIATION</t>
  </si>
  <si>
    <t>Ecological studies that enhance our understanding of the structure and function of the natural world rely heavily on accurate species identification. With rapid sample accumulation and declining taxonomic expertise, cladistics, phylogenetics and coalescent-based analyses have become key tools for identification or discrimination of species. These tools differ in effectiveness and interpretation depending on researcher perspective and the unique evolutionary histories of the taxa. Given the cost and time required for taxonomic assessment of ambiguous species groups, we advocate a pragmatic approach to clarify species assignment. We carried out a case-study on species from the diverse ophiuroid genus Ophiacantha common in shelf habitats around the Southern Ocean. Although several of the species are formally described with clear and distinctive morphological characters and reproductive strategies (O. vivipara, O. pentactis, O. densispina, O. antarctica, and O. wolfarntzi), recent molecular data has highlighted issues with these morphospecies, the characters that formally define them and their evolutionary histories. Here we provide evidence that key morphological features of species can be deceptive and show that six-armed O. vivipara, for example, is not a widely distributed Southern Ocean species as currently accepted, rather, three disparate clades. Ophiacantha pentactis, described as having five arms, frequently has six arms and the six-armed form is mistakenly classified as O. vivipara. All six-armed specimens collected from the Antarctic continental shelf fall into the O. pentactis species clade. Molecular tools designed for species delimitation appear to fail to reflect the true species composition. Rather than rely on a single tool for species recognition, we advocate an integrated approach using traditional detailed taxonomic morphology, summary statistics of molecular sequence data from populations, robust phylogenies, sufficient geographical sampling and local biological knowledge to ensure that species hypotheses can be built on mutually supporting lines of evidence.</t>
  </si>
  <si>
    <t>[Sands, Chester J.] British Antarctic Survey, Cambridge, England; [O'Hara, Timothy D.] Museums Victoria, Melbourne, Vic, Australia; [Martin-Ledo, Rafael] Univ Extremadura, Fac Ciencias, Area Zool, Badajoz, Spain</t>
  </si>
  <si>
    <t>UK Research &amp; Innovation (UKRI); Natural Environment Research Council (NERC); NERC British Antarctic Survey; Melbourne Genomics Health Alliance; Universidad de Extremadura</t>
  </si>
  <si>
    <t>Sands, CJ (corresponding author), British Antarctic Survey, Cambridge, England.</t>
  </si>
  <si>
    <t>cjsan@bas.ac.uk</t>
  </si>
  <si>
    <t>Sands, Chester/0000-0003-1028-0328</t>
  </si>
  <si>
    <t>BAS Biodiversity Evolution and Adaptation core science; NERC [bas0100036] Funding Source: UKRI</t>
  </si>
  <si>
    <t>BAS Biodiversity Evolution and Adaptation core science; NERC(UK Research &amp; Innovation (UKRI)Natural Environment Research Council (NERC))</t>
  </si>
  <si>
    <t>This study was funded as BAS Biodiversity Evolution and Adaptation core science.</t>
  </si>
  <si>
    <t>10.3389/fmars.2021.723328</t>
  </si>
  <si>
    <t>WI4UP</t>
  </si>
  <si>
    <t>WOS:000708357500001</t>
  </si>
  <si>
    <t>Yierpan, A; Redlinger, J; König, S</t>
  </si>
  <si>
    <t>Yierpan (''Erpan Erkin''), Aierken; Redlinger, Johannes; Konig, Stephan</t>
  </si>
  <si>
    <t>Selenium and tellurium in Reykjanes Ridge and Icelandic basalts: Evidence for degassing-induced Se isotope fractionation</t>
  </si>
  <si>
    <t>MORB; Icelandic plume; Plume-ridge interaction; Selenium; Tellurium; Degassing; Volatile loss; Isotope fractionation</t>
  </si>
  <si>
    <t>MID-ATLANTIC RIDGE; PACIFIC-ANTARCTIC RIDGE; MIDOCEAN RIDGE; CHALCOPHILE ELEMENTS; SULFIDE SATURATION; MELT INCLUSIONS; TRACE-ELEMENT; SULFUR BUDGET; MANTLE PLUME; SYSTEMATICS</t>
  </si>
  <si>
    <t>Selenium behaves as a chalcophile and moderately volatile element during planetary accretion and magmatic processes on Earth. Together with the geochemically similar S and Te, Se is more volatile than most other moderately volatile elements and thus potentially becomes a new tracer to constrain the mechanism of volatile depletion in the Earth's mantle and other planetary bodies. As previously observed for several volatile elements, stable isotopes of Se are expected to fractionate upon eruptive outgassing of magmas. To understand the degassing behavior of Se and associated isotope fractionation, we report on Se and Te contents and Se isotope compositions (delta Se-82) of submarine glasses across a range of distant ridge depth intervals along the Reykjanes Ridge and subglacial/subaerial basalts on Iceland (51-65 degrees N; N = 22). Selenium (150-399 ng/g) and Te (2.6114.5 ng/g) contents of the submarine glasses display progressive enrichment along the Reykjanes Ridge towards Iceland. This can be explained either by enhanced mantle melting towards Iceland or by enrichment of Se-Te contents in the mantle source due to the Icelandic plume-Reykjanes Ridge interaction. Both scenarios are equally plausible. The delta Se-82 values of submarine Reykjanes Ridge glasses range between -0.20 +/- 0.08% and -0.08 +/- 0.08%(on average -0.15 +/- 0.07%; 2SD, N = 15), which are unaffected by the Icelandic plume contribution and remain strictly within the previously reported average for depleted MORBs. These new data combined with literature delta Se-82 for depleted MORBs define a highly homogeneous depleted mantle composition delta Se-82 = -0.15 +/- 0.11% (2SD, N = 44). On the other hand, we observed degassing of Se and Te to a variable extent (-40-95%) in submarine Reykjanes glasses at depths shallower than similar to 250 m and in subaerial/subglacial basalts on Iceland. Degassing-induced Se isotope fractionation shifted delta Se-82 of subaerial lavas towards heavier values (by up to similar to 0.44%) well outside the range of submarine MORBs. However, when Se outgassing is associated with subglacial eruption, the outer glass rim of basalt preserves the primary/undegassed Se isotopic signature; whereas the pillow interior experiencing further Se loss (similar to 50%) is enriched in heavier isotopes (-0.01 +/- 0.12%) relative to the outer glass rim (-0.22 +/- 0.08%). These observations are complemented by measurements of BHVO-2G from high-temperature heating experiments of the natural Hawaiian basalt BHVO-2, which show evaporation of 40% Se and 85% Te and resulting shift in delta Se-82 by similar to+0.74%. Degassing-induced Se isotope fractionation during volcanic eruption may be well explained by a simple Rayleigh distillation model with an empirical fractionation factor alpha of similar to 0.9998 (between volcanic gas and silicate melt). The results presented here show that Se isotope and Se-Te systematics can potentially contribute further constraints on degassing of chalcophile and volatile elements during terrestrial volcanism and large-scale planetary processes. (C) 2021 Elsevier Ltd. All rights reserved.</t>
  </si>
  <si>
    <t>[Yierpan (''Erpan Erkin''), Aierken; Redlinger, Johannes; Konig, Stephan] Eberhard Karls Univ Tubingen, Fachbereich Geowissensch Isotopengeochem Geo &amp; Um, Schnarrenbergstr 94-96, D-72076 Tubingen, Germany; [Konig, Stephan] CSIC, Inst Andaluz Ciencias Tierra IACT, Ave Palmeras 4, Granada 18100, Spain; [Konig, Stephan] Univ Granada, Ave Palmeras 4, Granada 18100, Spain</t>
  </si>
  <si>
    <t>Eberhard Karls University of Tubingen; Consejo Superior de Investigaciones Cientificas (CSIC); CSIC - Instituto Andaluz de Ciencias de la Tierra (IACT); University of Granada</t>
  </si>
  <si>
    <t>Yierpan, A; König, S (corresponding author), Eberhard Karls Univ Tubingen, Fachbereich Geowissensch Isotopengeochem Geo &amp; Um, Schnarrenbergstr 94-96, D-72076 Tubingen, Germany.</t>
  </si>
  <si>
    <t>aierken.yierpan@gmail.com; skonig@gmx.de</t>
  </si>
  <si>
    <t>Koenig, Stephan/GRX-2480-2022; Yierpan, Aierken/G-7084-2018</t>
  </si>
  <si>
    <t>Yierpan, Aierken/0000-0001-5746-5149</t>
  </si>
  <si>
    <t>ERC Starting Grant O2RIGIN [636808]; European Research Council (ERC) [636808] Funding Source: European Research Council (ERC)</t>
  </si>
  <si>
    <t>ERC Starting Grant O2RIGIN(European Research Council (ERC)); European Research Council (ERC)(European Research Council (ERC)Spanish Government)</t>
  </si>
  <si>
    <t>We are especially grateful to Jean-Guy Schilling for his initial support and encouragement of the project, and to Katherine A. Kelley for providing us with all the samples. We acknowledge fruitful discussions with Ronny Schoenberg, Jabrane Labidi, and Timon Kurzawa, and lab support from Elmar Reitter and Maria Isabel Varas-Reus. We also thank Frances Jenner, Alex McCoyWest, and an anonymous reviewer for their through reviews and constructive suggestions, and Julie Prytulak for the efficient editorial handling. S. K. acknowledges financial support by the ERC Starting Grant O2RIGIN (636808).</t>
  </si>
  <si>
    <t>10.1016/j.gca.2021.07.029</t>
  </si>
  <si>
    <t>WG6QZ</t>
  </si>
  <si>
    <t>WOS:000707120400001</t>
  </si>
  <si>
    <t>Barahona, T; Sánchez, RAR; Noseda, MD; Mansilla, A; Matsuhiro, B; Prado, HJ; Matulewicz, MC</t>
  </si>
  <si>
    <t>Barahona, Tamara; Rodriguez Sanchez, Rodrigo A.; Noseda, Miguel D.; Mansilla, Andres; Matsuhiro, Betty; Prado, Hector J.; Matulewicz, Maria C.</t>
  </si>
  <si>
    <t>Characterization of polysaccharides from cystocarpic and tetrasporic stages of Sub-Antarctic Iridaea cordata</t>
  </si>
  <si>
    <t>ALGAL RESEARCH-BIOMASS BIOFUELS AND BIOPRODUCTS</t>
  </si>
  <si>
    <t>Iridaea cordata; Cystocarpic; Tetrasporic; Carrageenan; Agaran</t>
  </si>
  <si>
    <t>RED SEAWEED; METHYLATION ANALYSIS; VIBRATIONAL SPECTROSCOPY; KAPPA-CARRAGEENAN; NMR-SPECTROSCOPY; LAMBDA; UNDULOSA; FRACTIONATION; CONFIGURATION; GAMETOPHYTES</t>
  </si>
  <si>
    <t>The polysaccharide systems from cystocarpic and tetrasporic phases of the Sub-Antarctic algae Iridaea cordata were studied. Cystocarpic plant polysaccharides are mainly composed by carrageenans of the x-family. However, agaran structures were also detected in the fraction soluble in 2.00 M KCl, after fractionation with increasing potassium chloride solutions. The presence of 13-D-galactose-alpha-L-galactose 3-sulfate, 13-D-galactose-alpha-L-galactose 6sufate, 13-D-galactose 6-sulfate-alpha-L-galactose 6-sufate, and of 13-D-galactose 4-sulfate-alpha-L-galactose 2,3-disulfate diads was confirmed by means of methylation and NMR spectroscopy analyses; the latter diad has been scarcely reported. The first extracts from tetrasporic plants rendered a pure lambda-carrageenan with considerable yield, which confers this species promising commercial applications. In some cystocarpic and tetrasporic extracts alpha-glucose was also found and assigned to floridean starch by 1H-13C HSQC NMR spectroscopy.</t>
  </si>
  <si>
    <t>[Barahona, Tamara; Rodriguez Sanchez, Rodrigo A.; Matulewicz, Maria C.] Univ Buenos Aires, CONICET, Ctr Invest Hidratos Carbono CIHIDECAR, Ciudad Univ Pabellon 2,C1428EGA, Buenos Aires, DF, Argentina; [Rodriguez Sanchez, Rodrigo A.] Univ Buenos Aires, Fac Agron, Dept Biol Aplicada &amp; Alimentos, Catedra Quim Biomol, Av San Martin 4453,C1417DSE, Buenos Aires, DF, Argentina; [Noseda, Miguel D.] Univ Fed Parana, Dept Bioquim &amp; Biol Mol, POB 19046, BR-81531980 Curitiba, Parana, Brazil; [Mansilla, Andres] Univ Magallanes, Lab Macroalgas Antarticas &amp; Subantarticas, Av Bulnes 1465, Punta Arenas, Chile; [Mansilla, Andres] Inst Ecol &amp; Biodiversidad, Santiago, Chile; [Matsuhiro, Betty] Univ Santiago Chile, Fac Quim &amp; Biol, Av LB OHiggins 3363, Santiago, Chile; [Prado, Hector J.] Univ Buenos Aires, CONICET, Inst Tecnol Alimentos &amp; Proc Quim ITAPROQ, Ciudad Univ Ave Intendente Guiraldes 2620,C1428, Buenos Aires, DF, Argentina; [Prado, Hector J.] Univ Buenos Aires, Fac Farm &amp; Bioquirn, Dept Tecnol Farmaceut 2, Junin 956,C1113AAD, Buenos Aires, DF, Argentina; [Matulewicz, Maria C.] Univ Buenos Aires, Fac Ciencias Exactas &amp; Nat, Dept Quim Organ, Ciudad Univ Pabellon 2,1428EGA, Buenos Aires, DF, Argentina</t>
  </si>
  <si>
    <t>University of Buenos Aires; Consejo Nacional de Investigaciones Cientificas y Tecnicas (CONICET); University of Buenos Aires; Universidade Federal do Parana; Universidad de Magallanes; Universidad de Santiago de Chile; Consejo Nacional de Investigaciones Cientificas y Tecnicas (CONICET); University of Buenos Aires; University of Buenos Aires; University of Buenos Aires</t>
  </si>
  <si>
    <t>Matulewicz, MC (corresponding author), Univ Buenos Aires, CONICET, Ctr Invest Hidratos Carbono CIHIDECAR, Ciudad Univ Pabellon 2,C1428EGA, Buenos Aires, DF, Argentina.;Prado, HJ (corresponding author), Univ Buenos Aires, CONICET, Inst Tecnol Alimentos &amp; Proc Quim ITAPROQ, Ciudad Univ Ave Intendente Guiraldes 2620,C1428, Buenos Aires, DF, Argentina.</t>
  </si>
  <si>
    <t>hjprado@yahoo.com; cristina@qo.fcen.uba.ar</t>
  </si>
  <si>
    <t>Sánchez, Rodrigo/HJI-9219-2023</t>
  </si>
  <si>
    <t>Mansilla, Andres/0000-0003-3505-7018</t>
  </si>
  <si>
    <t>University of Buenos Aires (UBA) [UBACYT 2014-2017 GC20020130100216BA, UBACYT 2018-2021 GC20020170100292BA]; National Research Council of Argentina (CONICET) [112-2015 01-00510, P-UE-2016]; National Research Council of Brazil (CNPq) [462414/2014-0, 306568/2018-7]</t>
  </si>
  <si>
    <t>University of Buenos Aires (UBA)(University of Buenos Aires); National Research Council of Argentina (CONICET)(Consejo Nacional de Investigaciones Cientificas y Tecnicas (CONICET)); National Research Council of Brazil (CNPq)(Conselho Nacional de Desenvolvimento Cientifico e Tecnologico (CNPQ))</t>
  </si>
  <si>
    <t>This work was funded by grants from the University of Buenos Aires (UBA) [UBACYT 2014-2017 GC20020130100216BA and UBACYT 2018-2021 GC20020170100292BA] and the National Research Council of Argentina (CONICET) [PIP 112-2015 01-00510, P-UE-2016, CIHI-DECAR] , and the National Research Council of Brazil (CNPq, Universal Call: 462414/2014-0 and PQ: 306568/2018-7) .</t>
  </si>
  <si>
    <t>2211-9264</t>
  </si>
  <si>
    <t>ALGAL RES</t>
  </si>
  <si>
    <t>Algal Res.</t>
  </si>
  <si>
    <t>10.1016/j.algal.2021.102503</t>
  </si>
  <si>
    <t>WD1HE</t>
  </si>
  <si>
    <t>WOS:000704699800001</t>
  </si>
  <si>
    <t>Voyer, M; Allison, EH; Farmery, A; Fabinyi, M; Steenbergen, DJ; van Putten, I; Song, AM; Ogier, E; Benzaken, D; Andrew, N</t>
  </si>
  <si>
    <t>Voyer, Michelle; Allison, Edward H.; Farmery, Anna; Fabinyi, Michael; Steenbergen, Dirk J.; van Putten, Ingrid; Song, Andrew M.; Ogier, Emily; Benzaken, Dominique; Andrew, Neil</t>
  </si>
  <si>
    <t>The role of voluntary commitments in realizing the promise of the Blue Economy</t>
  </si>
  <si>
    <t>GLOBAL ENVIRONMENTAL CHANGE-HUMAN AND POLICY DIMENSIONS</t>
  </si>
  <si>
    <t>Voluntary commitments; Blue economy; Sustainable development goals; Ocean governance; Small Island developing states</t>
  </si>
  <si>
    <t>GOVERNANCE; POLITICS; GROWTH</t>
  </si>
  <si>
    <t>Voluntary (or non-binding) commitments offer an action-oriented mechanism for addressing interconnected, complex and pressing issues. Though not designed to replace negotiated or binding outcomes, voluntary commitments can offer a critical tool in currently ungoverned or under-governed systems. The Blue Economy is an example of a rapidly evolving agenda where formal governance arrangements are at best nascent, in part due to the trans-border nature of issues and prominent involvement of multiple types of actors. As such voluntary commitments provide an important mechanism through which to monitor the evolution of the concept and identify gaps or shortfalls in its implementation. Our analysis of global voluntary commitments on the Blue Economy made to recent high-profile ocean futures meetings, found a trend towards capacity development, research, and investment in emerging and larger scale sectors such as offshore aquaculture and renewable energy. A concurrent focus was on securitizing, regulating or diverting effort from historically significant fisheries sectors. European organizations are playing a dominant role in Blue Economy commitments, with a notable absence of commitments from major Blue Economy powers such as China and India. We identify a number of gaps and shortfalls, particularly in relation to active consideration of social equity in the Blue Economy. We identify a range of recommendations on how these deficiencies may be addressed through a greater focus on a broader suite of objectives and a more inclusive approach to ocean meetings.</t>
  </si>
  <si>
    <t>[Voyer, Michelle; Farmery, Anna; Steenbergen, Dirk J.; Benzaken, Dominique; Andrew, Neil] Univ Wollongong, Australian Natl Ctr Ocean Resources &amp; Secur ANCOR, Bldg 233,Innovat Campus, Wollongong, NSW 2522, Australia; [Voyer, Michelle; Allison, Edward H.; Fabinyi, Michael] Nippon Fdn Ocean Nexus Ctr, Seattle, WA USA; [Allison, Edward H.; Fabinyi, Michael] WorldFish, Bayan Lepas, Malaysia; [Song, Andrew M.] Univ Technol Sydney, Fac Arts &amp; Social Sci, Ultimo, Australia; [van Putten, Ingrid] CSIRO, Oceans &amp; Atmosphere, Hobart, Tas, Australia; [Farmery, Anna; van Putten, Ingrid; Ogier, Emily] Ctr Marine Socioecol, Hobart, Tas, Australia; [Ogier, Emily] Univ Tasmania, Inst Marine &amp; Antarctic Studies, Hobart, Tas, Australia</t>
  </si>
  <si>
    <t>University of Wollongong; CGIAR; Worldfish; University of Technology Sydney; Commonwealth Scientific &amp; Industrial Research Organisation (CSIRO); University of Tasmania</t>
  </si>
  <si>
    <t>Voyer, M (corresponding author), Univ Wollongong, Australian Natl Ctr Ocean Resources &amp; Secur ANCOR, Bldg 233,Innovat Campus, Wollongong, NSW 2522, Australia.</t>
  </si>
  <si>
    <t>mvoyer@uow.edu.au</t>
  </si>
  <si>
    <t>Steenbergen, Dirk/IYS-3936-2023; Fabinyi, Michael/G-5198-2012</t>
  </si>
  <si>
    <t>Voyer, Michelle/0000-0001-6170-9994; Ogier, Emily/0000-0001-6157-5279; Steenbergen, Dirk/0000-0003-4067-4432; Fabinyi, Michael/0000-0001-5293-4081; Song, Andrew/0000-0002-9187-5309</t>
  </si>
  <si>
    <t>0959-3780</t>
  </si>
  <si>
    <t>1872-9495</t>
  </si>
  <si>
    <t>GLOBAL ENVIRON CHANG</t>
  </si>
  <si>
    <t>Glob. Environ. Change-Human Policy Dimens.</t>
  </si>
  <si>
    <t>10.1016/j.gloenvcha.2021.102372</t>
  </si>
  <si>
    <t>Environmental Sciences; Environmental Studies; Geography</t>
  </si>
  <si>
    <t>Environmental Sciences &amp; Ecology; Geography</t>
  </si>
  <si>
    <t>WK5AN</t>
  </si>
  <si>
    <t>WOS:000709738200003</t>
  </si>
  <si>
    <t>Sheanshang, DM; White, PA; Keeler, DG</t>
  </si>
  <si>
    <t>Sheanshang, Daniel M.; White, Philip A.; Keeler, Durban G.</t>
  </si>
  <si>
    <t>Outlier accommodation with semiparametric density processes: A study of Antarctic snow density modelling</t>
  </si>
  <si>
    <t>STATISTICAL MODELLING</t>
  </si>
  <si>
    <t>Bayesian statistics; Density estimation; heteroscedasticity; outliers; process convolution; snow density</t>
  </si>
  <si>
    <t>FIRN DENSIFICATION; CALIBRATION; CORE</t>
  </si>
  <si>
    <t>In many settings, data acquisition generates outliers that can obscure inference. Therefore, practitioners often either identify and remove outliers or accommodate outliers using robust models. However, identifying and removing outliers is often an ad hoc process that affects inference, and robust methods are often too simple for some applications. In our motivating application, scientists drill snow cores and measure snow density to infer densification rates that aid in estimating snow water accumulation rates and glacier mass balances. Advanced measurement techniques can measure density at high resolution over depth but are sensitive to core imperfections, making them prone to outliers. Outlier accommodation is challenging in this setting because the distribution of outliers evolves over depth and the data demonstrate natural heteroscedasticity. To address these challenges, we present a two-component mixture model using a physically motivated snow density model and an outlier model, both of which evolve over depth. The physical component of the mixture model has a mean function with normally distributed depth-dependent heteroscedastic errors. The outlier component is specified using a semiparametric prior density process constructed through a normalized process convolution of log-normal random variables. We demonstrate that this model outperforms alternatives and can be used for various inferential tasks.</t>
  </si>
  <si>
    <t>[Sheanshang, Daniel M.; White, Philip A.] Brigham Young Univ, Dept Stat, Provo, UT 84602 USA; [Keeler, Durban G.] Univ Utah, Dept Geog, Salt Lake City, UT USA</t>
  </si>
  <si>
    <t>Brigham Young University; Utah System of Higher Education; University of Utah</t>
  </si>
  <si>
    <t>Sheanshang, DM (corresponding author), Brigham Young Univ, Dept Stat, Provo, UT 84602 USA.</t>
  </si>
  <si>
    <t>daniel.sheanshang@gmail.com</t>
  </si>
  <si>
    <t>1471-082X</t>
  </si>
  <si>
    <t>1477-0342</t>
  </si>
  <si>
    <t>STAT MODEL</t>
  </si>
  <si>
    <t>Stat. Model.</t>
  </si>
  <si>
    <t>1471082X211043946</t>
  </si>
  <si>
    <t>10.1177/1471082X211043946</t>
  </si>
  <si>
    <t>Statistics &amp; Probability</t>
  </si>
  <si>
    <t>F1TR2</t>
  </si>
  <si>
    <t>WOS:000704043000001</t>
  </si>
  <si>
    <t>Byun, MY; Cui, L; Lee, A; Oh, HG; Yoo, YH; Lee, J; Kim, WT; Lee, H</t>
  </si>
  <si>
    <t>Byun, Mi Young; Cui, Li Hua; Lee, Andosung; Oh, Hyung Geun; Yoo, Yo-Han; Lee, Jungeun; Kim, Woo Taek; Lee, Hyoungseok</t>
  </si>
  <si>
    <t>Abiotic Stress-Induced Actin-Depolymerizing Factor 3 From Deschampsia antarctica Enhanced Cold Tolerance When Constitutively Expressed in Rice</t>
  </si>
  <si>
    <t>abiotic stress; actin cytoskeleton; Antarctic; Deschampsia antarctica actin-depolymerizing factor 3; low temperature; polar adaptation</t>
  </si>
  <si>
    <t>ACTIN-DEPOLYMERIZING FACTOR; ADF/COFILIN FAMILY; VASCULAR PLANTS; BINDING PROTEIN; CYTOSKELETON; FILAMENTS; TURNOVER; GROWTH</t>
  </si>
  <si>
    <t>The Antarctic flowering plant Deschampsia antarctica is highly sensitive to climate change and has shown rapid population increases during regional warming of the Antarctic Peninsula. Several studies have examined the physiological and biochemical changes related to environmental stress tolerance that allow D. antarctica to colonize harsh Antarctic environments; however, the molecular mechanisms of its responses to environmental changes remain poorly understood. To elucidate the survival strategies of D. antarctica in Antarctic environments, we investigated the functions of actin depolymerizing factor (ADF) in this species. We identified eight ADF genes in the transcriptome that were clustered into five subgroups by phylogenetic analysis. DaADF3, which belongs to a monocot-specific clade together with cold-responsive ADF in wheat, showed significant transcriptional induction in response to dehydration and cold, as well as under Antarctic field conditions. Multiple drought and low-temperature responsive elements were identified as possible binding sites of C-repeat-binding factors in the promoter region of DaADF3, indicating a close relationship between DaADF3 transcription control and abiotic stress responses. To investigate the functions of DaADF3 related to abiotic stresses in vivo, we generated transgenic rice plants overexpressing DaADF3. These transgenic plants showed greater tolerance to low-temperature stress than the wild-type in terms of survival rate, leaf chlorophyll content, and electrolyte leakage, accompanied by changes in actin filament organization in the root tips. Together, our results imply that DaADF3 played an important role in the enhancement of cold tolerance in transgenic rice plants and in the adaptation of D. antarctica to its extreme environment.</t>
  </si>
  <si>
    <t>[Byun, Mi Young; Yoo, Yo-Han; Lee, Jungeun; Lee, Hyoungseok] Korea Polar Res Inst, Div Life Sci, Incheon, South Korea; [Cui, Li Hua; Lee, Andosung; Oh, Hyung Geun; Kim, Woo Taek] Yonsei Univ, Div Life Sci, Dept Syst Biol, Seoul, South Korea; [Cui, Li Hua; Lee, Andosung; Oh, Hyung Geun; Kim, Woo Taek] Yonsei Univ, Inst Life Sci &amp; Biotechnol, Seoul, South Korea; [Lee, Hyoungseok] Univ Sci &amp; Technol, Polar Sci, Daejeon, South Korea</t>
  </si>
  <si>
    <t>Korea Polar Research Institute (KOPRI); Yonsei University; Yonsei University; University of Science &amp; Technology (UST)</t>
  </si>
  <si>
    <t>Lee, H (corresponding author), Korea Polar Res Inst, Div Life Sci, Incheon, South Korea.;Kim, WT (corresponding author), Yonsei Univ, Div Life Sci, Dept Syst Biol, Seoul, South Korea.;Kim, WT (corresponding author), Yonsei Univ, Inst Life Sci &amp; Biotechnol, Seoul, South Korea.;Lee, H (corresponding author), Univ Sci &amp; Technol, Polar Sci, Daejeon, South Korea.</t>
  </si>
  <si>
    <t>wtkim@yonsei.ac.kr; soulaid@kopri.re.kr</t>
  </si>
  <si>
    <t>Post-Polar Genomics Project: Functional genomic study for securing of polar useful genes - Korea Polar Research Institute (KOPRI) [PE21160]; Development of potential antibiotic compounds using polar organism resources KOPRI Grant - Ministry of Oceans and Fisheries, Korea [15250103, PM21030]; Basic Science Research Program through the National Research Foundation (NRF) - Ministry of Education, Korea [2018R1A6A1A03025607]</t>
  </si>
  <si>
    <t>Post-Polar Genomics Project: Functional genomic study for securing of polar useful genes - Korea Polar Research Institute (KOPRI); Development of potential antibiotic compounds using polar organism resources KOPRI Grant - Ministry of Oceans and Fisheries, Korea; Basic Science Research Program through the National Research Foundation (NRF) - Ministry of Education, Korea</t>
  </si>
  <si>
    <t>This work was supported by Post-Polar Genomics Project: Functional genomic study for securing of polar useful genes (PE21160), funded by Korea Polar Research Institute (KOPRI), Development of potential antibiotic compounds using polar organism resources (15250103, KOPRI Grant PM21030), funded by the Ministry of Oceans and Fisheries, Korea, and the Basic Science Research Program, Project No. 2018R1A6A1A03025607 through the National Research Foundation (NRF), funded by the Ministry of Education, Korea.</t>
  </si>
  <si>
    <t>SEP 28</t>
  </si>
  <si>
    <t>10.3389/fpls.2021.734500</t>
  </si>
  <si>
    <t>WO9KK</t>
  </si>
  <si>
    <t>WOS:000712763700001</t>
  </si>
  <si>
    <t>Kobayashi, T; Sato, K; King, BA</t>
  </si>
  <si>
    <t>Kobayashi, Taiyo; Sato, Kanako; King, Brian A.</t>
  </si>
  <si>
    <t>Observed features of salinity bias with negative pressure dependency for measurements by SBE 41CP and SBE 61 CTD sensors on deep profiling floats</t>
  </si>
  <si>
    <t>PROGRESS IN OCEANOGRAPHY</t>
  </si>
  <si>
    <t>SBE 41CP; SBE 61; CTD sensor; Deep float; Salinity measurement; Salinity bias with pressure dependency; Deep Argo</t>
  </si>
  <si>
    <t>ANTARCTIC BOTTOM WATER; CONDUCTIVITY SENSORS; LAND COAST; ARGO; DRIFT; TEMPERATURE; CALIBRATION; STABILITY; ABYSSAL; METERS</t>
  </si>
  <si>
    <t>The salinity measured by SBE 41CP and SBE 61 conductivity-temperature-depth (CTD) sensors on deep floats was evaluated by comparison with shipboard CTD casts at deployment, after temperature and pressure were verified as unlikely to be biased. Salinity biases with a negative pressure dependency, expressed as Delta S = Delta S-offset + a(p) x pressure and a(p) &lt; 0, were identified statistically even in the first profiles. For SBE 61 sensors, the average dependency coefficient ap was -0.54 x 10(-6) dbar(-1) and Delta S-offset was slightly positive (+0.8 x 10(-3)). The results for SBE 41CP sensors showed a more severe dependency: a(p) and Delta S-offset were-1.80 x 10(-6) dbar(-1) and-0.012 on average, respectively. The ap negativity was statistically significant for both sensors. For SBE 41CP, sensors with a fresher Delta S-offset tended to have a smaller a(p). The fresh salinity bias found for SBE 41CP changed toward saline over time, mainly because Delta S-offset became less fresh with a decreasing rate. Stable a(p) for a long time was expected for the majority of sensors, but sometimes a(p) increased to a specific value within the first several profiles. Meanwhile, for SBE 61 sensors, these indicators seemed fairly stable for a longer period. Most Argo floats had the SBE 41/41CP CTD sensor, which was the original CTD model for deep floats. An analysis of data from 383 Argo floats did not identify a statistically significant pressure dependency for salinity. Conclusively, the SBE 41CP and SBE 61 CTD sensors on deep floats, in their present states, generally did not meet the target accuracy of Deep Argo for salinity due to the salinity bias. The present study suggests that both CTD sensors could almost achieve the target accuracy by the following improvements: aging treatment with high pressure on the sensor, accurate calibration of pressure-aged sensors, and a suitable canceling factor for pressure (CPcor;-12.6 x 10(-8) dbar(-1) for SBE 41CP and -11.0 x 10(-8) dbar-1 for SBE 61). These operations can greatly reduce the salinity biases derived from the pressure dependency, the offset at the sea surface, and their changes over time.</t>
  </si>
  <si>
    <t>[Kobayashi, Taiyo; Sato, Kanako] Japan Agcy Marine Earth Sci &amp; Technol, 2-15 Natsushima Cho, Yokosuka, Kanagawa 2370061, Japan; [King, Brian A.] Natl Oceanog Ctr, Southampton, Hants, England</t>
  </si>
  <si>
    <t>Japan Agency for Marine-Earth Science &amp; Technology (JAMSTEC); NERC National Oceanography Centre</t>
  </si>
  <si>
    <t>Kobayashi, T (corresponding author), Japan Agcy Marine Earth Sci &amp; Technol, 2-15 Natsushima Cho, Yokosuka, Kanagawa 2370061, Japan.</t>
  </si>
  <si>
    <t>taiyok@jamstec.go.jp</t>
  </si>
  <si>
    <t>KIng, Brian/KDN-7191-2024</t>
  </si>
  <si>
    <t>Kobayashi, Taiyo/0000-0001-6456-6167</t>
  </si>
  <si>
    <t>0079-6611</t>
  </si>
  <si>
    <t>1873-4472</t>
  </si>
  <si>
    <t>PROG OCEANOGR</t>
  </si>
  <si>
    <t>Prog. Oceanogr.</t>
  </si>
  <si>
    <t>10.1016/j.pocean.2021.102686</t>
  </si>
  <si>
    <t>WE5DG</t>
  </si>
  <si>
    <t>WOS:000705645600001</t>
  </si>
  <si>
    <t>Christensen, BA; De Vleeschouwer, D; Henderiks, J; Groeneveld, J; Auer, G; Drury, AJ; Karatsolis, BT; Lyu, J; Betzler, C; Eberli, GP; Kroon, D</t>
  </si>
  <si>
    <t>Christensen, Beth A.; De Vleeschouwer, David; Henderiks, Jorijntje; Groeneveld, Jeroen; Auer, Gerald; Drury, Anna Joy; Karatsolis, Boris Theofanis; Lyu, Jing; Betzler, Christian; Eberli, Gregor P.; Kroon, Dick</t>
  </si>
  <si>
    <t>Late Miocene Onset of Tasman Leakage and Southern Hemisphere Supergyre Ushers in Near-Modern Circulation</t>
  </si>
  <si>
    <t>Tasman Leakage; ITF; late Miocene; Australia; intermediate water; Southern Hemisphere Supergyre</t>
  </si>
  <si>
    <t>EAST AUSTRALIAN CURRENT; ANTARCTIC INTERMEDIATE WATER; CARBON-ISOTOPE STRATIGRAPHY; SEA BENTHIC FORAMINIFERA; PLIOCENE BIOGENIC BLOOM; INDIAN-OCEAN; INDONESIAN THROUGHFLOW; CLIMATE; PACIFIC; VARIABILITY</t>
  </si>
  <si>
    <t>This study provides a Miocene-to-recent history of Tasman Leakage (TL), driving surface-to-intermediate waters from the Pacific into the Indian Ocean. TL, in addition to Indonesian ThroughFlow (ITF), constitutes an important part of the Southern Hemisphere Supergyre. Here, we employ deep-sea benthic delta C-13 timeseries from the southwestern Pacific and eastern Indian Oceans to identify the history of Tasman Leakage. The delta C-13 results combined with sedimentary evidence show that an inter-ocean connection south of Australia existed from 7 Ma onward. A southward shift in Westerlies combined with a northward movement of Australia created the oceanic corridor necessary for Tasman Leakage (between Australia and the sub-Antarctic Front) at this time. Furthermore, changes in the northern limb of the Supergyre (ITF) are evident in the sedimentary record on Broken Ridge from similar to 3 to 2 Ma when Banda Sea intermediate waters started originating from the North Pacific.</t>
  </si>
  <si>
    <t>[Christensen, Beth A.] Rowan Univ, Sch Earth &amp; Environm, Dept Environm Sci, Glassboro, NJ 08028 USA; [De Vleeschouwer, David; Lyu, Jing] Univ Bremen, MARUM Ctr Marine Environm Sci, Bremen, Germany; [Henderiks, Jorijntje; Karatsolis, Boris Theofanis] Uppsala Univ, Dept Earth Sci, Uppsala, Sweden; [Groeneveld, Jeroen] Bremen Univ, Dept Geosci, Bremen, Germany; [Groeneveld, Jeroen; Betzler, Christian] Hamburg Univ, Dept Earth Sci, Hamburg, Germany; [Auer, Gerald] Karl Franzens Univ Graz, NAWI Graz Geoctr, Inst Earth Sci Geol &amp; Paleontol, Graz, Austria; [Drury, Anna Joy] UCL, Dept Earth Sci, London, England; [Eberli, Gregor P.] Univ Miami, Rosenstiel Sch Marine &amp; Atmospher Sci, Dept Geosci, Miami, FL USA; [Kroon, Dick] Univ Edinburgh, Sch Geosci, Edinburgh, Midlothian, Scotland</t>
  </si>
  <si>
    <t>Rowan University; University of Bremen; Uppsala University; University of Bremen; University of Hamburg; University of Graz; University of London; University College London; University of Miami; University of Edinburgh</t>
  </si>
  <si>
    <t>Christensen, BA (corresponding author), Rowan Univ, Sch Earth &amp; Environm, Dept Environm Sci, Glassboro, NJ 08028 USA.</t>
  </si>
  <si>
    <t>christensenb@rowan.edu</t>
  </si>
  <si>
    <t>Drury, Anna Joy/A-5237-2017; Henderiks, Jorijntje/JGL-6527-2023; De Vleeschouwer, David/ABA-6115-2020</t>
  </si>
  <si>
    <t>Drury, Anna Joy/0000-0001-6206-7284; De Vleeschouwer, David/0000-0002-3323-807X; Betzler, Christian/0000-0002-5757-4553; Groeneveld, Jeroen/0000-0002-8382-8019; Karatsolis, Boris- Theofanis/0000-0002-6248-2151; Eberli, Gregor Paul/0000-0001-5653-6929; Henderiks, Jorijntje/0000-0001-9486-6275; Auer, Gerald/0000-0002-2574-0027; Christensen, Beth/0000-0003-4346-0851</t>
  </si>
  <si>
    <t>German Academic Exchange Service (DAAD) fellowship (2019)</t>
  </si>
  <si>
    <t>German Academic Exchange Service (DAAD) fellowship (2019)(Deutscher Akademischer Austausch Dienst (DAAD))</t>
  </si>
  <si>
    <t>This work was supported by a German Academic Exchange Service (DAAD) fellowship (2019) to Christensen and the MARUM Cluster of Excellence: The Ocean Floor-Earth's Uncharted Interface to De Vleeschouwer. This study builds upon the over 50 years legacy of scientific ocean drilling, and so we are grateful to the crew and staff of the R/V Glomar Challenger and the R/V JOIDES Resolution for collecting the core, often in challenging conditions. Likewise we are indebted to the many scientists who first asked the questions that allowed for drilling to occur, and who then analyzed the sediments and published the data. Their efforts both advanced our knowledge at the time, and built the critical framework that allows us to continue to deepen our understanding of earth and its systems.</t>
  </si>
  <si>
    <t>e2021GL095036</t>
  </si>
  <si>
    <t>10.1029/2021GL095036</t>
  </si>
  <si>
    <t>WB6MS</t>
  </si>
  <si>
    <t>WOS:000703685100003</t>
  </si>
  <si>
    <t>DuVivier, AK; Holland, MM; Landrum, L; Singh, HA; Bailey, DA; Maroon, EA</t>
  </si>
  <si>
    <t>DuVivier, A. K.; Holland, M. M.; Landrum, L.; Singh, H. A.; Bailey, D. A.; Maroon, E. A.</t>
  </si>
  <si>
    <t>Impacts of Sea Ice Mushy Thermodynamics in the Antarctic on the Coupled Earth System</t>
  </si>
  <si>
    <t>ROSS SEA; CIRCULATION; VARIABILITY; SALINITY; POLYNYAS; MODEL</t>
  </si>
  <si>
    <t>We analyze two preindustrial experiments from the Community Earth System Model version 2 to characterize the impact of sea ice physics on differences in coastal sea ice production around Antarctica and the resulting impact on the ocean and atmosphere. The experiment in which sea ice is a more realistic mushy mixture of solid ice and brine has a substantial increase in coastal sea ice frazil and snow ice production that is accompanied by decreasing bottom ice growth and increasing bottom melt. The more realistic mushy physics leads to an increase in water mass formation at denser water classes due primarily to surface ice processes. As a result, the subsurface ocean is denser, saltier, and there is an increase in Antarctic Bottom Water formation of similar to 0.5 Sv. For the atmosphere, mushy ice physics leads to decreased turbulent heat flux and low level cloud cover near the Antarctic coast. Plain Language Summary We analyze experiments from the Community Earth System Model to better understand the impacts of representing sea ice as a mixture of salty water and solid ice rather than just solid ice. We focus on sea ice produced around the Antarctic coasts and find that the ways in which the sea ice grow and melt change with the two representations of sea ice, but the differences compensate so that the average sea ice state is minimally changed. However, the near surface ocean water is denser in the experiment with sea ice represented by a mix of solid ice and salty water, mainly because the ocean is saltier due to surface sea ice processes. This leads to increased formation of dense Antarctic Bottom Water. In addition, there is less energy input into the atmosphere and less low level cloud cover around the Antarctic coasts in the experiment with the sea ice represented as a mix of salty water and solid ice. Thus, there are important impacts on the Earth system based solely on the way sea ice is represented.</t>
  </si>
  <si>
    <t>[DuVivier, A. K.; Holland, M. M.; Landrum, L.; Bailey, D. A.] Natl Ctr Atmospher Res, POB 3000, Boulder, CO 80307 USA; [Singh, H. A.] Univ Victoria, Sch Earth &amp; Ocean Sci, Victoria, BC, Canada; [Maroon, E. A.] Univ Wisconsin, Dept Atmospher &amp; Ocean Sci, Madison, WI USA</t>
  </si>
  <si>
    <t>National Center Atmospheric Research (NCAR) - USA; University of Victoria; University of Wisconsin System; University of Wisconsin Madison</t>
  </si>
  <si>
    <t>DuVivier, AK (corresponding author), Natl Ctr Atmospher Res, POB 3000, Boulder, CO 80307 USA.</t>
  </si>
  <si>
    <t>duvivier@ucar.edu</t>
  </si>
  <si>
    <t>DuVivier, Alice K./JJC-1516-2023; Maroon, Elizabeth/O-6158-2016</t>
  </si>
  <si>
    <t>DuVivier, Alice K./0000-0001-6920-5926; Singh, Hansi/0000-0002-8651-9094; Maroon, Elizabeth/0000-0002-1660-7822; Bailey, David/0000-0002-6584-0663</t>
  </si>
  <si>
    <t>National Science Foundation (NSF); National Center for Atmospheric Research (NCAR) - NSF [1852977]; NASA [80NSSC20K1289]; Office of the Vice Chancellor for Research and Graduate Education at UW-Madison; Wisconsin Alumni Research Foundation</t>
  </si>
  <si>
    <t>National Science Foundation (NSF)(National Science Foundation (NSF)); National Center for Atmospheric Research (NCAR) - NSF; NASA(National Aeronautics &amp; Space Administration (NASA)); Office of the Vice Chancellor for Research and Graduate Education at UW-Madison; Wisconsin Alumni Research Foundation</t>
  </si>
  <si>
    <t>The CESM project is supported primarily by the National Science Foundation (NSF). This material is based upon work supported by the National Center for Atmospheric Research (NCAR), which is a major facility sponsored by the NSF under Cooperative Agreement 1852977. We thank all the scientists, software engineers, and administrators who contributed to the development of CESM2. M. M. Holland and L. Landrum acknowledge support from NASA grant 80NSSC20K1289. E. A. Maroon was supported by the Office of the Vice Chancellor for Research and Graduate Education at UW-Madison with funding from the Wisconsin Alumni Research Foundation. We would also like to thank two anonymous reviewers and the editor for their feedback that has improved this manuscript.</t>
  </si>
  <si>
    <t>e2021GL094287</t>
  </si>
  <si>
    <t>10.1029/2021GL094287</t>
  </si>
  <si>
    <t>WOS:000703685100076</t>
  </si>
  <si>
    <t>Zhang, WY; Jiao, Y; Zhu, RB; Rhew, RC; Sun, BW; Dai, HT</t>
  </si>
  <si>
    <t>Zhang, Wanying; Jiao, Yi; Zhu, Renbin; Rhew, Robert C.; Sun, Bowen; Dai, Haitao</t>
  </si>
  <si>
    <t>Chloroform (CHCl3) Emissions From Coastal Antarctic Tundra</t>
  </si>
  <si>
    <t>FREEZE-THAW CYCLES; ABIOTIC FORMATION; ORGANIC-MATTER; SOUTH-CAROLINA; SOIL; CHLOROPEROXIDASE; FLUXES; FOREST; HALOMETHANES; TEMPERATURE</t>
  </si>
  <si>
    <t>In this study, the first in situ static-chamber measurements were conducted at coastal Antarctica tundra for CHCl3 fluxes, which showed that CHCl3 was naturally emitted from the Antarctic tundra at 35 +/- 27 nmol m(-2) d(-1), comparable to other reported important natural sources. Significantly, enhanced CHCl3 emission rates (66 +/- 20 nmol m(-2) d(-1)) were observed from ornithogenic soil on the island populated with penguins, which was rich in organic matter and halides coming from penguin excrements. It is estimated that Antarctic tundra emits up to 0.1 Gg CHCl3 per year, which is an important source for regional atmospheric CHCl3. Laboratory-based incubations suggested that organic carbon and chlorine inputs by penguins may stimulate O-2 dependent microbial-mediated CHCl3 emission from the Antarctic tundra, and all tundra soils showed the maximum CHCl3 emission at 4 degrees C. The strength of this CHCl3 source is also expected to change in response to Antarctic warming. Plain Language Summary Chloroform (CHCl3) is the second-largest natural carrier of atmospheric chlorine, which can catalyze stratospheric ozone depletion. Natural sources of CHCl3 are believed to predominate over anthropogenic sources, accounting for 50%-90% of global CHCl3 emissions. Among the natural sources, soils are the second-largest source, after the ocean. This study conducted the first in situ static-chamber measurements and lab-based incubations on CHCl3 emissions from Antarctic tundra, and found that it was an important regional source, emitting up to 0.1 Gg CHCl3 each year (&lt;1% of natural terrestrial sources) into the atmosphere. Penguin activities deposited large amounts of excrement in colony tundra and enhanced organic matter and chlorine content in the soil, which promoted the production of CHCl3 mediated by microbial activities. Temperature-controlled incubations indicated that tundra soils showed the maximum CHCl3 emission at 4 degrees C, and temperature increase and freeze-thaw cycles might influence annual and seasonal CHCl3 emissions from Antarctic tundra. This study suggested that the strength of CHCl3 source will vary in response to changes in penguin population/colony size, and the extent of Antarctic warming.</t>
  </si>
  <si>
    <t>[Zhang, Wanying; Zhu, Renbin; Sun, Bowen; Dai, Haitao] Univ Sci &amp; Technol China, Inst Polar Environm, Sch Earth &amp; Space Sci, Hefei, Peoples R China; [Zhang, Wanying; Zhu, Renbin; Sun, Bowen; Dai, Haitao] Univ Sci &amp; Technol China, Anhui Prov Key Lab Polar Environm &amp; Global Change, Sch Earth &amp; Space Sci, Hefei, Peoples R China; [Jiao, Yi; Rhew, Robert C.] Univ Calif Berkeley, Dept Geog, Berkeley, CA 94720 USA; [Zhu, Renbin] Univ Sci &amp; Technol China, Frontiers Sci Ctr Planetary Explorat &amp; Emerging T, Hefei, Peoples R China; [Rhew, Robert C.] Univ Calif Berkeley, Dept Environm Sci Policy &amp; Management, Berkeley, CA 94720 USA</t>
  </si>
  <si>
    <t>Chinese Academy of Sciences; University of Science &amp; Technology of China, CAS; Chinese Academy of Sciences; University of Science &amp; Technology of China, CAS; University of California System; University of California Berkeley; Chinese Academy of Sciences; University of Science &amp; Technology of China, CAS; University of California System; University of California Berkeley</t>
  </si>
  <si>
    <t>Zhu, RB (corresponding author), Univ Sci &amp; Technol China, Inst Polar Environm, Sch Earth &amp; Space Sci, Hefei, Peoples R China.;Zhu, RB (corresponding author), Univ Sci &amp; Technol China, Anhui Prov Key Lab Polar Environm &amp; Global Change, Sch Earth &amp; Space Sci, Hefei, Peoples R China.;Rhew, RC (corresponding author), Univ Calif Berkeley, Dept Geog, Berkeley, CA 94720 USA.;Zhu, RB (corresponding author), Univ Sci &amp; Technol China, Frontiers Sci Ctr Planetary Explorat &amp; Emerging T, Hefei, Peoples R China.;Rhew, RC (corresponding author), Univ Calif Berkeley, Dept Environm Sci Policy &amp; Management, Berkeley, CA 94720 USA.</t>
  </si>
  <si>
    <t>zhurb@ustc.edu.cn; rrhew@berkeley.edu</t>
  </si>
  <si>
    <t>Rhew, Robert C/M-8110-2016; Jiao, Yi/ABD-2092-2021; Jiao, Yi/HNP-9992-2023; Zhang, Wanying/IXD-8104-2023; Sun, Bowen/M-6027-2018</t>
  </si>
  <si>
    <t>Jiao, Yi/0000-0001-5027-3144; Zhang, Wanying/0000-0001-9874-9834; Zhu, RenBin/0000-0001-7757-3622</t>
  </si>
  <si>
    <t>National Natural Science Foundation of China [41776190, 41976220]; National Key Research and Development Program of China [2020YFA0608501]; Strategic Priority Research Program of Chinese Academy of Sciences [XDB40010200]</t>
  </si>
  <si>
    <t>National Natural Science Foundation of China(National Natural Science Foundation of China (NSFC)); National Key Research and Development Program of China; Strategic Priority Research Program of Chinese Academy of Sciences(Chinese Academy of Sciences)</t>
  </si>
  <si>
    <t>This work was funded by National Natural Science Foundation of China (No. 41776190; 41976220), National Key Research and Development Program of China (No. 2020YFA0608501) and Strategic Priority Research Program of Chinese Academy of Sciences (No. XDB40010200). GC/MS analysis of soil incubations was conducted at the University of California, Berkeley; GC/MS analysis of flask samples was conducted at Fujian Agriculture and Forestry University under the help of Prof. Zhigang Yi; fieldwork was conducted with assistance from Chinese National Antarctic Research Expedition team.</t>
  </si>
  <si>
    <t>e2021GL093811</t>
  </si>
  <si>
    <t>10.1029/2021GL093811</t>
  </si>
  <si>
    <t>WOS:000703685100053</t>
  </si>
  <si>
    <t>Muchow, M; Schmitt, AU; Kaleschke, L</t>
  </si>
  <si>
    <t>Muchow, Marek; Schmitt, Amelie U.; Kaleschke, Lars</t>
  </si>
  <si>
    <t>A lead-width distribution for Antarctic sea ice: a case study for the Weddell Sea with high-resolution Sentinel-2 images</t>
  </si>
  <si>
    <t>THICKNESS DISTRIBUTION; FRACTION; ALBEDO; FLUXES; OCEAN</t>
  </si>
  <si>
    <t>Using Copernicus Sentinel-2 images we derive a statistical lead-width distribution for the Weddell Sea. While previous work focused on the Arctic, this is the first lead-width distribution for Antarctic sea ice. Previous studies suggest that the lead-width distribution follows a power law with a positive exponent; however their results for the power-law exponents are not all in agreement with each other. To detect leads we create a sea-ice surface-type classification based on 20 carefully selected cloud-free Sentinel-2 Level-1C products, which have a resolution of 10 m. The observed time period is from November 2016 until February 2018, covering only the months from November to April. We apply two different fitting methods to the measured lead widths. The first fitting method is a linear fit, while the second method is based on a maximum likelihood approach. Here, we use both methods for the same lead-width data set to observe differences in the calculated power-law exponent. To further investigate influences on the power-law exponent, we define two different thresholds: one for open-water-covered leads and one for open-water-covered and nilas-covered leads. The influence of the lead threshold on the exponent is larger for the linear fit than for the method based on the maximum likelihood approach. We show that the exponent of the lead-width distribution ranges between 1.110 and 1.413 depending on the applied fitting method and lead threshold. This exponent for the Weddell Sea sea ice is smaller than the previously observed exponents for the Arctic sea ice.</t>
  </si>
  <si>
    <t>[Muchow, Marek] Univ Hamburg, Inst Oceanog, Ctr Earth Syst Res &amp; Sustainabil CEN, Hamburg, Germany; [Schmitt, Amelie U.] Univ Hamburg, Inst Meteorol, Ctr Earth Syst Res &amp; Sustainabil CEN, Hamburg, Germany; [Kaleschke, Lars] Helmholtz Zentrum Polar &amp; Meeresforsch, Alfred Wegener Inst, Bremerhaven, Germany</t>
  </si>
  <si>
    <t>University of Hamburg; University of Hamburg; Helmholtz Association; Alfred Wegener Institute, Helmholtz Centre for Polar &amp; Marine Research</t>
  </si>
  <si>
    <t>Muchow, M (corresponding author), Univ Hamburg, Inst Oceanog, Ctr Earth Syst Res &amp; Sustainabil CEN, Hamburg, Germany.</t>
  </si>
  <si>
    <t>marek.muchow@uni-hamburg.de</t>
  </si>
  <si>
    <t>Schmitt, Amelie/B-1187-2013</t>
  </si>
  <si>
    <t>Schmitt, Amelie/0000-0003-3346-9748; Kaleschke, Lars/0000-0001-7086-3299</t>
  </si>
  <si>
    <t>German Science Foundation (DFG) [314651818]; Johanna Baehr from the Institute of Oceanography, Universitat Hamburg</t>
  </si>
  <si>
    <t>German Science Foundation (DFG)(German Research Foundation (DFG)); Johanna Baehr from the Institute of Oceanography, Universitat Hamburg</t>
  </si>
  <si>
    <t>This work was financially supported by the German Science Foundation (DFG) with the project number 314651818, and the publication was supported by Johanna Baehr from the Institute of Oceanography, Universitat Hamburg. The authors acknowledge the Copernicus program and the European Space Agency (ESA) for providing the imagery data for the Sentinel-2 satellites with the Copernicus Open Access Hub.</t>
  </si>
  <si>
    <t>10.5194/tc-15-4527-2021</t>
  </si>
  <si>
    <t>WA7RZ</t>
  </si>
  <si>
    <t>WOS:000703084000001</t>
  </si>
  <si>
    <t>Tian, Z; Magna, T; Day, JMD; Mezger, K; Scherer, EE; Lodders, K; Hin, RC; Koefoed, P; Bloom, H; Wang, K</t>
  </si>
  <si>
    <t>Tian, Zhen; Magna, Tomas; Day, James M. D.; Mezger, Klaus; Scherer, Erik E.; Lodders, Katharina; Hin, Remco C.; Koefoed, Piers; Bloom, Hannah; Wang, Kun</t>
  </si>
  <si>
    <t>Potassium isotope composition of Mars reveals a mechanism of planetary volatile retention</t>
  </si>
  <si>
    <t>K isotope; Mars; volatile depletion; parent body size</t>
  </si>
  <si>
    <t>CHEMICAL-COMPOSITION; ACCRETION HISTORY; EARTH; SHERGOTTITE; ELEMENTS; ORIGIN; PETROLOGY; MODEL; DIFFERENTIATION; SYSTEMATICS</t>
  </si>
  <si>
    <t>The abundances of water and highly to moderately volatile elements in planets are considered critical to mantle convection, surface evolution processes, and habitability. From the first flyby space probes to the more recent Perseverance and Tianwen-1 missions, follow the water, and, more broadly, volatiles, has been one of the key themes of martian exploration. Ratios of volatiles relative to refractory elements (e.g., K/Th, Rb/Sr) are consistent with a higher volatile content for Mars than for Earth, despite the contrasting present-day surface conditions of those bodies. This study presents K isotope data from a spectrum of martian lithologies as an isotopic tracer for comparing the inventories of highly and moderately volatile elements and compounds of planetary bodies. Here, we show that meteorites from Mars have systematically heavier K isotopic compositions than the bulk silicate Earth, implying a greater loss of K from Mars than from Earth. The average bulk silicate delta K-41 values of Earth, Moon, Mars, and the asteroid 4-Vesta correlate with surface gravity, the Mn/Na volatility ratio, and most notably, bulk planet H2O abundance. These relationships indicate that planetary volatile abundances result from variable volatile loss during accretionary growth in which larger mass bodies preferentially retain volatile elements over lower mass objects. There is likely a threshold on the size requirements of rocky (exo) planets to retain enough H2O to enable habitability and plate tectonics, with mass exceeding that of Mars.</t>
  </si>
  <si>
    <t>[Tian, Zhen; Lodders, Katharina; Koefoed, Piers; Bloom, Hannah; Wang, Kun] Washington Univ, McDonnell Ctr Space Sci, Dept Earth &amp; Planetary Sci, St Louis, MO 63130 USA; [Magna, Tomas] Czech Geol Survey, Sect Isotope Geochem &amp; Geochronol, CZ-11821 Prague, Czech Republic; [Day, James M. D.] Univ Calif San Diego, Scripps Inst Oceanog, La Jolla, CA 92093 USA; [Mezger, Klaus] Univ Bern, Inst Geol, CH-3012 Bern, Switzerland; [Scherer, Erik E.] Univ Munster, Inst Mineral, D-48149 Munster, Germany; [Hin, Remco C.] Univ Bristol, Sch Earth Sci, Bristol Isotope Grp, Bristol BS8 1RJ, Avon, England; [Hin, Remco C.] Univ Bayreuth, Bayer Geoinst, D-95440 Bayreuth, Germany; [Bloom, Hannah] Univ Chicago, Dept Geophys Sci, Chicago, IL 60637 USA</t>
  </si>
  <si>
    <t>Washington University (WUSTL); Czech Geological Survey; University of California System; University of California San Diego; Scripps Institution of Oceanography; University of Bern; University of Munster; University of Bristol; University of Bayreuth; University of Chicago</t>
  </si>
  <si>
    <t>Tian, Z; Wang, K (corresponding author), Washington Univ, McDonnell Ctr Space Sci, Dept Earth &amp; Planetary Sci, St Louis, MO 63130 USA.</t>
  </si>
  <si>
    <t>t.zhen@wustl.edu; wangkun@wustl.edu</t>
  </si>
  <si>
    <t>Scherer, Erik/P-3388-2017; Mezger, Klaus/D-9502-2011; Day, James/A-5099-2010</t>
  </si>
  <si>
    <t>Scherer, Erik/0000-0001-6049-6202; Lodders, Katharina/0000-0001-7531-626X; Mezger, Klaus/0000-0002-2443-8539; Hin, Remco C./0000-0002-9647-6518; Wang, Kun/0000-0003-0691-7058; Day, James/0000-0001-9520-3465</t>
  </si>
  <si>
    <t>McDonnell Center for the Space Sciences; McDonnell International Academy, Washington University; NASA (Emerging Worlds Program) [80NSSC21K0379]; Helmholtz Association through the research alliance HA 203 Planetary Evolution and Life; Strategic Research Plan of the Czech Geological Survey [DKRVO 2018-2022]; NASA Emerging Worlds [80NSSC19K0932]; NSF [AST 1517541]; NSF; NASA</t>
  </si>
  <si>
    <t>McDonnell Center for the Space Sciences; McDonnell International Academy, Washington University; NASA (Emerging Worlds Program); Helmholtz Association through the research alliance HA 203 Planetary Evolution and Life; Strategic Research Plan of the Czech Geological Survey; NASA Emerging Worlds; NSF(National Science Foundation (NSF)); NSF(National Science Foundation (NSF)); NASA(National Aeronautics &amp; Space Administration (NASA))</t>
  </si>
  <si>
    <t>Reviews by Dr. Alan Brandon and two anonymous referees and editorial handling by Dr. Mark Thiemens are gratefully acknowledged. This work was primarily supported by the McDonnell Center for the Space Sciences. Z.T. acknowledges a fellowship from the McDonnell International Academy, Washington University. K.W. acknowledges supportfrom NASA (Emerging Worlds Program Grant 80NSSC21K0379) . K.M., T.M., and E.E.S. are grateful to the Helmholtz Association through the research alliance HA 203 Planetary Evolution and Life. T.M. contributed through the Strategic Research Plan of the Czech Geological Survey (DKRVO 2018-2022) . J.M.D.D. is supported by NASA Emerging Worlds (80NSSC19K0932) . Work by K.L. is in part supported by NSF AST 1517541 and the McDonnell Center for the Space Sciences. We thank the Antarctic Search for Meteorites (ANSMET) , the Meteorite Working Group, Dr. Kevin Righter at NASA's Johnson Space Center, Dr. Glenn MacPherson at the Smithsonian National Museum of Natural His-tory, Dr. Philipp Heck at The Field Museum of Natural History, Dr. Laurence Garvie at the Center for Meteorite Studies, Arizona State University, and the National Institute of Polar Research, Japan, for providing meteorite samples. US Antarctic meteorite samples are recovered by the ANSMET program, which has been funded by NSF and NASA, and characterized and curated by the Department of Mineral Sciences of the Smithsonian Institution and Astroma-terials Acquisition and Curation Office at NASA Johnson Space Center.</t>
  </si>
  <si>
    <t>e2101155118</t>
  </si>
  <si>
    <t>10.1073/pnas.2101155118</t>
  </si>
  <si>
    <t>WC1DN</t>
  </si>
  <si>
    <t>WOS:000704004200006</t>
  </si>
  <si>
    <t>Chen, MY; Chen, M; Zheng, MF; Qiu, YS; Chen, QN; Li, Q</t>
  </si>
  <si>
    <t>Chen, Mengya; Chen, Min; Zheng, Minfang; Qiu, Yusheng; Chen, Qianna; Li, Qi</t>
  </si>
  <si>
    <t>210Po/210Pb disequilibria influenced by production and remineralization of particulate organic matter around Prydz Bay, Antarctica</t>
  </si>
  <si>
    <t>210Po; 210Pb disequilibria; Water mass; Absorption; POM remineralization; Prydz bay</t>
  </si>
  <si>
    <t>SOUTH CHINA SEA; SURFACE WATERS; PB-210 DISTRIBUTIONS; EQUATORIAL PACIFIC; CARBON EXPORT; ICE MINIMUM; MARINE; RA-226; TH-234; OCEAN</t>
  </si>
  <si>
    <t>Dissolved and particulate 210Po and 210Pb were measured to reveal the particle dynamics around Prydz Bay in the austral summer of 2015. The spatial variations of 210Po activity concentration and 210Po/210Pb disequilibria are mainly controlled by 210Po absorption and particle scavenging, and particulate organic matter (POM) remineralization. Different water masses around Prydz Bay show different characteristics of 210Po/210Pb disequilibria. The activity ratios of total 210Po to total 210Pb (expressed as TPo TPbAR) in Antarctic Surface Water, Winter residual Water, Shelf Water and Thermocline Water are all less than 1.0, indicating that biological absorption and particle adsorption preferentially scavenge 210Po from these waters. Circumpolar Deep Water shows the highest TPo/TPbAR characteristics, and the total 210Po is in equilibrium or excess to the total 210Pb, which reflects the effect of POM remineralization. The TPo/TPbAR value in the Antarctic Bottom Water is less than 1.0, and it falls between the ratios of Shelf Water and Circumpolar Deep Water, which proves that the formation of Antarctic Bottom Water has an impact on the 210Po/210Pb disequilibria. fretained is defined to represent the proportion of 210Po scavenging from the dissolved phase to the particulate phase but suspended in seawater; we found that there is a linear relationship between fretained and particulate organic carbon (POC), silicic acid and phosphate concentrations, indicating that the balance between input (POM remineralization) and removal (biological absorption and particle adsorption) determines the disequilibrium between 210Po and 210Pb. Based on the 210Po/210Pb disequilibria, the POC export from the euphotic zone is estimated to be 4.11-47.82 mmol C m- 2 d 1, showing large spatial variability. The POC export on the shelf is generally higher than that on the slope and basin, which corresponds to the spatial variations of phytoplankton biomass and primary productivity.</t>
  </si>
  <si>
    <t>[Chen, Mengya; Chen, Min; Zheng, Minfang; Qiu, Yusheng; Chen, Qianna; Li, Qi] Xiamen Univ, Coll Ocean &amp; Earth Sci, Xiamen 361102, Peoples R China</t>
  </si>
  <si>
    <t>Xiamen University</t>
  </si>
  <si>
    <t>Chen, M (corresponding author), Xiamen Univ, Coll Ocean &amp; Earth Sci, Xiamen 361102, Peoples R China.</t>
  </si>
  <si>
    <t>mchen@xmu.edu.cn</t>
  </si>
  <si>
    <t>wang, qiang/IZW-1751-2023; XU, Lin/JDM-5554-2023; Lu, Jianhong/IYT-3322-2023; Yang, Bo/JTS-4309-2023; Zeng, Yun/JFK-6190-2023; zhang, shuai/IVU-7877-2023</t>
  </si>
  <si>
    <t>XU, Lin/0000-0003-1781-1638; Chen, Mengya/0000-0001-9962-7046</t>
  </si>
  <si>
    <t>Ministry of Natural Resources of the People's Republic of China [IRASCC 01-01-02C, 02-01-01]; National Natural Sci-ence Foundation of China [41721005]; Chinese COMRA program [DY135-E2-2-03]; Chinese Arctic and Antarctic Administration</t>
  </si>
  <si>
    <t>Ministry of Natural Resources of the People's Republic of China; National Natural Sci-ence Foundation of China(National Natural Science Foundation of China (NSFC)); Chinese COMRA program; Chinese Arctic and Antarctic Administration</t>
  </si>
  <si>
    <t>We would like to thank the captains and crews of the R/V XUELONG for their assistance in sampling. Thanks to Dr. Zhengbing Han and Dr. Jianming Pan for providing phosphate and silicic acid data, and two reviewers for their constructive comments, which greatly improved our manuscript. This work was supported by Impact and Response of Ant-arctic Seas to Climate Change (IRASCC 01-01-02C, 02-01-01) funded by Ministry of Natural Resources of the People's Republic of China and Chinese Arctic and Antarctic Administration, and National Natural Sci-ence Foundation of China (41721005) and Chinese COMRA program (No. DY135-E2-2-03) .</t>
  </si>
  <si>
    <t>10.1016/j.dsr2.2021.104961</t>
  </si>
  <si>
    <t>WA0TK</t>
  </si>
  <si>
    <t>WOS:000702608400003</t>
  </si>
  <si>
    <t>Wang, ZQ; Tang, H; Herrmann, B; Xu, LX</t>
  </si>
  <si>
    <t>Wang, Zhongqiu; Tang, Hao; Herrmann, Bent; Xu, Liuxiong</t>
  </si>
  <si>
    <t>Catch Pattern for Antarctic krill (Euphausia superba) of Different Commercial Trawls in Similar Times and Overlapping Fishing Grounds</t>
  </si>
  <si>
    <t>Antarctic krill; trawls; length composition; inter-trawler; catch ratio</t>
  </si>
  <si>
    <t>COD GADUS-MORHUA; RELEASE EFFICIENCY; SIZE; FISHERY; SELECTIVITY</t>
  </si>
  <si>
    <t>Antarctic krill (Euphausia superba) is harvested using different design midwater trawls. Knowing the selective properties between trawls is crucial information for the management of the krill resources. This study compared the catch patterns between different commercial krill trawls at similar times and overlapping fishing grounds based on scientific data collected by scientific observers onboard commercial trawlers Long Teng (LT) and Fu Rong Hai (FRH). The results showed significant differences in the length-dependent catch densities and cumulative catch densities of krill between the two trawls. The krill length range in catches from LT's trawl was wider than that of FRH's trawl. Furthermore, the catch would consist of a larger proportion of smaller krill in the LT's trawl. The LT's trawl caught significantly higher proportions of krill below 38 mm than FRH's trawl. Even, the LT's trawl caught substantial numbers of krill &lt;30 mm, whereas the FRH's trawl caught very few of them. The main factors causing the difference between trawls in catch pattern were inferred to be related to gear design including differences in mesh sizes used. The results of this study enhance the quality of comparative analysis of scientific data from commercial trawls and the understanding of gear selectivity of different configuration trawls used for harvesting krill.</t>
  </si>
  <si>
    <t>[Wang, Zhongqiu; Tang, Hao; Xu, Liuxiong] Shanghai Ocean Univ, Coll Marine Sci, Shanghai, Peoples R China; [Tang, Hao; Xu, Liuxiong] Natl Engn Res Ctr Ocean Fisheries, Shanghai, Peoples R China; [Tang, Hao; Xu, Liuxiong] Minist Agr &amp; Rural Affairs, Key Lab Ocean Fisheries Explorat, Shanghai, Peoples R China; [Tang, Hao; Xu, Liuxiong] Shanghai Ocean Univ, Minist Educ, Key Lab Sustainable Exploitat Ocean Fisheries Res, Shanghai, Peoples R China; [Tang, Hao; Xu, Liuxiong] Minist Agr &amp; Rural Affairs, Sci Observing &amp; Expt Stn Ocean Fishery Resources, Shanghai, Peoples R China; [Herrmann, Bent] SINTEF Ocean, Trondheim, Norway; [Herrmann, Bent] Arctic Univ Norway, Norwegian Coll Fishery Sci, Tromso, Norway; [Herrmann, Bent] Tech Univ Denmark, DTU Aqua, Hirtshals, Denmark</t>
  </si>
  <si>
    <t>Shanghai Ocean University; National Engineering Research Center for Oceanic Fisheries; Ministry of Agriculture &amp; Rural Affairs; Shanghai Ocean University; Ministry of Agriculture &amp; Rural Affairs; SINTEF; UiT The Arctic University of Tromso; Technical University of Denmark</t>
  </si>
  <si>
    <t>Tang, H (corresponding author), Shanghai Ocean Univ, Coll Marine Sci, Shanghai, Peoples R China.;Tang, H (corresponding author), Natl Engn Res Ctr Ocean Fisheries, Shanghai, Peoples R China.;Tang, H (corresponding author), Minist Agr &amp; Rural Affairs, Key Lab Ocean Fisheries Explorat, Shanghai, Peoples R China.;Tang, H (corresponding author), Shanghai Ocean Univ, Minist Educ, Key Lab Sustainable Exploitat Ocean Fisheries Res, Shanghai, Peoples R China.;Tang, H (corresponding author), Minist Agr &amp; Rural Affairs, Sci Observing &amp; Expt Stn Ocean Fishery Resources, Shanghai, Peoples R China.</t>
  </si>
  <si>
    <t>Tang, Hao/GXH-6097-2022; xu, liu/KCL-1154-2024</t>
  </si>
  <si>
    <t>Tang, Hao/0000-0002-3393-1683;</t>
  </si>
  <si>
    <t>National Natural Science Foundation of China [31902426]; Shanghai Sailing Program [19YF1419800]; special project for the exploitation and utilization of Antarctic biological resources of the Ministry of Agriculture and Rural Affairs</t>
  </si>
  <si>
    <t>National Natural Science Foundation of China(National Natural Science Foundation of China (NSFC)); Shanghai Sailing Program; special project for the exploitation and utilization of Antarctic biological resources of the Ministry of Agriculture and Rural Affairs</t>
  </si>
  <si>
    <t>This study was financially supported by the National Natural Science Foundation of China (Grand No. 31902426), the Shanghai Sailing Program (19YF1419800), and the special project for the exploitation and utilization of Antarctic biological resources of the Ministry of Agriculture and Rural Affairs.</t>
  </si>
  <si>
    <t>10.3389/fmars.2021.670663</t>
  </si>
  <si>
    <t>WF2UJ</t>
  </si>
  <si>
    <t>WOS:000706165500001</t>
  </si>
  <si>
    <t>Fang, C; Zhang, YS; Zheng, RH; Hong, FK; Zhang, M; Zhang, R; Mou, JF; Mu, JL; Lin, LS; Bo, J</t>
  </si>
  <si>
    <t>Fang, Chao; Zhang, Yusheng; Zheng, Ronghui; Hong, Fukun; Zhang, Min; Zhang, Ran; Mou, Jianfeng; Mu, Jingli; Lin, Longshan; Bo, Jun</t>
  </si>
  <si>
    <t>Spatio-temporal variation of microplastic pollution in the sediment from the Chukchi Sea over five years</t>
  </si>
  <si>
    <t>Arctic; Sediment; Western Arctic Ocean; Chukchi Plateau; Sea ice; Microplastic</t>
  </si>
  <si>
    <t>SURFACE SEDIMENTS; YELLOW SEA; ABUNDANCE; WATER; CONTAMINATION; ACCUMULATION; LITTER; BASIN; FISH; ICE</t>
  </si>
  <si>
    <t>Sediment has been considered as an important sink for microplastics (MPs), but there are limited reports about the spatial and temporal variability of MPs in sediment from the Arctic Ocean. Furthermore, understanding is lacking on the correlation between Arctic sea ice variation and MP abundance in sediment. This study aimed to assess the MP contamination in the sediment from the Chukchi Sea over five years through three voyages (in 2016, 2018, and 2020). The MP abundances in the sediments from the Chukchi Plateau and Chukchi Shelf over five years ranged from 33.66 +/- 15.08 to 104.54 +/- 28.07 items kg-1 dry weight (DW) and 20.63 +/- 6.71 to 55.64 +/- 22.61 items kg-1 DW, respectively. The MP levels from the Chukchi Sea were lower than those from the Eastern Arctic Ocean. Our findings suggest that the Chukchi Plateau is an accumulation zone for fibers related to fishing gear and textiles under the dual influence of the Pacific and Atlantic Ocean currents. However, the reduction of these fibers in the sediment from the Chukchi Shelf might be related to bottom currents, sediment re suspension, and biomass. Moreover, the MP abundance in the sediment from the Chukchi Sea was positively correlated with the reduction of Arctic sea ice, suggesting that the melting sea ice contributes to the increase in MP levels in the sediment. The increase in blue MPs from the Chukchi Plateau over time might be attributed to melting sea ice or intense fishing activity, whereas the increase of the smallest MPs in this region could be owing to the breakdown of larger plastics during long-distance transport or the easier settlement of smaller MPs. Further time-series investigations are urgently required to improve the understanding of the environmental fate and transport of MPs among the different Arctic environmental compartments. (c) 2021 Published by Elsevier B.V.</t>
  </si>
  <si>
    <t>[Fang, Chao; Zhang, Yusheng; Zheng, Ronghui; Hong, Fukun; Zhang, Min; Zhang, Ran; Mou, Jianfeng; Lin, Longshan; Bo, Jun] Minist Nat Resources, Inst Oceanog 3, Lab Marine Biol &amp; Ecol, Xiamen 361102, Peoples R China; [Mu, Jingli] Minjiang Univ, Inst Oceanog, Fujian Key Lab Funct Marine Sensing Mat, Fuzhou 350108, Peoples R China</t>
  </si>
  <si>
    <t>Ministry of Natural Resources of the People's Republic of China; Third Institute of Oceanography, Ministry of Natural Resources; Minjiang University</t>
  </si>
  <si>
    <t>Lin, LS; Bo, J (corresponding author), Minist Nat Resources, Inst Oceanog 3, Lab Marine Biol &amp; Ecol, Xiamen 361102, Peoples R China.</t>
  </si>
  <si>
    <t>linlsh@tio.org.cn; bojun@tio.org.cn</t>
  </si>
  <si>
    <t>Bo, Jun/ABG-7639-2020; Li, Guo/JNR-1700-2023; yang, zhuo/JPK-3133-2023; Zhang, Min/IYS-4624-2023; Zhang, Min/HIA-0058-2022</t>
  </si>
  <si>
    <t>Bo, Jun/0000-0002-8726-1654;</t>
  </si>
  <si>
    <t>first batch of the Youth Innovation Fund Project of Xiamen [3502Z20206099]; Chinese Arctic and Antarctic Administration; National Key Research and Development Programof China [2019YFD0901101]; National Natural Science Foundation of China [41977211, 42176171, 41806135]</t>
  </si>
  <si>
    <t>first batch of the Youth Innovation Fund Project of Xiamen; Chinese Arctic and Antarctic Administration; National Key Research and Development Programof China; National Natural Science Foundation of China(National Natural Science Foundation of China (NSFC))</t>
  </si>
  <si>
    <t>This work was sponsored by the first batch of the Youth Innovation Fund Project of Xiamen in 2020 (3502Z20206099), the Chinese Arctic and Antarctic Administration, the National Key Research and Development Programof China (Grant No. 2019YFD0901101), and the National Natural Science Foundation of China (Grant Nos. 41977211, 42176171 and 41806135).</t>
  </si>
  <si>
    <t>10.1016/j.scitotenv.2021.150530</t>
  </si>
  <si>
    <t>WH4KU</t>
  </si>
  <si>
    <t>WOS:000707649600010</t>
  </si>
  <si>
    <t>Beaulieu, M; Dähne, M; Köpp, J; Marciau, C; Kato, A; Ropert-Coudert, Y; Raclot, T</t>
  </si>
  <si>
    <t>Beaulieu, Michaeel; Daehne, Michael; Koepp, Jane; Marciau, Coline; Kato, Akiko; Ropert-Coudert, Yan; Raclot, Thierry</t>
  </si>
  <si>
    <t>Exploring the interplay between nest vocalizations and foraging behaviour in breeding birds</t>
  </si>
  <si>
    <t>bird; communication; foraging behaviour; reproductive partner; vocalization</t>
  </si>
  <si>
    <t>ADELIE PENGUINS; SOCIAL INFORMATION; PUBLIC INFORMATION; FOOD AVAILABILITY; DIVING BEHAVIOR; EMPEROR; COMMUNICATION; PERFORMANCE; SIGNALS</t>
  </si>
  <si>
    <t>In many bird species, reproductive partners sing together each time they meet on the nest. Because these nest ceremonies typically correspond to the return of one partner from foraging and to the subsequent departure of the other partner, we hypothesized that the foraging decisions of departing birds may be facilitated by the vocalizations accompanying their partner's return on the nest, providing these vocalizations reflect foraging conditions. We examined this hypothesis in pairs of Adelie penguins, Pygoscelis adeliae, by longitudinally monitoring their nest vocalizations and their spatial distribution when foraging at sea across the guard stage, when both parents regularly alternate foraging at sea and chick attendance at the nest. We found that the acoustic characteristics of the vocalizations produced during nest relief ceremonies reflected some characteristics of the foraging trips of both the returning and departing partners. However, these acoustic characteristics differed between partners and were differently related to their foraging behaviour. Accordingly, departing individuals did not adopt the same foraging behaviour as that of returning individuals. Nest vocalizations therefore do not appear to represent cues facilitating the foraging decisions of departing birds, but they may rather reflect the arousal of partners, which differently correlates with the foraging behaviour of the returning and departing individuals. Our study highlights an interplay between the vocalizations produced on the nest by reproductive partners and their foraging behaviour, thereby broadening the scope of animal vocalizations and opening a novel perspective on the regulation of foraging strategies. However, our exploratory study also highlights the complexity of examining this interplay, as the effects of nest vocalizations on foraging decisions may be complicated by other factors (e.g. intrinsic foraging capacity). This calls for the use of additional and experimental approaches (e.g. vocalization playbacks) to clarify the role of nest vocalizations as potential mediators of foraging decisions. (c) 2021 The Association for the Study of Animal Behaviour. Published by Elsevier Ltd. All rights reserved.</t>
  </si>
  <si>
    <t>[Beaulieu, Michaeel; Daehne, Michael; Koepp, Jane] German Oceanog Museum, Stralsund, Germany; [Marciau, Coline; Kato, Akiko; Ropert-Coudert, Yan] La Rochelle Univ, Ctr Etud Biol Chize, UMR7372, CNRS, Villiers En Bois, France; [Raclot, Thierry] Univ Strasbourg, Inst Pluridisciplinaire Hubert Curien, UMR7178, CNRS, Strasbourg, France</t>
  </si>
  <si>
    <t>Centre National de la Recherche Scientifique (CNRS); CNRS - Institute of Ecology &amp; Environment (INEE); Centre National de la Recherche Scientifique (CNRS); CNRS - National Institute of Nuclear and Particle Physics (IN2P3); Universites de Strasbourg Etablissements Associes; Universite de Strasbourg</t>
  </si>
  <si>
    <t>Beaulieu, M (corresponding author), German Oceanog Museum, Stralsund, Germany.</t>
  </si>
  <si>
    <t>miklvet@hotmail.fr</t>
  </si>
  <si>
    <t>Beaulieu, Michael/A-5261-2011</t>
  </si>
  <si>
    <t>Beaulieu, Michael/0000-0002-9948-269X; Kato, Akiko/0000-0002-8947-3634</t>
  </si>
  <si>
    <t>program l'AMMER of the French Polar Institute (Adelie penguins as Monitor of the Marine Environment) [1091]; project 'Hearing in penguins' by the German Environmental Agency through the Federal Ministry for the Environment Nature Conservation and Nuclear Safety [FKZ3777182440]; Antarctic Science Bursary; Zone Atelier Antarctique (ZATA); WWF-UK</t>
  </si>
  <si>
    <t>program l'AMMER of the French Polar Institute (Adelie penguins as Monitor of the Marine Environment); project 'Hearing in penguins' by the German Environmental Agency through the Federal Ministry for the Environment Nature Conservation and Nuclear Safety; Antarctic Science Bursary; Zone Atelier Antarctique (ZATA); WWF-UK</t>
  </si>
  <si>
    <t>This research arose from a collaboration between the project Hearing in Penguins led by the German Oceanographic Museum and the program l'AMMER of the French Polar Institute (Ad?elie penguins as Monitor of the Marine Environment; Prog. 1091) . MB was funded through the project 'Hearing in penguins' by the German Environmental Agency through the Federal Ministry for the Environment Nature Conservation and Nuclear Safety (grant no. FKZ3777182440) . We would like to thank the French Polar Institute (IPEV) and its staff in Dumont d'Urville Station for logistical sup-port. We are also grateful to the Antarctic Science Bursary, the Zone Atelier Antarctique (ZATA) and the WWF-UK for funding part of this research.</t>
  </si>
  <si>
    <t>10.1016/j.anbehav.2021.08.015</t>
  </si>
  <si>
    <t>WH5VI</t>
  </si>
  <si>
    <t>WOS:000707744600011</t>
  </si>
  <si>
    <t>Krause, J; Hopwood, MJ; Höfer, J; Krisch, S; Achterberg, EP; Alarcón, E; Carroll, D; González, HE; Juul-Pedersen, T; Liu, T; Lodeiro, P; Meire, L; Rosing, MT</t>
  </si>
  <si>
    <t>Krause, Jana; Hopwood, Mark J.; Hofer, Juan; Krisch, Stephan; Achterberg, Eric P.; Alarcon, Emilio; Carroll, Dustin; Gonzalez, Humberto E.; Juul-Pedersen, Thomas; Liu, Te; Lodeiro, Pablo; Meire, Lorenz; Rosing, Minik T.</t>
  </si>
  <si>
    <t>Trace Element (Fe, Co, Ni and Cu) Dynamics Across the Salinity Gradient in Arctic and Antarctic Glacier Fjords</t>
  </si>
  <si>
    <t>iron; copper; nickel; cobalt; glacier; fjord; Arctic; Antarctic</t>
  </si>
  <si>
    <t>TIDEWATER OUTLET GLACIERS; PHYTOPLANKTON BLOOMS; NITROGEN-FIXATION; DISSOLVED IRON; NORTHERN GULF; GREENLAND; ICE; MELTWATER; COASTAL; OCEAN</t>
  </si>
  <si>
    <t>Around the Greenlandic and Antarctic coastlines, sediment plumes associated with glaciers are significant sources of lithogenic material to the ocean. These plumes contain elevated concentrations of a range of trace metals, especially in particle bound phases, but it is not clear how these particles affect dissolved (&lt; 0.2 mu m) metal distributions in the ocean. Here we show, using transects in 8 glacier fjords, trends in the distribution of dissolved iron, cobalt, nickel and copper (dFe, dCo, dNi, dCu). Following rapid dFe loss close to glacier outflows, dFe concentrations in particular showed strong similarities between different fjords. Similar dFe concentrations were also observed between seasons/years when Nuup Kangerlua (SW Greenland) was revisited in spring, mid- and late-summer. Dissolved Cu, dCo and dNi concentrations were more variable and showed different gradients with salinity depending on the fjord, season and year. The lack of consistent trends for dCu and dNi largely reflects less pronounced differences contrasting the concentration of inflowing shelf waters with fresher glacially-modified waters. Particles also made only small contributions to total dissolvable Cu (dCu constituted 83 +/- 28% of total dissolvable Cu) and Ni (dNi constituted 86 +/- 28% of total dissolvable Ni) within glacier plumes. For comparison, dFe was a lower fraction of total dissolvable Fe; 3.5 +/- 4.8%. High concentrations of total dissolvable Fe in some inner-fjord environments, up to 77 mu M in Ameralik (SW Greenland), may drive enhanced removal of scavenged type elements, such as Co. Further variability may have been driven by local bedrock mineralogy, which could explain high concentrations of dNi (25-29 nM) and dCo (6-7 nM) in one coastal region of west Greenland (Kangaatsiaq). Our results suggest that dissolved trace element distributions in glacier fjords are influenced by a range of factors including: freshwater concentrations, local geology, drawdown by scavenging and primary production, saline inflow, and sediment dynamics. Considering the lack of apparent seasonality in dFe concentrations, we suggest that fluxes of some trace elements may scale proportionately to fjord overturning rather than directly to freshwater discharge flux.</t>
  </si>
  <si>
    <t>[Krause, Jana; Hopwood, Mark J.; Krisch, Stephan; Achterberg, Eric P.; Liu, Te] GEOMAR Helmholtz Ctr Ocean Res Kiel, Marine Biogeochem, Kiel, Germany; [Hopwood, Mark J.] Southern Univ Sci &amp; Technol, Dept Ocean Sci &amp; Engn, Shenzhen, Peoples R China; [Hofer, Juan] Pontificia Univ Catolica Valparaiso, Escuela Ciencias Mar, Valparaiso, Chile; [Hofer, Juan; Alarcon, Emilio; Gonzalez, Humberto E.] Ctr FONDAP Invest Dinam Ecosistemas Marinos Aftas, Valdivia, Chile; [Alarcon, Emilio] Ctr Invest Ecosistemas Patagonia CIEP, Coyhaique, Chile; [Carroll, Dustin] San Jose State Univ, Moss Landing Marine Labs, Moss Landing, CA USA; [Gonzalez, Humberto E.] Univ Austral Chile, Inst Ciencias Marinas &amp; Limnol, Valdivia, Chile; [Juul-Pedersen, Thomas; Meire, Lorenz] Greenland Climate Res Ctr, Greenland Inst Nat Resources, Nuuk, Greenland; [Lodeiro, Pablo] Univ Lleida, Dept Chem, AGROTECNIO CERCA Ctr, Lleida, Spain; [Meire, Lorenz] Royal Netherlands Inst Sea Res, Dept Estuarine &amp; Delta Syst, Yerseke, Netherlands; [Rosing, Minik T.] Univ Copenhagen, Globe Inst, Copenhagen, Denmark</t>
  </si>
  <si>
    <t>Helmholtz Association; GEOMAR Helmholtz Center for Ocean Research Kiel; Southern University of Science &amp; Technology; Pontificia Universidad Catolica de Valparaiso; California State University System; San Jose State University; Moss Landing Marine Laboratories; Universidad Austral de Chile; Greenland Institute of Natural Resources; Universitat de Lleida; Utrecht University; Royal Netherlands Institute for Sea Research (NIOZ); University of Copenhagen</t>
  </si>
  <si>
    <t>Hopwood, MJ (corresponding author), GEOMAR Helmholtz Ctr Ocean Res Kiel, Marine Biogeochem, Kiel, Germany.;Hopwood, MJ (corresponding author), Southern Univ Sci &amp; Technol, Dept Ocean Sci &amp; Engn, Shenzhen, Peoples R China.</t>
  </si>
  <si>
    <t>mark@sustech.edu.cn</t>
  </si>
  <si>
    <t>Achterberg, Eric P/C-5820-2009; Meire, Lorenz/G-5099-2015; González, Humberto E./A-4039-2008; Hopwood, Mark/E-2187-2019; Lodeiro, Pablo/H-8395-2019; Rosing, Minik T/A-9977-2013</t>
  </si>
  <si>
    <t>Meire, Lorenz/0000-0001-7516-071X; Lodeiro, Pablo/0000-0002-2557-5391; Liu, Te/0000-0002-0587-3017; Hofer, Juan/0000-0002-5887-4929; Krisch, Stephan/0000-0002-7842-0676</t>
  </si>
  <si>
    <t>FONDAP-IDEAL [15150003]; FONDECYT-Regular [1211338]; DFG [HO 6321/11]; INTERACT (European Union Horizon 2020) [730938]; GLACE project; Swiss Polar Foundation; research programme VENI by the Dutch Research Council (NWO) [016.Veni.192.15]; Novo Nordic Foundation [NNF17SH0028142]</t>
  </si>
  <si>
    <t>FONDAP-IDEAL; FONDECYT-Regular(Comision Nacional de Investigacion Cientifica y Tecnologica (CONICYT)CONICYT FONDECYT); DFG(German Research Foundation (DFG)); INTERACT (European Union Horizon 2020); GLACE project; Swiss Polar Foundation; research programme VENI by the Dutch Research Council (NWO); Novo Nordic Foundation(Novo Nordisk Foundation)</t>
  </si>
  <si>
    <t>Antarctic sampling was possible through FONDAP-IDEAL 15150003. JH was supported by FONDECYT-Regular 1211338. MH received support from the DFG (award number HO 6321/11), INTERACT (European Union Horizon 2020, grant 730938) and from the GLACE project, organised by the Swiss Polar Institute and supported by the Swiss Polar Foundation. LMwas funded by research programme VENI with project number 016.Veni.192.150, which is financed by theDutch Research Council (NWO). Ship time and work in Nuup Kangerlua was conducted in collaboration with MarineBasis-Nuuk, part of the Greenland Ecosystem Monitoring project (GEM). We gratefully acknowledge contributions from the Danish Centre for Marine Research (DCH), Greenland Institute of Natural Resources, Novo Nordic Foundation (NNF17SH0028142) and the Instituto Antartico Chileno (INACH) for their logistical support.</t>
  </si>
  <si>
    <t>SEP 27</t>
  </si>
  <si>
    <t>10.3389/feart.2021.725279</t>
  </si>
  <si>
    <t>WH1RZ</t>
  </si>
  <si>
    <t>WOS:000707465500001</t>
  </si>
  <si>
    <t>Tahon, G; Gök, D; Lebbe, L; Willems, A</t>
  </si>
  <si>
    <t>Tahon, Guillaume; Gok, Duygu; Lebbe, Liesbeth; Willems, Anne</t>
  </si>
  <si>
    <t>Description and functional testing of four species of the novel phototrophic genus Chioneia gen. nov., isolated from different East Antarctic environments</t>
  </si>
  <si>
    <t>SYSTEMATIC AND APPLIED MICROBIOLOGY</t>
  </si>
  <si>
    <t>Aerobic anoxygenic phototrophy; Antarctica; Ice-free soil; Microbial mat; pufLM; Sphingomonadaceae</t>
  </si>
  <si>
    <t>SOR RONDANE MOUNTAINS; AEROBIC ANOXYGENIC PHOTOTROPHS; PROPOSED MINIMAL STANDARDS; EMENDED DESCRIPTION; SP. NOV.; SANDARAKINORHABDUS-LIMNOPHILA; BACTERIAL DIVERSITY; NITROGEN-FIXATION; WASTE-WATER; SPHINGOMONAS</t>
  </si>
  <si>
    <t>Seven Gram-negative, aerobic, non-sporulating, motile strains were isolated from terrestrial (R-67880(T), R-67883, R-36501 and R-36677(T)) and aquatic (R-39604, R-39161(T) and R-39594(T)) East Antarctic environ-ments (i.e. soil and aquatic microbial mats), between 2007 and 2014. Analysis of near-complete 16S rRNA gene sequences revealed that the strains potentially form a novel genus in the family Sphingomonadaceae (Alphaproteobacteria). DNA-DNA reassociation and average nucleotide identity values indicated distinc-tion from close neighbors in the family Sphingomonadaceae and showed that the seven isolates form four different species. The main central pathways present in the strains are the glycolysis, tricarboxylic acid cycle and pentose phosphate pathway. The strains can use only a limited number of carbon sources and mainly depend on ammonia and sulfate as a nitrogen and sulfur source, respectively. The novel strains showed the potential of aerobic anoxygenic phototrophy, based on the presence of bacteriochloro-phyll a pigments, which was corroborated by the presence of genes for all building blocks for a type 2 photosynthetic reaction center in the annotated genomes. Based on the results of phenotypic, genomic, phylogenetic and chemotaxonomic analyses, the strains could be assigned four new species in the novel genus Chioneia gen. nov. in the family Sphingomonadaceae, for which the names C. frigida sp. nov. (R-67880(T), R-67883 and R-36501), C. hiemis sp. nov. (R-36677(T)), C. brumae sp. nov. (R-39161(T) and R-39604) and C. algoris sp. nov. (R-39594(T)) are proposed. (C) 2021 Elsevier GmbH. All rights reserved.</t>
  </si>
  <si>
    <t>[Tahon, Guillaume; Gok, Duygu; Lebbe, Liesbeth; Willems, Anne] Univ Ghent, Dept Biochem &amp; Microbiol, Microbiol Lab, Ghent, Belgium; [Tahon, Guillaume] Wageningen Univ, Lab Microbiol Agrotechnol &amp; Food Sci, Wageningen, Netherlands</t>
  </si>
  <si>
    <t>Ghent University; Wageningen University &amp; Research</t>
  </si>
  <si>
    <t>Willems, A (corresponding author), Dept Biochem &amp; Microbiol, Microbiol Lab, KL Ledeganckstr 35, B-9000 Ghent, Belgium.</t>
  </si>
  <si>
    <t>guillaume.tahon@wur.nl; Duygu.Gok@UGent.be; Liesbeth.Lebbe@UGent.be; Anne.Willems@UGent.be</t>
  </si>
  <si>
    <t>Willems, Anne/B-2872-2010</t>
  </si>
  <si>
    <t>Willems, Anne/0000-0002-8421-2881; , G/0000-0001-7020-4162</t>
  </si>
  <si>
    <t>EMBRC Belgium (FWO project) [GOH3817N, I001621N]; Ghent University (Belgium); Hercules Foundation; Flemish Government - department EWI (Belgium)</t>
  </si>
  <si>
    <t>EMBRC Belgium (FWO project)(FWO); Ghent University (Belgium)(Ghent University); Hercules Foundation; Flemish Government - department EWI (Belgium)</t>
  </si>
  <si>
    <t>This research made use of infrastructure supplied by EMBRC Belgium (FWO project GOH3817N and I001621N) . The computational resources (Stevin Supercomputer Infrastructure) and services used in this work were provided by the Flemish Supercomputer Centre (VSC) funded by Ghent University (Belgium) , the Hercules Foundation and the Flemish Government - department EWI (Belgium) .</t>
  </si>
  <si>
    <t>ELSEVIER GMBH</t>
  </si>
  <si>
    <t>MUNICH</t>
  </si>
  <si>
    <t>HACKERBRUCKE 6, 80335 MUNICH, GERMANY</t>
  </si>
  <si>
    <t>0723-2020</t>
  </si>
  <si>
    <t>1618-0984</t>
  </si>
  <si>
    <t>SYST APPL MICROBIOL</t>
  </si>
  <si>
    <t>Syst. Appl. Microbiol.</t>
  </si>
  <si>
    <t>10.1016/j.syapm.2021.126250</t>
  </si>
  <si>
    <t>WD8MV</t>
  </si>
  <si>
    <t>WOS:000705189800004</t>
  </si>
  <si>
    <t>Van Fossen, JA; Olenick, J; Ayton, J; Chang, CH; Kozlowski, SWJ</t>
  </si>
  <si>
    <t>Van Fossen, Jenna A.; Olenick, Jeffrey; Ayton, Jeffrey; Chang, Chu-Hsiang; Kozlowski, Steve W. J.</t>
  </si>
  <si>
    <t>Relationships between personality and social functioning, attitudes towards the team and mission, and well-being in an ICE environment</t>
  </si>
  <si>
    <t>ACTA ASTRONAUTICA</t>
  </si>
  <si>
    <t>ICE; Big five; Personality; Teams; Expedition</t>
  </si>
  <si>
    <t>SPACE ANALOG; PERFORMANCE; PREDICTORS; EXPERIENCE; BEHAVIOR; STRESS; WORK; TIME; ORGANIZATIONS; EXPLORATION</t>
  </si>
  <si>
    <t>For long-duration space missions to be successful, it is necessary to develop an understanding of the psychological factors that promote effective coping in isolated, confined, and extreme (ICE) environments. We evaluated relationships between Big Five personality traits and social functioning (liking one's teammates, social conflict, and social cohesion), anxiety and sad affect, well-being (health and psychological difficulties, symptoms of depression), and attitudes towards the mission and team. These variables were assessed with pre- (N = 105) and post- (N = 34) mission surveys as well as daily reports (N = 74) during the mission. Participants were crew members with a variety of work roles who completed 1- to 18-month missions in one of three stations in Antarctica. Findings indicate that neuroticism is related to increased social conflict, anxiety, and health and psychological problems, as well as more negative perceptions of teammates and social cohesion. Alternately, conscientiousness in particular may predispose crew members to form positive attitudes towards their expedition and may protect against symptoms of depression. These results carry important implications for selecting individuals for Antarctic expeditions and, with necessary caveats, space exploration teams.</t>
  </si>
  <si>
    <t>[Van Fossen, Jenna A.; Chang, Chu-Hsiang] Michigan State Univ, Dept Psychol, 316 Phys Rd 262, E Lansing, MI 48824 USA; [Olenick, Jeffrey] Old Dominion Univ, Dept Psychol, 250 Mills Godwin Life Sci Bldg, Norfolk, VA 23529 USA; [Ayton, Jeffrey] Australian Antarctic Div, 203 Channel Hwy, Kingston, Tas 7050, Australia; [Kozlowski, Steve W. J.] Univ S Florida, Dept Psychol, 4202 East Fowler Ave PCD 4118G, Tampa, FL 33620 USA</t>
  </si>
  <si>
    <t>Michigan State University; Old Dominion University; Australian Antarctic Division; State University System of Florida; University of South Florida</t>
  </si>
  <si>
    <t>Van Fossen, JA (corresponding author), Michigan State Univ, Dept Psychol, 316 Phys Rd 262, E Lansing, MI 48824 USA.</t>
  </si>
  <si>
    <t>vanfos10@msu.edu</t>
  </si>
  <si>
    <t>Olenick, Jeffrey/ABH-1295-2021; KOZLOWSKI, STEVEN W. J./G-4614-2012</t>
  </si>
  <si>
    <t>KOZLOWSKI, STEVEN W. J./0000-0002-5123-3424; Chang, Chu-Hsiang/0000-0002-9492-3070; Van Fossen, Jenna/0000-0001-5762-3530; Ayton, Jeffrey/0000-0003-4012-6719; Olenick, Jeffrey/0000-0002-6229-0934</t>
  </si>
  <si>
    <t>Australian Antarctic Division Polar Medicine Unit, Kingston Tasmania; National Aeronautics and Space Administration (NASA) [NNX13AM77G, NNX16AR52G]</t>
  </si>
  <si>
    <t>Australian Antarctic Division Polar Medicine Unit, Kingston Tasmania; National Aeronautics and Space Administration (NASA)(National Aeronautics &amp; Space Administration (NASA))</t>
  </si>
  <si>
    <t>The authors would like to thank Jessica Webb and Marina Pearce for their efforts in data collection. They would also like to acknowledge the Australian Antarctic expeditioners, who gave freely of their time to participate in this study at its three Antarctic continental stations, and the respective Antarctic medical practitioners at each station over the four year period for their support in recruitment and encouraging data collection and survey completion. The support of the Australian Antarctic Division Polar Medicine Unit, Kingston Tasmania and their Information Technology support enabled this study to be completed remotely across Australia's Antarctic Program.; Acknowledgment of research funding sources (agencies, grant numbers, if any):; We gratefully acknowledge the National Aeronautics and Space Administration (NASA; NNX13AM77G and NNX16AR52G, S.W.J. Kozlowski, Principal Investigator; C.-H. Chang, Co-Investigator) for support that contributed to this research. Any opinions, findings, conclusions and recommendations expressed are those of the authors and do not necessarily reflect the views of NASA.</t>
  </si>
  <si>
    <t>0094-5765</t>
  </si>
  <si>
    <t>1879-2030</t>
  </si>
  <si>
    <t>ACTA ASTRONAUT</t>
  </si>
  <si>
    <t>Acta Astronaut.</t>
  </si>
  <si>
    <t>10.1016/j.actaastro.2021.09.031</t>
  </si>
  <si>
    <t>Engineering, Aerospace</t>
  </si>
  <si>
    <t>WB8LB</t>
  </si>
  <si>
    <t>WOS:000703817900057</t>
  </si>
  <si>
    <t>Fang, XM; Yan, MD; Zhang, WL; Nie, JS; Han, WX; Wu, FL; Song, CH; Zhang, T; Zan, JB; Yang, YP</t>
  </si>
  <si>
    <t>Fang, Xiaomin; Yan, Maodu; Zhang, Weilin; Nie, Junsheng; Han, Wenxia; Wu, Fuli; Song, Chunhui; Zhang, Tao; Zan, Jinbo; Yang, Yongpeng</t>
  </si>
  <si>
    <t>Paleogeography control of Indian monsoon intensification and expansion at 41 Ma</t>
  </si>
  <si>
    <t>Asia paleogeography; Indian tropical monsoon; Eocene paleoenvironment; Subtropical monsoon onset; Driven factors and forcings</t>
  </si>
  <si>
    <t>SOUTH ASIAN MONSOON; TIBETAN PLATEAU; CONTINENTAL COLLISION; TECTONIC EVOLUTION; EURASIAN CLIMATE; EOCENE; BASIN; PALEOGENE; UPLIFT; CONSTRAINTS</t>
  </si>
  <si>
    <t>As a crucial part of the Asian monsoon stretching from tropical India to temperate East Asia, the Indian monsoon (IM) contributes predominant precipitation over Asian continent. However, our understanding of IM's onset, development and the underlying driving mechanisms is limited. Increasing evidence indicates that the IM began in the Eocene or even the Paleocene and was unexceptionally linked to the early rise of the Tibetan Plateau (TP). These were challenged by the heterogeneous and diachronous uplift of the TP and all the reported records were confined to tropical zone under tropical monsoon driven by the Intertropical Convergence Zone (ITCZ) that is irrelevant to the TP. Therefore, reliable paleoclimatic records from the extra-tropical IM region is crucial to reveal how the tropical IM expanded to subtropical and temperate zones and what driving factors might be related to it. Here we present robust Eocene paleoenvironmental records from central Yunnan (-26 degrees N) in subtropical East Asia. The multiproxy results of two sites demonstrate a consistent sudden switch from a dry environment in the early Eocene to a seasonally wet one at 41 Ma, suggesting a jump of the tropical IM to the southern subtropical zone at 41 Ma. The full collision of India with Asia, and the resulting changes in paleogeography at 41 Ma (closure of the Neotethys sea, retreat of the Paratethys seas, fast northward movement of the southern margin of the TP and rise of the central TP), aided by synchronous Antarctic cooling, might have worked together to drive the IM enhancement and northward expansion. (c) 2021 Science China Press. Published by Elsevier B.V. and Science China Press. All rights reserved.</t>
  </si>
  <si>
    <t>[Fang, Xiaomin; Yan, Maodu; Zhang, Weilin; Wu, Fuli; Zan, Jinbo; Yang, Yongpeng] Chinese Acad Sci, Inst Tibetan Plateau Res TPESRE, State Key Lab Tibetan Plateau Earth Syst Resource, Beijing 100101, Peoples R China; [Fang, Xiaomin; Yan, Maodu; Zhang, Weilin; Wu, Fuli; Zan, Jinbo; Yang, Yongpeng] Chinese Acad Sci, Inst Tibetan Plateau Res, Key Lab Continental Collis &amp; Plateau Uplift, Beijing 100101, Peoples R China; [Nie, Junsheng] Lanzhou Univ, Key Lab Western Chinas Environm, Minist Educ, Lanzhou 730000, Peoples R China; [Han, Wenxia] Linyi Univ, Sch Resource &amp; Environm Sci, Shandong Prov Key Lab Water &amp; Soil Conservat &amp; En, Linyi 276000, Shandong, Peoples R China; [Song, Chunhui; Zhang, Tao] Lanzhou Univ, Sch Earth Sci, Lanzhou 730000, Peoples R China; [Song, Chunhui; Zhang, Tao] Lanzhou Univ, Key Lab Western Chinas Mineral Resources Gansu Pr, Lanzhou 730000, Peoples R China</t>
  </si>
  <si>
    <t>Chinese Academy of Sciences; Chinese Academy of Sciences; Institute of Tibetan Plateau Research, CAS; Lanzhou University; Linyi University; Lanzhou University; Lanzhou University</t>
  </si>
  <si>
    <t>Fang, XM (corresponding author), Chinese Acad Sci, Inst Tibetan Plateau Res TPESRE, State Key Lab Tibetan Plateau Earth Syst Resource, Beijing 100101, Peoples R China.;Fang, XM (corresponding author), Chinese Acad Sci, Inst Tibetan Plateau Res, Key Lab Continental Collis &amp; Plateau Uplift, Beijing 100101, Peoples R China.</t>
  </si>
  <si>
    <t>fangxm@itpcas.ac.cn</t>
  </si>
  <si>
    <t>Strategic Priority Research Program of Chinese Academy of Sciences [XDA20070201]; National Natural Science Foundation of China Basic Science Center for Tibetan Plateau Earth System [41988101-1]; National Natural Science Foundation of China [41620104002]; Second Tibetan Plateau Scientific Expedition and Research Program [2019QZKK0707]</t>
  </si>
  <si>
    <t>Strategic Priority Research Program of Chinese Academy of Sciences(Chinese Academy of Sciences); National Natural Science Foundation of China Basic Science Center for Tibetan Plateau Earth System; National Natural Science Foundation of China(National Natural Science Foundation of China (NSFC)); Second Tibetan Plateau Scientific Expedition and Research Program</t>
  </si>
  <si>
    <t>This work was co-supported by the Strategic Priority Research Program of Chinese Academy of Sciences (XDA20070201), the National Natural Science Foundation of China Basic Science Center for Tibetan Plateau Earth System (41988101-1), the National Natural Science Foundation of China (41620104002), and the Second Tibetan Plateau Scientific Expedition and Research Program (2019QZKK0707). We thank Robert A. Spicer for his constructive comments and revisions for the early drafts and three anonymous reviewers for their valuable comments and suggestions that helped improving the quality of the manuscript. Thanks also due to Yan Bai, Yunfa Miao, Xijun Ni, Qingquan Meng, Dangpeng Xi, Miaomiao Shen, Ying Tian, Bingshuai Li, Shuang Lu, Rongsheng Yang, Ziqiang Mao, Liye Yang, Chihao Chen, Yahui Fang, Shoujie Gao, Jiuyi Wang, Yi Chen, Jiwei Yang, and Song Wu for their laboratory and fieldwork assistances.</t>
  </si>
  <si>
    <t>10.1016/j.scib.2021.07.023</t>
  </si>
  <si>
    <t>WA5HI</t>
  </si>
  <si>
    <t>WOS:000702915700012</t>
  </si>
  <si>
    <t>Wohltmann, I; von der Gathen, P; Lehmann, R; Deckelmann, H; Manney, GL; Davies, J; Tarasick, D; Jepsen, N; Kivi, R; Lyall, N; Rex, M</t>
  </si>
  <si>
    <t>Wohltmann, I; von der Gathen, P.; Lehmann, R.; Deckelmann, H.; Manney, G. L.; Davies, J.; Tarasick, D.; Jepsen, N.; Kivi, R.; Lyall, N.; Rex, M.</t>
  </si>
  <si>
    <t>Chemical Evolution of the Exceptional Arctic Stratospheric Winter 2019/2020 Compared to Previous Arctic and Antarctic Winters</t>
  </si>
  <si>
    <t>ozone; stratosphere; ozone loss; climate change</t>
  </si>
  <si>
    <t>POLAR OZONE DEPLETION; LAGRANGIAN CHEMISTRY; HCL; TRANSPORT; TEMPERATURE; VALIDATION; SIMULATION; CLONO2; VALUES; VORTEX</t>
  </si>
  <si>
    <t>The winter 2019/2020 showed the lowest ozone mixing ratios ever observed in the Arctic winter stratosphere. It was the coldest Arctic stratospheric winter on record and was characterized by an unusually strong and long-lasting polar vortex. We study the chemical evolution and ozone depletion in the winter 2019/2020 using the global Chemistry and Transport Model ATLAS. We examine whether the chemical processes in 2019/2020 are more characteristic of typical conditions in Antarctic winters or in average Arctic winters. Model runs for the winter 2019/2020 are compared to simulations of the Arctic winters 2004/2005, 2009/2010, and 2010/2011 and of the Antarctic winters 2006 and 2011, to assess differences in chemical evolution in winters with different meteorological conditions. In some respects, the winter 2019/2020 (and also the winter 2010/2011) was a hybrid between Arctic and Antarctic conditions, for example, with respect to the fraction of chlorine deactivation into HCl versus ClONO2, the amount of denitrification, and the importance of the heterogeneous HOCl + HCl reaction for chlorine activation. The pronounced ozone minimum of less than 0.2 ppm at about 450 K potential temperature that was observed in about 20% of the polar vortex area in 2019/2020 was caused by exceptionally long periods in the history of these air masses with low temperatures in sunlight. Based on a simple extrapolation of observed loss rates, only an additional 21-46 h spent below the upper temperature limit for polar stratospheric cloud formation and in sunlight would have been necessary to reduce ozone to near zero values (0.05 ppm) in these parts of the vortex.</t>
  </si>
  <si>
    <t>[Wohltmann, I; von der Gathen, P.; Lehmann, R.; Deckelmann, H.; Rex, M.] Alfred Wegener Inst Polar &amp; Marine Res, Potsdam, Germany; [Manney, G. L.] NorthWest Res Associates, Socorro, NM USA; [Manney, G. L.] New Mexico Inst Min &amp; Technol, Socorro, NM 87801 USA; [Davies, J.; Tarasick, D.] Environm &amp; Climate Change Canada, Air Qual Res Div, Downsview, ON, Canada; [Jepsen, N.] Danish Meteorol Inst, Copenhagen, Denmark; [Kivi, R.] Finnish Meteorol Inst, Space &amp; Earth Observat Ctr, Sodankyla, Finland; [Lyall, N.] Lerwick Observ, UK Met Off, Lerwick, Scotland</t>
  </si>
  <si>
    <t>Helmholtz Association; Alfred Wegener Institute, Helmholtz Centre for Polar &amp; Marine Research; NorthWest Research Associates; New Mexico Institute of Mining Technology; Environment &amp; Climate Change Canada; Danish Meteorological Institute DMI; Finnish Meteorological Institute; Met Office - UK</t>
  </si>
  <si>
    <t>Wohltmann, I (corresponding author), Alfred Wegener Inst Polar &amp; Marine Res, Potsdam, Germany.</t>
  </si>
  <si>
    <t>ingo.wohltmann@awi.de</t>
  </si>
  <si>
    <t>Manney, Gloria/JED-7207-2023; Wohltmann, Ingo/C-1301-2010; Tarasick, David Walter/IYS-7006-2023; von der Gathen, Peter/B-8515-2009; Rex, Markus/A-6054-2009</t>
  </si>
  <si>
    <t>Wohltmann, Ingo/0000-0003-4606-6788; Tarasick, David Walter/0000-0001-9869-0692; von der Gathen, Peter/0000-0001-7409-1556; Rex, Markus/0000-0001-7847-8221; Deckelmann, Holger/0000-0002-1937-5051; Manney, Gloria/0000-0003-4489-4811</t>
  </si>
  <si>
    <t>International Multidisciplinary Drifting Observatory for the Study of the Arctic Climate (MOSAiC) project [AWI_PS122_00]; Projekt DEAL</t>
  </si>
  <si>
    <t>International Multidisciplinary Drifting Observatory for the Study of the Arctic Climate (MOSAiC) project; Projekt DEAL</t>
  </si>
  <si>
    <t>The authors are grateful to the operating staff of all participating stations for having made the ozone sonde campaign in 2019/2020 possible. The authors acknowledge the support of the International Multidisciplinary Drifting Observatory for the Study of the Arctic Climate (MOSAiC) project with the tag MOSAiC2019-2020 and the Project_Id AWI_PS122_00. The authors thank the MLS Science Team for producing and making public the version 4 MLS data. The authors thank ECMWF for providing ERA5 reanalysis data, generated using Copernicus Climate Change Service Information 2020. Neither the European Commission nor ECMWF is responsible for any use that may be made of the Copernicus Information or Data it contains. Copernicus Climate Change Service (C3S; 2017): ERA5: Fifth generation of ECMWF atmospheric reanalyses of the global climate. Copernicus Climate Change Service Climate Data Store (CDS), 2017-2020. Open access funding enabled and organized by Projekt DEAL.</t>
  </si>
  <si>
    <t>e2020JD034356</t>
  </si>
  <si>
    <t>10.1029/2020JD034356</t>
  </si>
  <si>
    <t>UZ7RQ</t>
  </si>
  <si>
    <t>WOS:000702399300022</t>
  </si>
  <si>
    <t>González-Acuña, DA; Moreno, L; Wille, M; Herrmann, B; Kinsella, MJ; Palma, RL</t>
  </si>
  <si>
    <t>Gonzalez-Acuna, Daniel A.; Moreno, Lucila; Wille, Michelle; Herrmann, Bjorn; Kinsella, Mike J.; Palma, Ricardo L.</t>
  </si>
  <si>
    <t>Parasites of chinstrap penguins (Pygoscelis antarctica) from three localities in the Antarctic Peninsula and a review of their parasitic fauna</t>
  </si>
  <si>
    <t>Chinstrap penguins; Antarctica; Endoparasites; Ectoparasites; Worms; Ticks; Lice</t>
  </si>
  <si>
    <t>IXODES-URIAE ACARI; SOUTH-SHETLAND; SEABIRD TICK; ACANTHOCEPHALA; IXODIDAE; ISLAND</t>
  </si>
  <si>
    <t>Studies of parasitism in chinstrap penguins (Pygoscelis antarctica) are infrequent and mainly refer to the identification and description of its parasites, with little ecological data. In an attempt to address that lack of knowledge, we collected endo- and ecto-parasites from 326 live and four dead of chinstrap penguins, in three different localities of Antarctica not studied before. Three species of endoparasites and two of ectoparasites were found parasitizing birds: two tapeworms, Tetrabothrius pauliani (Cestoda: Tetrabothriidae) and Parorchites zederi (Cestoda: Dilepididae); one roundworm, Stegophorus macronectes (Nematoda: Acuariidae), and one feather louse: Austrogoniodes gressitti (Insecta: Phthiraptera: Philopteridae). Ticks (Ixodes uriae-Acari: Ixodidae) were collected from the ground near the penguin nesting colonies at two localities, Shirreff Cape and Narebsky Point. New ecological data are given for the two species of ectoparasites. No parasites were found in the blood collected from 300 live penguins.</t>
  </si>
  <si>
    <t>[Gonzalez-Acuna, Daniel A.] Univ Concepcion, Fac Ciencias Vet, Casilla 537, Chillan, Chile; [Moreno, Lucila] Univ Concepcion, Fac Ciencias Nat &amp; Oceanog, Concepcion, Chile; [Wille, Michelle] Linnaeus Univ, Ctr Ecol &amp; Evolut Microbial Model Syst EEMiS, Kalmar, Sweden; [Wille, Michelle] Univ Sydney, Sch Life &amp; Environm Sci, Marie Bashir Inst Infect Dis &amp; Biosecur, Sydney, NSW 2006, Australia; [Wille, Michelle] Univ Sydney, Sch Med Sci, Sydney, NSW 2006, Australia; [Herrmann, Bjorn] Uppsala Univ Hosp, Dept Clin Microbiol, SE-75185 Uppsala, Sweden; [Kinsella, Mike J.] Helm West Lab, 2108 Hilda Ave, Missoula, MT 59801 USA; [Palma, Ricardo L.] Museum New Zealand Te Papa Tongarewa, POB 467, Wellington, New Zealand</t>
  </si>
  <si>
    <t>Universidad de Concepcion; Universidad de Concepcion; Linnaeus University; University of Sydney; University of Sydney; Uppsala University; Uppsala University Hospital</t>
  </si>
  <si>
    <t>Palma, RL (corresponding author), Museum New Zealand Te Papa Tongarewa, POB 467, Wellington, New Zealand.</t>
  </si>
  <si>
    <t>ricardop@tepapa.govt.nz</t>
  </si>
  <si>
    <t>Moreno Salas, Lucila/HTR-5576-2023; Wille, Michelle/F-4819-2013</t>
  </si>
  <si>
    <t>Moreno Salas, Lucila/0000-0003-3159-4916; Wille, Michelle/0000-0002-5629-0196; Palma, Ricardo/0000-0003-2216-384X</t>
  </si>
  <si>
    <t>Instituto Antartico Chileno [T-27-10, T-12-13, T-23-19]</t>
  </si>
  <si>
    <t>Instituto Antartico Chileno</t>
  </si>
  <si>
    <t>We thank the Instituto Antartico Chileno for financing the research project INACH T-27-10, T-12-13 and T-23-19. Special thanks are due to the staff of the following Chilean Antarctic Bases, Bernardo O'Higgins, Arctowski, Mann, Escudero and Gabriel Gonzalez Videla, for their assistance to facilitate our field work. Also, we appreciate many helpful comments made by three reviewers, which greatly improved the quality of this paper. With great sadness, we acknowledge the untimely death of our friend and colleague Daniel Gonzalez-Acuna in December 2020, while this paper was being revised. Daniel was the driving force behind this research; hence, he remains as first author of this paper.</t>
  </si>
  <si>
    <t>10.1007/s00300-021-02945-x</t>
  </si>
  <si>
    <t>WOS:000700999200001</t>
  </si>
  <si>
    <t>Halzen, Francis</t>
  </si>
  <si>
    <t>High-Energy Neutrinos from the Cosmos</t>
  </si>
  <si>
    <t>ANNALEN DER PHYSIK</t>
  </si>
  <si>
    <t>cosmic neutrinos; multimessenger data; neutrino astronomy</t>
  </si>
  <si>
    <t>GAMMA-RAYS; RADIO; FLUX; ASSOCIATION; PHYSICS; AMANDA; MODEL; LINE</t>
  </si>
  <si>
    <t>The IceCube project transformed a cubic kilometer of transparent natural Antarctic ice into a Cherenkov detector. It discovered PeV-energy neutrinos originating beyond our galaxy with an energy flux that is comparable to that of GeV-energy gamma rays and EeV-energy cosmic rays. These neutrinos provide the only unobstructed view of the cosmic accelerators that power the highest energy radiation reaching us from the universe. The results from IceCube's first decade of operations, foremost the measurement of the diffuse neutrino flux from the universe using multiple techniques is reviewed. The multimessenger data that identified the supermassive black hole TXS 0506+056 as a source of cosmic neutrinos is subsequently reviewed and attention is drawn to accumulating indications that cosmic neutrinos are associated with gamma-ray-obscured active galaxies, that is, the energy in gamma rays that accompanies cosmic neutrinos emerges at MeV energies, or below. Reaching beyond 10 PeV energy, cosmic neutrinos provide a natural beam to study neutrinos themselves.</t>
  </si>
  <si>
    <t>[Halzen, Francis] UW Madison, Wisconsin Ice Cube Particle Phys Ctr, Madison, WI 53706 USA; [Halzen, Francis] UW Madison, Dept Phys, Madison, WI 53706 USA</t>
  </si>
  <si>
    <t>Halzen, F (corresponding author), UW Madison, Wisconsin Ice Cube Particle Phys Ctr, Madison, WI 53706 USA.;Halzen, F (corresponding author), UW Madison, Dept Phys, Madison, WI 53706 USA.</t>
  </si>
  <si>
    <t>halzen@icecube.wisc.edu</t>
  </si>
  <si>
    <t>Halzen, Francis/0000-0001-6224-2417</t>
  </si>
  <si>
    <t>U.S. National Science Foundation [PLR-1600823, PHY-1913607]; University of Wisconsin Research Committee; Wisconsin Alumni Research Foundation</t>
  </si>
  <si>
    <t>Discussion with collaborators inside and outside the IceCube Collaboration, too many to be listed, have greatly shaped this presentation. The author would like to single out Markus Ahlers, Qinrui Liu, and Ali Kheirandish for contributing to aspects of this manuscript. This research was supported in part by the U.S. National Science Foundation under grants PLR-1600823 and PHY-1913607 and by the University of Wisconsin Research Committee with funds granted by the Wisconsin Alumni Research Foundation.</t>
  </si>
  <si>
    <t>WILEY-V C H VERLAG GMBH</t>
  </si>
  <si>
    <t>WEINHEIM</t>
  </si>
  <si>
    <t>POSTFACH 101161, 69451 WEINHEIM, GERMANY</t>
  </si>
  <si>
    <t>0003-3804</t>
  </si>
  <si>
    <t>1521-3889</t>
  </si>
  <si>
    <t>ANN PHYS-BERLIN</t>
  </si>
  <si>
    <t>Ann. Phys.-Berlin</t>
  </si>
  <si>
    <t>10.1002/andp.202100309</t>
  </si>
  <si>
    <t>WX5CX</t>
  </si>
  <si>
    <t>WOS:000699949200001</t>
  </si>
  <si>
    <t>Tarca, G; Guglielmin, M; Convey, P; Worland, MR; Cannone, N</t>
  </si>
  <si>
    <t>Tarca, G.; Guglielmin, M.; Convey, P.; Worland, M. R.; Cannone, N.</t>
  </si>
  <si>
    <t>Small-scale spatial-temporal variability in snow cover and relationships with vegetation and climate in maritime Antarctica</t>
  </si>
  <si>
    <t>CATENA</t>
  </si>
  <si>
    <t>Snow; Vegetation; Antarctica; Climate change; ENSO</t>
  </si>
  <si>
    <t>LAYER THERMAL REGIME; DRONNING MAUD LAND; ACTIVE-LAYER; LIVINGSTON ISLAND; USNEA-ANTARCTICA; EAST ANTARCTICA; BYERS PENINSULA; SIGNY ISLAND; SEA-ICE; ACCUMULATION</t>
  </si>
  <si>
    <t>Snow cover changes can have important effects on ecosystems, especially where spatial variability in cover is high, influencing the biogeochemical conditions of the underlying soil as well as the vegetation. In this study, snow thickness and areal distribution were monitored using a time lapse camera over a grid of 15 x 20 m between 2009 and 2017 at Signy Island (60 degrees S, South Orkney Islands, maritime Antarctica). The data obtained confirmed high spatial and temporal variability in snow cover. Over the study period, the mean annual snow depth ranged between 5.6 cm (2017) and 11.1 cm (2012) while the maximum of the mean daily snow depth across the entire grid ranged between 17.1 cm (2017) and 50.1 cm (2015). No temporal trend was apparent but there was a strong correlation with mean annual air temperature, suggesting that possible future warming could decrease snow depth in the area. A negative correlation was identified between the winter Southern Oscillation Index (SOI) and mean annual snow depth, indicating an influence of El Nino-Southern Oscillation (ENSO) on snow cover in this part of Antarctica. There was considerable small-scale spatial variability in snow depth at each individual stake, with mean values between 3.9 and 25.3 cm and maximum values between 27 and 85 cm. Snow depth variability was influenced primarily by microtopography and wind direction, but also by the land cover type (vegetation). Our data highlight that spatial monitoring of snow accumulation is required at small physical scale to predict future effects of climatic changes on these sensitive maritime Antarctic terrestrial ecosystems.</t>
  </si>
  <si>
    <t>[Tarca, G.; Guglielmin, M.] Insubria Univ, Ctr Climate Change Res, Dept Theoret &amp; Appl Sci, Via JH Dunant 3, I-21100 Varese, Italy; [Convey, P.; Worland, M. R.] British Antarctic Survey, NERC, Madingley Rd, Cambridge CB3 0ET, England; [Convey, P.] Univ Johannesburg, Dept Zool, ZA-2006 Auckland Pk, South Africa; [Cannone, N.] Insubria Univ, Dept Sci &amp; High Technol, Via Valleggio 11, I-22100 Como, Italy</t>
  </si>
  <si>
    <t>University of Insubria; UK Research &amp; Innovation (UKRI); Natural Environment Research Council (NERC); NERC British Antarctic Survey; University of Johannesburg; University of Insubria</t>
  </si>
  <si>
    <t>Guglielmin, M (corresponding author), Insubria Univ, Ctr Climate Change Res, Dept Theoret &amp; Appl Sci, Via JH Dunant 3, I-21100 Varese, Italy.</t>
  </si>
  <si>
    <t>mauro.guglielmin@uninsubria.it</t>
  </si>
  <si>
    <t>Convey, Peter/0000-0001-8497-9903</t>
  </si>
  <si>
    <t>NERC; [PNRA 2016_00224]</t>
  </si>
  <si>
    <t>NERC(UK Research &amp; Innovation (UKRI)Natural Environment Research Council (NERC));</t>
  </si>
  <si>
    <t>We thank the British Antarctic Survey for logistical support in the different Antarctic campaigns and, in particular, Alex Taylor for providing the UAV image of the grid. This research was funded by the grant PNRA 2016_00224. Peter Convey is supported by NERC core funding to the British Antarctic Survey's `Biodiversity, Evolution and Adaptation' Team. We also thank two anonymous reviewers and the Editor for their helpful suggestions.</t>
  </si>
  <si>
    <t>0341-8162</t>
  </si>
  <si>
    <t>1872-6887</t>
  </si>
  <si>
    <t>Catena</t>
  </si>
  <si>
    <t>10.1016/j.catena.2021.105739</t>
  </si>
  <si>
    <t>Geosciences, Multidisciplinary; Soil Science; Water Resources</t>
  </si>
  <si>
    <t>Geology; Agriculture; Water Resources</t>
  </si>
  <si>
    <t>UX0ZD</t>
  </si>
  <si>
    <t>WOS:000700576300026</t>
  </si>
  <si>
    <t>Feba, F; Ashok, K; Collins, M; Shetye, SR</t>
  </si>
  <si>
    <t>Feba, F.; Ashok, Karumuri; Collins, Matthew; Shetye, Satish R. R.</t>
  </si>
  <si>
    <t>Emerging Skill in Multi-Year Prediction of the Indian Ocean Dipole</t>
  </si>
  <si>
    <t>FRONTIERS IN CLIMATE</t>
  </si>
  <si>
    <t>Indian Ocean (Dipole); decadal prediction; CanCM4; MIROC5; Southern Ocean; IOD and Southern Ocean; Antarctic Circumpolar Current (ACC); decadal prediction in tropics</t>
  </si>
  <si>
    <t>DECADAL PREDICTION; CLIMATE; ENSO; VARIABILITY; EVENTS; CIRCULATION; SIMULATION; IMPACTS; MODEL</t>
  </si>
  <si>
    <t>The Indian Ocean Dipole is a leading phenomenon of climate variability in the tropics, which affects the global climate. However, the best lead prediction skill for the Indian Ocean Dipole, until recently, has been limited to similar to 6 months before the occurrence of the event. Here, we show that multi-year prediction has made considerable advancement such that, for the first time, two general circulation models have significant prediction skills for the Indian Ocean Dipole for at least 2 years after initialization. This skill is present despite ENSO having a lead prediction skill of only 1 year. Our analysis of observed/reanalyzed ocean datasets shows that the source of this multi-year predictability lies in sub-surface signals that propagate from the Southern Ocean into the Indian Ocean. Prediction skill for a prominent climate driver like the Indian Ocean Dipole has wide-ranging benefits for climate science and society.</t>
  </si>
  <si>
    <t>[Feba, F.; Ashok, Karumuri; Shetye, Satish R. R.] Univ Hyderabad, Ctr Earth Ocean &amp; Atmospher Sci, Hyderabad, India; [Collins, Matthew] Univ Exeter, Coll Engn Math &amp; Phys Sci, Exeter, England</t>
  </si>
  <si>
    <t>University of Hyderabad; University of Exeter</t>
  </si>
  <si>
    <t>Feba, F; Ashok, K (corresponding author), Univ Hyderabad, Ctr Earth Ocean &amp; Atmospher Sci, Hyderabad, India.</t>
  </si>
  <si>
    <t>feba.francis@outlook.com; ashokkarumuri@uohyd.ac.in</t>
  </si>
  <si>
    <t>Francis, Feba/AAO-4921-2020; Collins, Matthew/F-8473-2011</t>
  </si>
  <si>
    <t>Francis, Feba/0000-0002-1917-3679; Collins, Matthew/0000-0003-3785-6008</t>
  </si>
  <si>
    <t>NERC/MoES SAPRISE project [NE/I022841/1]; CSIR</t>
  </si>
  <si>
    <t>NERC/MoES SAPRISE project; CSIR(Council of Scientific &amp; Industrial Research (CSIR) - India)</t>
  </si>
  <si>
    <t>FF thanks MC and NERC/MoES SAPRISE project (NE/I022841/1) for the travel grant to visit MetOffice, UK. FF acknowledges CSIR for the JRF &amp; amp; SRF fellowship. FF also thanks C T Tejavath for assistance in data processing.</t>
  </si>
  <si>
    <t>2624-9553</t>
  </si>
  <si>
    <t>FRONT CLIM</t>
  </si>
  <si>
    <t>Front. Clim.</t>
  </si>
  <si>
    <t>10.3389/fclim.2021.736759</t>
  </si>
  <si>
    <t>Environmental Sciences; Environmental Studies</t>
  </si>
  <si>
    <t>L2SX6</t>
  </si>
  <si>
    <t>WOS:001021819900001</t>
  </si>
  <si>
    <t>Putzke, J; Schaefer, CEGR; Villa, PM; Almeida, PHA</t>
  </si>
  <si>
    <t>Putzke, Jair; Schaefer, Carlos Ernesto Goncalves Reynaud; Villa, Pedro Manuel; Almeida, Pedro Henrique Araujo</t>
  </si>
  <si>
    <t>Whale bones: a key and endangered substrate for cryptogams in Antarctica</t>
  </si>
  <si>
    <t>Antarctic protected areas; Environmental conservation; Polar plant species; Antarctic coastal areas; Phytosociology</t>
  </si>
  <si>
    <t>DEGLACIATION; GRADIENT; ISLAND</t>
  </si>
  <si>
    <t>Whale bones are very abundant at coastal sites across the Admiralty Bay, King George Island, Antarctica, since whale hunting was common in the beginning of the XX century. Since then, these bones became suitable substrate and true oasis for many mosses and lichenized fungi, but their number is dramatically changing in the coastal zones, due to the sea erosion, degradation, and anthropization. In this work, whale bones found in Keller Peninsula were mapped with drone images coupled with field work, and the covering and diversity of moss and lichen species was registered for 37 vertebrae using the square method of Braun-Blanquet. Comparing the number of whale bones remaining at Keller Peninsula during a 21 years period revealed a dramatic reduction, with skull bones 55.8% lower than previous records. In addition, vertebrae and ribs are reduced in size, and so mobile and disrupted that no longer represent stable substrates for a normal plant succession (average covering of 31.6%). We detected 4 moss species and 19 lichens associated with whale bones. Muscicolous lichens occurred on 35.1% of the bones, and 5.4% showed more than 50% cover by mosses, whereas the rest are at the earliest stage of colonization due to constant displacement. Measures are suggested to preserve the bones still remaining to ensure the protection of vegetation in this part of Antarctica. The vegetation oasis found on Antarctic bone ecosystems are highly prone to anthropic and climatic disturbances and represent key sites of plant succession.</t>
  </si>
  <si>
    <t>[Putzke, Jair] Univ Fed Pampa, Bage, RS, Brazil; [Schaefer, Carlos Ernesto Goncalves Reynaud] Univ Fed Vicosa, Dept Solos, BR-36570000 Vicosa, MG, Brazil; [Villa, Pedro Manuel] Univ Fed Vicosa, Dept Biol Vegetal, BR-36570000 Vicosa, MG, Brazil; [Almeida, Pedro Henrique Araujo] Univ Fed Vicosa, Dept Solos, Programa Posgrad Solos &amp; Nutr Plantas, BR-36570000 Vicosa, MG, Brazil</t>
  </si>
  <si>
    <t>Universidade Federal do Pampa; Universidade Federal de Vicosa; Universidade Federal de Vicosa; Universidade Federal de Vicosa</t>
  </si>
  <si>
    <t>Putzke, J (corresponding author), Univ Fed Pampa, Bage, RS, Brazil.</t>
  </si>
  <si>
    <t>jrputzkebr@yahoo.com; reyschaefer@yahoo.com.br; villautana@gmail.com; phalmeida06@gmail.com</t>
  </si>
  <si>
    <t>Villa, Pedro M/S-3363-2019; Putzke, Jair/P-9380-2019</t>
  </si>
  <si>
    <t>Villa, Pedro M/0000-0003-4826-3187; , jair/0000-0002-9018-9024</t>
  </si>
  <si>
    <t>10.1007/s00300-021-02944-y</t>
  </si>
  <si>
    <t>WOS:000700999200002</t>
  </si>
  <si>
    <t>Alexander, CMO; Wynn, JG; Bowden, R</t>
  </si>
  <si>
    <t>Alexander, Conel M. O'd; Wynn, Jonathan G.; Bowden, Roxane</t>
  </si>
  <si>
    <t>Sulfur abundances and isotopic compositions in bulk carbonaceous chondrites and insoluble organic material: Clues to elemental and isotopic fractionations of volatile chalcophiles</t>
  </si>
  <si>
    <t>EARLY SOLAR-SYSTEM; AQUEOUS ALTERATION; CHEMICAL-COMPOSITION; ORIGIN; CHONDRULES; DEPLETION; ZN; COMPLEMENTARITY; CONDENSATION; METEORITES</t>
  </si>
  <si>
    <t>The bulk S elemental abundances and delta S-34 values for 83 carbonaceous chondrites (mostly CMs and CRs) and Semarkona (LL3.0) are reported. In addition, the S elemental abundances and delta S-34 values of insoluble organic material (IOM) isolated from 25 carbonaceous chondrites (CMs, CRs, and three ungrouped) are presented. The IOM only contributes 2-7% of the S to the bulk meteorites analyzed and exhibits no systematic variations. The average group bulk S abundances are similar to previous measurements. In-group variations likely reflect variations in matrix abundances, as well as parent body processes and weathering. The S and C abundances are roughly correlated and scatter about a mixing line between CI-like matrix and C-free and S-depleted chondrules. Systematic deviations from this mixing line may indicate different degrees of heating of matrix material in the nebula. There are no systematic variations in average group delta S-34 values, in contrast to what is seen for the volatile chalcophiles Zn, Te, Se, and Ag, as well as the less volatile siderophile Cu. Renormalization of the elemental and isotopic compositions indicates that the elemental and isotopic fractionations of Zn, Te, and Ag were controlled by the same process, whereas Se is intermediate in its behavior between these three elements and S. The isotopic fractionations could be associated with diffusion of volatile chalcophiles into sulfide at the end of chondrule formation. Copper appears to be distinct in its behavior from the chalcophiles, perhaps because it is more refractory and more siderophile.</t>
  </si>
  <si>
    <t>[Alexander, Conel M. O'd; Wynn, Jonathan G.; Bowden, Roxane] Carnegie Inst Sci, Earth &amp; Planets Lab, 5241 Broad Branch Rd NW, Washington, DC 20015 USA; [Wynn, Jonathan G.] Natl Sci Fdn, Div Earth Sci, 2415 Eisenhower Ave, Alexandria, VA 22314 USA</t>
  </si>
  <si>
    <t>Carnegie Institution for Science; National Science Foundation (NSF); NSF - Directorate for Geosciences (GEO); NSF - Division of Earth Sciences (EAR)</t>
  </si>
  <si>
    <t>calexander@carnegiescience.edu</t>
  </si>
  <si>
    <t>Alexander, Conel M. O'D./N-7533-2013</t>
  </si>
  <si>
    <t>NSF; NASA; Department of Mineral Sciences of the Smithsonian Institution; Astromaterials Curation Office at NASA Johnson Space Center; NSF IR/D program; NASA [NNX14AJ54G]; NASA [680147, NNX14AJ54G] Funding Source: Federal RePORTER</t>
  </si>
  <si>
    <t>NSF(National Science Foundation (NSF)); NASA(National Aeronautics &amp; Space Administration (NASA)); Department of Mineral Sciences of the Smithsonian Institution; Astromaterials Curation Office at NASA Johnson Space Center; NSF IR/D program; NASA(National Aeronautics &amp; Space Administration (NASA)); NASA(National Aeronautics &amp; Space Administration (NASA))</t>
  </si>
  <si>
    <t>This paper is dedicated to the memory of John Wasson for his many contributions to meteoritics and for his enlivening of any conference that he attended. The authors would like to thank Fred Moynier and an anonymous reviewer for suggestions that greatly improved this paper. For supplying the many samples, the authors would like to thank NASA's Johnson Space Center, the Meteorite Working Group, the British Museum of Natural History, the National Museum of Natural History in Washington, DC, the Center for Meteorite Studies at Arizona State University, and the University of Alberta Meteorite Collection. US Antarctic meteorite samples are recovered by the Antarctic Search for Meteorites (ANSMET) program, which has been funded by the NSF and NASA, and characterized and curated by the Department of Mineral Sciences of the Smithsonian Institution and the Astromaterials Curation Office at NASA Johnson Space Center. JW was supported by an NSF IR/D program. CA was partially supported by NASA Cosmochemistry grant NNX14AJ54G.</t>
  </si>
  <si>
    <t>10.1111/maps.13746</t>
  </si>
  <si>
    <t>WOS:000699316700001</t>
  </si>
  <si>
    <t>China and the Antarctic: Presence, policy, perception, and public diplomacy</t>
  </si>
  <si>
    <t>MARINE POLICY</t>
  </si>
  <si>
    <t>China; Antarctica; Policy; Perception; Public diplomacy</t>
  </si>
  <si>
    <t>MARINE PROTECTED AREAS; SOUTHERN-OCEAN; DOME; ICE</t>
  </si>
  <si>
    <t>China has made significant investments in Antarctica and has become an active participant in Antarctic governance. Its activities in Antarctica in particular appear to be designed to ensure that China will not be left out should there be beneficial opportunities in Antarctica in the future. In some Western narratives, China has become a so-called 'challenger' due to their perception of China being 'aggressive' in the polar regions. However, this point has its own counter argument based on the common practice of states to actively join international institutions and subsequently update their domestic law-making process. China appears to have taken a two-fold approach in Antarctic governance-being generally both supportive of the Antarctic Treaty System (ATS) and also keen to make its own mark in shaping future development of the ATS in a manner that promotes China's interests. The outcomes of China's polar investments may well bring as much benefit to itself as to many other interested players. It is important that China continues to support current norms that promote cooperation and limit competition or challenge them.</t>
  </si>
  <si>
    <t>[Hong, Nong] Inst China Amer Studies, Suite 310,1919 M St NW, Washington, DC 20036 USA</t>
  </si>
  <si>
    <t>Hong, N (corresponding author), Inst China Amer Studies, Suite 310,1919 M St NW, Washington, DC 20036 USA.</t>
  </si>
  <si>
    <t>0308-597X</t>
  </si>
  <si>
    <t>1872-9460</t>
  </si>
  <si>
    <t>MAR POLICY</t>
  </si>
  <si>
    <t>Mar. Pol.</t>
  </si>
  <si>
    <t>10.1016/j.marpol.2021.104779</t>
  </si>
  <si>
    <t>Environmental Studies; International Relations</t>
  </si>
  <si>
    <t>Environmental Sciences &amp; Ecology; International Relations</t>
  </si>
  <si>
    <t>WK4YS</t>
  </si>
  <si>
    <t>WOS:000709733400005</t>
  </si>
  <si>
    <t>Henríquez, CA; Moreno, PI; Dunbar, RB; Mucciarone, DA</t>
  </si>
  <si>
    <t>Henriquez, Carla A.; Moreno, Patricio, I; Dunbar, Robert B.; Mucciarone, David A.</t>
  </si>
  <si>
    <t>The last glacial termination in northwestern Patagonia viewed from the Lago Fonk (∼40°S) record</t>
  </si>
  <si>
    <t>Multi-proxy indexes; Lake sediment cores; Last glacial termination; Southern westerly winds; Patagonia</t>
  </si>
  <si>
    <t>CHILEAN LAKE DISTRICT; ISLA GRANDE; RADIOCARBON CHRONOLOGY; ABRUPT VEGETATION; CLIMATE-CHANGE; TREE LINE; PALEOCLIMATE; LLANQUIHUE; MAXIMUM; GROWTH</t>
  </si>
  <si>
    <t>The anatomy of the Last Glacial Termination (T1) in the southern mid-latitudes, and its relationship with changes in the Southern Westerly Winds (SWW), offers empirical constraints for understanding the mechanisms involved in the transition from the Last Glacial Maximum into the current interglacial. Northwestern Patagonia (40 degrees-44 degrees S) is a sensitive region for monitoring past changes in the SWW, the Patagonian Ice Sheet, terrestrial ecosystems, and fire regimes through T1. Here we present results from Lago Fonk (similar to 40 degrees S) to examine the structure of T1 based on the palynological, macroscopic charcoal, elemental, and isotopic composition of organic lake sediments. We observe an instantaneous establishment of Nothofagus-dominated forests at the onset of T1, followed by a diversification and densification trend that culminated with the establishment of thermophilous, Myrtaceae-dominated North Patagonian rainforests between similar to 15.6-14.7 cal ka BP. The expansion of the conifer Podocarpus nubigena marks a shift to cool-temperate and hyperhumid conditions, coeval with high lake levels and enhanced algal productivity between similar to 14.7-11.9 cal ka BP. Standreplacing fires, driven by enhanced seasonality or high-frequency rainfall variability, started at similar to 12.4 cal ka BP and catalyzed the rapid spread of Weinmannia trichosperma. Subsequent warming and a decline in precipitation at similar to 11.4 cal ka BP led to intense fire activity, lake-level lowering, and establishment of the Valdivian rainforest trees Eucryphia/Caldcluvia. Our results suggest a coherent linkage between changes documented in the amphi south Pacific region and Antarctic ice cores during T1. This implies a zonal and hemispheric response to changes in the position/intensity of the SWW that emphasizes their central role as a key driver of the hemispheric and global climate evolution through T1. (C) 2021 Elsevier Ltd. All rights reserved.</t>
  </si>
  <si>
    <t>[Henriquez, Carla A.; Moreno, Patricio, I] Univ Chile, Millennium Nucleus Paleoclimate, Santiago, Chile; [Henriquez, Carla A.; Moreno, Patricio, I] Univ Chile, Ctr Climate Res &amp; Resilience, Santiago, Chile; [Henriquez, Carla A.; Moreno, Patricio, I] Univ Chile, Inst Ecol &amp; Biodivers, Santiago, Chile; [Henriquez, Carla A.; Moreno, Patricio, I] Univ Chile, Dept Ciencias Ecol, Santiago, Chile; [Dunbar, Robert B.; Mucciarone, David A.] Stanford Univ, Sch Earth Energy &amp; Environm Sci, Palo Alto, CA 94304 USA</t>
  </si>
  <si>
    <t>Universidad de Chile; Universidad de Chile; Universidad de Chile; Universidad de Chile; Stanford University</t>
  </si>
  <si>
    <t>Henríquez, CA (corresponding author), Univ Chile, Millennium Nucleus Paleoclimate, Santiago, Chile.</t>
  </si>
  <si>
    <t>cahenriquez.vel@gmail.com</t>
  </si>
  <si>
    <t>Moreno, Patricio I/D-2317-2012</t>
  </si>
  <si>
    <t>Dunbar, Robert/0000-0002-9728-5609</t>
  </si>
  <si>
    <t>ANID/Fondecyt [1191435]; FONDAP [15110009]; ANID Millennium Science Initiative/Millennium Nucleus Paleoclimate [NCN17_079]; Beca Doctorado Nacional 2014-Conicyt [21140039]</t>
  </si>
  <si>
    <t>ANID/Fondecyt; FONDAP; ANID Millennium Science Initiative/Millennium Nucleus Paleoclimate; Beca Doctorado Nacional 2014-Conicyt</t>
  </si>
  <si>
    <t>We acknowledge funding from ANID/Fondecyt 1191435, FONDAP 15110009, the ANID Millennium Science Initiative/Millennium Nucleus Paleoclimate NCN17_079, and Beca Doctorado Nacional 2014-Conicyt 21140039. We thank P.E. Garcia, W.I. Henriquez, O.H. Pesce, and R. Villa for help during field work, L. Hernandez for laboratory assistance and T. Guilderson for acquisition of radiocarbon dates.</t>
  </si>
  <si>
    <t>10.1016/j.quascirev.2021.107197</t>
  </si>
  <si>
    <t>WOS:000703097800009</t>
  </si>
  <si>
    <t>Goetz, KT; Childerhouse, SJ; Paton, D; Ogle, M; Linde, K; Constantine, R; Double, MC; Andrews-Goff, V; Zerbini, AN; Olson, PA</t>
  </si>
  <si>
    <t>Goetz, Kimberly T.; Childerhouse, Simon J.; Paton, David; Ogle, Mike; Linde, Krista; Constantine, Rochelle; Double, Michael C.; Andrews-Goff, Virginia; Zerbini, Alexandre N.; Olson, Paula A.</t>
  </si>
  <si>
    <t>First satellite-tracked movements of pygmy blue whales (Balaenoptera musculus brevicauda) in New Zealand waters</t>
  </si>
  <si>
    <t>MARINE MAMMAL SCIENCE</t>
  </si>
  <si>
    <t>UPWELLING PLUME; POPULATION-STRUCTURE; BALEEN WHALES; COOK STRAIT; OCEAN; ASSEMBLAGES; HABITAT; SALPS; LINKS; WIND</t>
  </si>
  <si>
    <t>[Goetz, Kimberly T.; Linde, Krista] Natl Inst Water &amp; Atmospher Res, Wellington, New Zealand; [Goetz, Kimberly T.; Zerbini, Alexandre N.] NOAA, Marine Mammal Lab, Alaska Fisheries Sci Ctr, Natl Marine Fisheries Serv, Seattle, WA 98115 USA; [Childerhouse, Simon J.] Cawthron Inst, Nelson, New Zealand; [Paton, David] Blue Planet Marine, Canberra, ACT, Australia; [Ogle, Mike] Dept Conservat, Takaka, New Zealand; [Constantine, Rochelle] Univ Auckland, Sch Biol Sci, Auckland, New Zealand; [Constantine, Rochelle] Univ Auckland, Inst Marine Sci, Auckland, New Zealand; [Double, Michael C.; Andrews-Goff, Virginia] Australian Marine Mammal Ctr, Australian Antarctic Div, Hobart, Tas, Australia; [Zerbini, Alexandre N.] Univ Washington, Joint Inst Study Atmosphere &amp; Ocean, Seattle, WA 98195 USA; [Zerbini, Alexandre N.] Marine Ecol &amp; Telemetry Res, Seabeck, WA USA; [Olson, Paula A.] NOAA, Southwest Fisheries Sci Ctr, Natl Marine Fisheries Serv, La Jolla, CA USA</t>
  </si>
  <si>
    <t>National Institute of Water &amp; Atmospheric Research (NIWA) - New Zealand; National Oceanic Atmospheric Admin (NOAA) - USA; Cawthron Institute; University of Auckland; University of Auckland; Australian Antarctic Division; University of Washington; University of Washington Seattle; National Oceanic Atmospheric Admin (NOAA) - USA</t>
  </si>
  <si>
    <t>Goetz, KT (corresponding author), NOAA, Marine Mammal Lab, Alaska Fisheries Sci Ctr, Natl Marine Fisheries Serv, Seattle, WA 98115 USA.</t>
  </si>
  <si>
    <t>kim.goetz@noaa.gov</t>
  </si>
  <si>
    <t>Goetz, Kimberly/AID-8232-2022</t>
  </si>
  <si>
    <t>Andrews-Goff, Virginia/0000-0002-4609-7317</t>
  </si>
  <si>
    <t>National Institute of Water and Atmospheric Research; OMV Ltd; New Zealand Department of Conservation</t>
  </si>
  <si>
    <t>National Institute of Water and Atmospheric Research; New Zealand Department of Conservation; OMV Ltd</t>
  </si>
  <si>
    <t>0824-0469</t>
  </si>
  <si>
    <t>1748-7692</t>
  </si>
  <si>
    <t>MAR MAMMAL SCI</t>
  </si>
  <si>
    <t>Mar. Mamm. Sci.</t>
  </si>
  <si>
    <t>10.1111/mms.12876</t>
  </si>
  <si>
    <t>0E3XB</t>
  </si>
  <si>
    <t>WOS:000698959100001</t>
  </si>
  <si>
    <t>Marmoni, GM; Martino, S; Salvatore, MC; Gaeta, M; Perinelli, C; Mugnozza, GS; Baroni, C</t>
  </si>
  <si>
    <t>Marmoni, G. M.; Martino, S.; Salvatore, M. C.; Gaeta, M.; Perinelli, C.; Mugnozza, G. Scarascia; Baroni, C.</t>
  </si>
  <si>
    <t>Numerical modelling of geothermal heat flux and ice velocity influencing the thermal conditions of the Priestley Glacier trough (northern Victoria Land, Antarctica)</t>
  </si>
  <si>
    <t>GEOMORPHOLOGY</t>
  </si>
  <si>
    <t>Valley thermal states; Geothermal flux; Ice velocity; Thermal modelling; Priestley Glacier; Antarctica</t>
  </si>
  <si>
    <t>COSMOGENIC NUCLIDES DOCUMENT; RICKER HILLS; TRANSANTARCTIC MOUNTAINS; SHEET; FLOW; EVOLUTION; TEMPERATURE; BOREHOLE; MANTLE; ORGANIZATION</t>
  </si>
  <si>
    <t>Deep geothermal contributions can affect the thermal equilibrium of glacial systems, which can induce changes in their thermal state. These changes can be influenced by glacier dynamics and by the different ice flow velocities experienced over time, which dictate the static and dynamic interactions with glacial trough bedrock. To assess such interactions and to weight the effects of ice mass thermalisations on bedrock, 2D multistage numerical modelling was performed for Priestley Glacier (an outlet glacier) in the East Antarctic glacial system (northern Victoria Land), which has experienced extreme heat flux variations related to rifting and late Cenozoic volcanism. The thermal evolution of Priestley Glacier over the last similar to 500 ka was modelled considering the mutual contributions of local and deep thermal sources through a parametric variation in the geothermal heat flux. The icemass velocity was indirectly taken into account by assuming an ice persistence time over the bedrock under timelled considering the mutual contributions of local and deep thermal sources through a parametric variation in the geothermal heat flux. The ice mass velocity was indirectly taken into account by assuming an ice persistence time over the bedrock under time-dependentmodelling conditions. Ice thickness and geothermal heat fluxes, varying from 50 to 120mW/ m2, were conditions are strongly linked in determining the thermal state of the glacier base and consequently its impact on basal erosion. According to the adopted ice stationing levels, heat flux conditions not exceeding 70 mW/m2 are needed for preserving a dry-based glacier only assuming velocity conditions equal to or lower than those observed to date along Priestley Glacier. Assuming increased velocity conditions, the glacier sensitivity to heat fluxes decreases, and high to very high heat fluxes are not sufficient to cause glacier base transitions to wet states. (C) 2021 Elsevier B.V. All rights reserved.</t>
  </si>
  <si>
    <t>[Marmoni, G. M.; Martino, S.; Gaeta, M.; Perinelli, C.; Mugnozza, G. Scarascia] Sapienza Univ, Earth Sci Dept, Ple Aldo Moro 5, I-00185 Rome, Italy; [Marmoni, G. M.; Martino, S.; Gaeta, M.; Perinelli, C.; Mugnozza, G. Scarascia] Sapienza Univ, CERI Res Ctr Geol Risk, Ple Aldo Moro 5, I-00185 Rome, Italy; [Salvatore, M. C.; Baroni, C.] Univ Pisa, Dipartimento Sci Terra, Via Santa Maria 53, I-56126 Pisa, Italy; [Salvatore, M. C.; Baroni, C.] Natl Res Council CNR, Inst Geosci &amp; Earth Resources IGG, I-56124 Pisa, Italy</t>
  </si>
  <si>
    <t>Sapienza University Rome; Sapienza University Rome; University of Pisa; Consiglio Nazionale delle Ricerche (CNR); Istituto di Geoscienze e Georisorse (IGG-CNR)</t>
  </si>
  <si>
    <t>Martino, S (corresponding author), Sapienza Univ, Earth Sci Dept, Ple Aldo Moro 5, I-00185 Rome, Italy.;Martino, S (corresponding author), Sapienza Univ, CERI Res Ctr Geol Risk, Ple Aldo Moro 5, I-00185 Rome, Italy.</t>
  </si>
  <si>
    <t>salvatore.martino@uniroma1.it</t>
  </si>
  <si>
    <t>Baroni, Carlo/D-8184-2012; Perinelli, Cristina/AAU-9733-2020; Mugnozza, Gabriele Scarascia/D-3821-2009; Marmoni, Gian Marco/HLG-2278-2023; Salvatore, Maria Cristina/AAS-4000-2020</t>
  </si>
  <si>
    <t>Baroni, Carlo/0000-0001-5905-4650; Marmoni, Gian Marco/0000-0002-0443-4389; Salvatore, Maria Cristina/0000-0002-1590-7284; SCARASCIA-MUGNOZZA, Gabriele/0000-0002-2917-0324</t>
  </si>
  <si>
    <t>Italian Na-tional Antarctic Research Programme (PNRA) [PdR 2013/B2.01]</t>
  </si>
  <si>
    <t>Italian Na-tional Antarctic Research Programme (PNRA)</t>
  </si>
  <si>
    <t>The present research is framed in the project funded by Italian Na-tional Antarctic Research Programme (PNRA) PdR 2013/B2.01 - How climate changes and crustal thermo-mechanic variations interact in driving East Antarctic glacial evolution since late Cenozoic? (P.I.: Prof. C. Baroni) . This research is part of the Gian Marco Marmoni PhD project: Multiphysical modelling for thermo-mechanical behaviour of rock masses in slope-scale gravitational dynamics (tutor: Prof. S. Martino) . The authors are also grateful to Prof. Gianni Musumeci for validation of Geological Cross Sections of Priestley Glacier Valley and Prof. C. Ro-mano and G. Salari for the support to modelling by laboratory thermal properties investigations performed on the available rock samples. We wish to thank the editor and the three anonymous reviewers for careful and valuable comments, which allowed us to improve the man-uscript.</t>
  </si>
  <si>
    <t>0169-555X</t>
  </si>
  <si>
    <t>1872-695X</t>
  </si>
  <si>
    <t>Geomorphology</t>
  </si>
  <si>
    <t>10.1016/j.geomorph.2021.107959</t>
  </si>
  <si>
    <t>WB6KB</t>
  </si>
  <si>
    <t>WOS:000703677700004</t>
  </si>
  <si>
    <t>Klinth, MJ; Rota, E; Martinsson, S; Prantoni, AL; Erseus, C</t>
  </si>
  <si>
    <t>Klinth, Marten J.; Rota, Emilia; Martinsson, Svante; Prantoni, Alessandro L.; Erseus, Christer</t>
  </si>
  <si>
    <t>New insights into the systematics of Lumbricillus and Marionina (Clitellata: Enchytraeidae) inferred from Southern Hemisphere samples, including three new species</t>
  </si>
  <si>
    <t>ZOOLOGICAL JOURNAL OF THE LINNEAN SOCIETY</t>
  </si>
  <si>
    <t>Antarctic Peninsula; Christensenidrilus; integrative taxonomy; multispecies coalescent; Snow Island; South Georgia</t>
  </si>
  <si>
    <t>ANNELIDA CLITELLATA; GRANIA ANNELIDA; CRYPTIC DIVERSITY; OLIGOCHAETA; PHYLOGENY; TERRESTRIAL; MICHAELSEN; INVERTEBRATES; REEXAMINATION; INFERENCE</t>
  </si>
  <si>
    <t>Enchytraeid worms collected in South Africa and on the Marion, South Orkney, South Georgia and South Shetland Islands during 2008-2015 were studied using morphology and seven genetic markers. Nine species were recognized: one terrestrial (Christensenidrilus blocki) and all the others marine littoral (five Lumbricillus and three Marionina s.s.). An estimated phylogeny including other enchytraeids from the Northern Hemisphere, many of which are members of Lumbricillus and some representing Marionina s.l., confirmed a non-monophyletic Lumbricillus, with some of its current species closely related to Grania or Marionina s.s. The phylogeny also corroborated a non-monophyletic Marionina s.l., with Marionina s.s. closely related to Grania and Lumbricillus s.l., but not to the remaining sequenced 'Marionina' or to Ch. blocki. These results provide a long-needed starting point for a revision of both Marionina and Lumbricillus. We provide morphological descriptions of all nine species, three of which are new to science: Lumbricillus finisafricae sp. nov., Lumbricillus nivalis sp. nov., and Marionina fusca sp. nov. Comments on three related species of Marionina s.s. based on re-examined type material are also provided.</t>
  </si>
  <si>
    <t>[Klinth, Marten J.; Martinsson, Svante; Erseus, Christer] Univ Gothenburg, Dept Biol &amp; Environm Sci, Systemat &amp; Biodivers, Box 463, SE-40530 Gothenburg, Sweden; [Rota, Emilia] Univ Siena, Dept Phys Earth &amp; Environm Sci, Via PA Mattioli 4, IT-53100 Siena, Italy; [Prantoni, Alessandro L.] Univ Fed Bahia, Inst Geosci, Dept Oceanog, BR-40170110 Salvador, BA, Brazil</t>
  </si>
  <si>
    <t>University of Gothenburg; University of Siena; Universidade Federal da Bahia</t>
  </si>
  <si>
    <t>Klinth, MJ (corresponding author), Univ Gothenburg, Dept Biol &amp; Environm Sci, Systemat &amp; Biodivers, Box 463, SE-40530 Gothenburg, Sweden.</t>
  </si>
  <si>
    <t>marten.klinth@bioenv.gu.se</t>
  </si>
  <si>
    <t>Klinth, Mårten/JCE-7204-2023</t>
  </si>
  <si>
    <t>Klinth, Mårten/0000-0003-4755-6682; Erseus, Christer/0000-0002-9251-4046; Martinsson, Svante/0000-0002-6884-343X</t>
  </si>
  <si>
    <t>Swedish Taxonomy Initiative, ArtDatabanken (SLU)</t>
  </si>
  <si>
    <t>We thank Paul Brewin, Herbert Dartnall, Alison Massey, Karla Paresque, Gavin Rishworth, Rudiger Schmelz and Roger Worland for their aid in collecting and providing us with valuable specimens. We also thank Anna Ansebo, Angelica Ardehed, Maria Lindstrom and Per Hjelmstedt for their laboratory assistance. Thanks to Rudiger Schmelz and an anonymous reviewer for critically reading this long text. Finally, thanks to Emma Sherlock (Natural History Museum, London) and Alexandra Kerbl (Centrum fur Naturkunde, Hamburg) for arranging loans of specimens. This work was made possible by grants from the Swedish Taxonomy Initiative, ArtDatabanken (SLU).</t>
  </si>
  <si>
    <t>0024-4082</t>
  </si>
  <si>
    <t>1096-3642</t>
  </si>
  <si>
    <t>ZOOL J LINN SOC-LOND</t>
  </si>
  <si>
    <t>Zool. J. Linn. Soc.</t>
  </si>
  <si>
    <t>APR 11</t>
  </si>
  <si>
    <t>10.1093/zoolinnean/zlab073</t>
  </si>
  <si>
    <t>0J8IB</t>
  </si>
  <si>
    <t>WOS:000764666800001</t>
  </si>
  <si>
    <t>Qi, MZ; Liu, Y; Liu, JP; Cheng, X; Lin, YJ; Feng, QY; Shen, Q; Yu, ZT</t>
  </si>
  <si>
    <t>Qi, Mengzhen; Liu, Yan; Liu, Jiping; Cheng, Xiao; Lin, Yijing; Feng, Qiyang; Shen, Qiang; Yu, Zhitong</t>
  </si>
  <si>
    <t>A 15-year circum-Antarctic iceberg calving dataset derived from continuous satellite observations</t>
  </si>
  <si>
    <t>ICE-SHELF; EAST ANTARCTICA; CONTINENT-WIDE; GLACIERS; SURFACE; DRIVEN; PENINSULA; THICKNESS; LAND; SEA</t>
  </si>
  <si>
    <t>Iceberg calving is the main process that facilitates the dynamic mass loss of ice sheets into the ocean, which accounts for approximately half of the mass loss of the Antarctic ice sheet. Fine-scale calving variability observations can help reveal the calving mechanisms and identify the principal processes that influence how the changing climate affects global sea level through the ice shelf buttressing effect on the Antarctic ice sheet. Iceberg calving from entire ice shelves for short time intervals or from specific ice shelves for long time intervals has been monitored before, but there is still a lack of consistent, long-term, and high-precision records on independent calving events for all of the Antarctic ice shelves. In this study, a 15-year annual iceberg calving product measuring every independent calving event larger than 1 km(2) over all of the Antarctic ice shelves that occurred from August 2005 to August 2020 was developed based on 16 years of continuous satellite observations. First, the expansion of the ice shelf frontal coastline was simulated according to ice velocity; following this, the calved areas, which are considered to be the differences between the simulated coastline, were manually delineated, and the actual coastline was derived from the corresponding satellite imagery, based on multisource optical and synthetic aperture radar (SAR) images. The product provides detailed information on each calving event, including the associated year of occurrence, area, size, average thickness, mass, recurrence interval, and measurement uncertainties. A total of 1975 annual calving events larger than 1 km(2) were detected on the Antarctic ice shelves from August 2005 to August 2020. The average annual calved area was measured as 3549.1 km(2) with an uncertainty value of 14.3 km(2), and the average calving rate was measured as 770.3 Gtyr(-1) with an uncertainty value of 29.5 Gtyr(-1). The number of calving events, calved area, and calved mass fluctuated moderately during the first decade, followed by a dramatic increase from 2015/2016 to 2019/2020. During the dataset period, large ice shelves, such as the Ronne-Filchner and Ross ice shelves, advanced with low calving frequency, whereas small- and medium-sized ice shelves retreated and calved more frequently. Iceberg calving of ice shelves is most prevalent in West Antarctica, followed by the Antarctic Peninsula and Wilkes Land in East Antarctica. The annual iceberg calving event dataset of Antarctic ice shelves provides consistent and precise calving observations with the longest time coverage. The dataset provides multidimensional variables for each independent calving event that can be used to study detailed spatial-temporal variations in Antarctic iceberg calving. The dataset can also be used to study ice sheet mass balance, calving mechanisms, and responses of iceberg calving to climate change. The dataset, entitled Annual iceberg calving dataset of the Antarctic ice shelves (2005-2020), is shared via the National Tibetan Plateau Data Center: https://doi.org/10.11888/Glacio.tpdc.271250 (Qi et al., 2021). In addition, the average annual calving rate of 18.4 +/- 6.7 Gtyr(-1) for calving events smaller than 1 km(2) of the Antarctic ice shelves and the calving rate of 166.7 +/- 15.2 Gtyr(-1) for the marine-terminating glaciers were estimated.</t>
  </si>
  <si>
    <t>[Qi, Mengzhen; Liu, Yan; Lin, Yijing; Feng, Qiyang] Beijing Normal Univ, Coll Global Change &amp; Earth Syst Sci, State Key Lab Remote Sensing Sci, Beijing 100875, Peoples R China; [Cheng, Xiao] Sun Yat Sen Univ, Sch Geospatial Engn &amp; Sci, Zhuhai 519082, Peoples R China; [Qi, Mengzhen; Liu, Yan; Cheng, Xiao] Southern Marine Sci &amp; Engn Guangdong Lab, Zhuhai 519082, Peoples R China; [Liu, Jiping] SUNY Albany, Dept Atmospher &amp; Environm Sci, Albany, NY 12222 USA; [Qi, Mengzhen; Liu, Yan; Cheng, Xiao] Univ Corp Polar Res, Beijing 100875, Peoples R China; [Shen, Qiang] Chinese Acad Sci, Innovat Acad Precis Measurement Sci &amp; Technol, State Key Lab Geodesy &amp; Earths Dynam, Wuhan 430077, Peoples R China; [Shen, Qiang] Univ Chinese Acad Sci, Beijing 100049, Peoples R China; [Yu, Zhitong] China Acad Space Technol, Qian Xuesen Lab, Beijing 100094, Peoples R China</t>
  </si>
  <si>
    <t>Beijing Normal University; Sun Yat Sen University; Southern Marine Science &amp; Engineering Guangdong Laboratory; State University of New York (SUNY) System; State University of New York (SUNY) Albany; Chinese Academy of Sciences; Innovation Academy for Precision Measurement Science &amp; Technology, CAS; Chinese Academy of Sciences; University of Chinese Academy of Sciences, CAS</t>
  </si>
  <si>
    <t>Cheng, X (corresponding author), Sun Yat Sen Univ, Sch Geospatial Engn &amp; Sci, Zhuhai 519082, Peoples R China.;Cheng, X (corresponding author), Southern Marine Sci &amp; Engn Guangdong Lab, Zhuhai 519082, Peoples R China.;Cheng, X (corresponding author), Univ Corp Polar Res, Beijing 100875, Peoples R China.</t>
  </si>
  <si>
    <t>chengxiao9@mail.sysu.edu.cn</t>
  </si>
  <si>
    <t>shen, qiang/IZE-6775-2023; lu, kai/KBB-4008-2024; Qi, Mengzhen/AAT-5417-2020</t>
  </si>
  <si>
    <t>shen, qiang/0000-0001-9401-4160; Qi, Mengzhen/0000-0003-2337-5713</t>
  </si>
  <si>
    <t>National Key Research and Development Program of China [2016YFA0600103, 2018YFA0605403]; National Natural Science Foundation of China [41925027]; Qian Xuesen Lab; Joint Research and Development Fund</t>
  </si>
  <si>
    <t>National Key Research and Development Program of China; National Natural Science Foundation of China(National Natural Science Foundation of China (NSFC)); Qian Xuesen Lab; Joint Research and Development Fund</t>
  </si>
  <si>
    <t>This research was funded by the National Key Research and Development Program of China (grant nos. 2016YFA0600103 and 2018YFA0605403), the National Natural Science Foundation of China (grant no. 41925027), and Qian Xuesen Lab. -DFH Sat. Co. Joint Research and Development Fund.</t>
  </si>
  <si>
    <t>SEP 24</t>
  </si>
  <si>
    <t>10.5194/essd-13-4583-2021</t>
  </si>
  <si>
    <t>WN2BQ</t>
  </si>
  <si>
    <t>WOS:000711579500001</t>
  </si>
  <si>
    <t>Hardesty, BD; Roman, L; Duke, NC; Mackenzie, JR; Wilcox, C</t>
  </si>
  <si>
    <t>Hardesty, Britta Denise; Roman, Lauren; Duke, Norman C.; Mackenzie, Jock R.; Wilcox, Chris</t>
  </si>
  <si>
    <t>Abandoned, lost and discarded fishing gear 'ghost nets' are increasing through time in Northern Australia</t>
  </si>
  <si>
    <t>ALDFG; Entanglement; Fishing; Ghost gear; Marine debris; Plastic pollution</t>
  </si>
  <si>
    <t>GULF; CARPENTARIA; COMMUNITIES; POLLUTION; WATERS</t>
  </si>
  <si>
    <t>The remote Gulf of Carpentaria (GoC) represents 10% of Australia's coastline. This large, shallow sea supports high-value fishing activities and habitat for threatened species, and is a sink for abandoned, lost and discarded fishing gear (ALDFG) 'ghost nets', most originating from fishing activities outside of Australia's Exclusive Economic Zone. With growing concerns about the plastic waste along the world's coastlines, we retrospectively analyzed ghost net sighting information from four aerial surveys across 15 years, to investigate whether densities of ghost nets are changing through time or in space. We found an increase in ghost nets, despite more than a decade of illegal fishing countermeasure and clean-up efforts in the broader region. This demonstrates that the input of ALDFG into the system currently overwhelms the substantial net removal activities. We make recommendations for improving monitoring and consider the underlying drivers of nets being lost to improve ghost gear management on land and at sea.</t>
  </si>
  <si>
    <t>[Hardesty, Britta Denise; Roman, Lauren; Wilcox, Chris] CSIRO Oceans &amp; Atmosphere, 3-4 Castray Esplanade, Hobart, Tas 7054, Australia; [Hardesty, Britta Denise; Wilcox, Chris] Ctr Marine Socioecol CMS, Inst Marine &amp; Antarctic Studies, 20 Castray Esplanade, Hobart, Tas, Australia; [Duke, Norman C.] James Cook Univ, Ctr Trop Water &amp; Aquat Ecosyst Res, Townsville, Qld, Australia; [Mackenzie, Jock R.] Earthwatch Inst, Carlton, Vic, Australia</t>
  </si>
  <si>
    <t>Commonwealth Scientific &amp; Industrial Research Organisation (CSIRO); University of Tasmania; James Cook University</t>
  </si>
  <si>
    <t>Hardesty, BD (corresponding author), CSIRO Oceans &amp; Atmosphere, 3-4 Castray Esplanade, Hobart, Tas 7054, Australia.</t>
  </si>
  <si>
    <t>denise.hardesty@csiro.au</t>
  </si>
  <si>
    <t>Duke, Norman C/K-5729-2013; Hardesty, Britta Denise/A-3189-2011; Roman, Lauren/K-3804-2015</t>
  </si>
  <si>
    <t>Roman, Lauren/0000-0003-3591-4905</t>
  </si>
  <si>
    <t>Department of Agriculture, Environment and Water, and Parks Australia [DNP-MPA-2021-21]; CSIRO Oceans and Atmosphere; James Cook University; World Animal Protection; GhostNets Australia (GNA) program; Global Ghost Gear Initiative (GGGI); Department of Primary Industries and Fisheries of the Northern Territory; CRC Reef Research Centre and Biodiversity and Conservation; NT Department of Infrastructure; Planning and Environment</t>
  </si>
  <si>
    <t>Department of Agriculture, Environment and Water, and Parks Australia; CSIRO Oceans and Atmosphere; James Cook University; World Animal Protection; GhostNets Australia (GNA) program; Global Ghost Gear Initiative (GGGI); Department of Primary Industries and Fisheries of the Northern Territory; CRC Reef Research Centre and Biodiversity and Conservation; NT Department of Infrastructure; Planning and Environment</t>
  </si>
  <si>
    <t>We acknowledge the traditional owners and custodians of the Gulf of Carpentaria region. We thank the Department of Agriculture, Environment and Water, and Parks Australia for funding to CSIRO for this work (ID:DNP-MPA-2021-21). We also acknowledge support from CSIRO Oceans and Atmosphere, James Cook University, World Animal Protection, the GhostNets Australia (GNA) program, the Global Ghost Gear Initiative (GGGI), Department of Primary Industries and Fisheries of the Northern Territory, CRC Reef Research Centre and Biodiversity and Conservation, NT Department of Infrastructure, Planning and Environment. We also thank Rupert Imhoff and Nicole McLachlan for sharing data from their 2020 aerial survey. All the above contributed resources, expertise, and/or time to conduct surveys and share information used herein. Helicopter surveys of mangrove dieback in 2017 and 2019 were conducted through James Cook University as part of the Australian Government's National Environmental Science Program (NESP) through a 3-year grant to NCD at James Cook University's Centre for Tropical Water and Aquatic Ecosystem Research. Finally, we thank Cassie Layton and Jackie Doyle of Parks Australia, Ben Pearson of World Animal Protection and Riki Gunn for her leadership and collaboration as part of Ghostnets Australia.</t>
  </si>
  <si>
    <t>10.1016/j.marpolbul.2021.112959</t>
  </si>
  <si>
    <t>WF2JX</t>
  </si>
  <si>
    <t>WOS:000706138300003</t>
  </si>
  <si>
    <t>Scott, GR; O'Rourke, DH; Raff, JA; Tackney, JC; Hlusko, LJ; Elias, SA; Bourgeon, L; Potapova, O; Pavlova, E; Pitulko, V; Hoffecker, JF</t>
  </si>
  <si>
    <t>Scott, G. Richard; O'Rourke, Dennis H.; Raff, Jennifer A.; Tackney, Justin C.; Hlusko, Leslea J.; Elias, Scott A.; Bourgeon, Lauriane; Potapova, Olga; Pavlova, Elena; Pitulko, Vladimir; Hoffecker, John F.</t>
  </si>
  <si>
    <t>Peopling the Americas: Not Out of Japan</t>
  </si>
  <si>
    <t>PALEOAMERICA</t>
  </si>
  <si>
    <t>Stemmed points; Incipient Jomon; dental anthropology; human genetics</t>
  </si>
  <si>
    <t>MITOCHONDRIAL-DNA ANALYSIS; LATE PLEISTOCENE HUMAN; COMPLEX SEGREGATION ANALYSIS; HUMAN SKELETAL REMAINS; POPULATION HISTORY; MORPHOLOGICAL VARIATION; BERINGIAN STANDSTILL; RADIOCARBON-DATES; JOMON SKELETONS; HUMAN DISPERSAL</t>
  </si>
  <si>
    <t>A widely accepted model for the peopling of the Americas postulates a source population in the Northeast Asian maritime region, which includes northern Japan. The model is based on similarities in stone artifacts (stemmed points) found in North American sites dating as early as 15,000 years ago and those of comparable age in Japan and neighboring regions of Northeast Asia. Here we show, on the basis of data and analyses in biological anthropology, that the people who made stemmed points in northern Japan (labeled Incipient Jomon in the archaeological literature) represent an unlikely source population for the indigenous peoples of the Western Hemisphere.</t>
  </si>
  <si>
    <t>[Scott, G. Richard] Univ Nevada, Dept Anthropol, Reno, NV 89557 USA; [O'Rourke, Dennis H.; Raff, Jennifer A.; Tackney, Justin C.; Hoffecker, John F.] Univ Kansas, Dept Anthropol, Lawrence, KS 66045 USA; [Hlusko, Leslea J.] Univ Calif Berkeley, Human Evolut Res Ctr, Berkeley, CA 94720 USA; [Hlusko, Leslea J.] Ctr Nacl Invest Evoluc Humana CENIEH, Burgos, Spain; [Elias, Scott A.; Hoffecker, John F.] Univ Colorado, Inst Arctic &amp; Alpine Res, Boulder, CO 80309 USA; [Bourgeon, Lauriane] Kansas Geol Survey, Lawrence, KS 66044 USA; [Potapova, Olga] Pleistocene Pk Fdn, Philadelphia, PA USA; [Potapova, Olga] Acad Sci Sakha Yakutia, Dept Mammoth Fauna Studies, Yakutsk, Russia; [Potapova, Olga] Mammoth Site Hot Springs SD Inc, Hot Springs, SD USA; [Pavlova, Elena] Russian Fed Serv Hydrometeorol &amp; Environm Monitor, Arctic &amp; Antarctic Res Inst, St Petersburg, Russia; [Pitulko, Vladimir] Russian Acad Sci, Inst Hist Mat Culture, St Petersburg, Russia</t>
  </si>
  <si>
    <t>Nevada System of Higher Education (NSHE); University of Nevada Reno; University of Kansas; University of California System; University of California Berkeley; Centro Nacional de Investigacion de La Evolucion Humana (CENIEH); University of Colorado System; University of Colorado Boulder; Arctic &amp; Antarctic Research Institute; Russian Academy of Sciences; Institute for the History of Material Culture, Russian Academy of Sciences; St. Petersburg Scientific Centre of the Russian Academy of Sciences</t>
  </si>
  <si>
    <t>Hoffecker, JF (corresponding author), Univ Kansas, Dept Anthropol, Lawrence, KS 66045 USA.;Hoffecker, JF (corresponding author), Univ Colorado, Inst Arctic &amp; Alpine Res, Boulder, CO 80309 USA.</t>
  </si>
  <si>
    <t>john.hoffecker@colorado.edu</t>
  </si>
  <si>
    <t>Pitulko, Vladimir/N-4009-2019; Elias, Scott/ISB-2829-2023; Potapova, Olga/HNC-4473-2023; Pavlova, Elena/AAA-3291-2019; Hlusko, Leslea/IQW-5635-2023</t>
  </si>
  <si>
    <t>Potapova, Olga/0000-0002-3589-2489; Hlusko, Leslea/0000-0003-0189-6390; Raff, Jennifer/0000-0003-0581-7784; Scott, George/0000-0003-2328-8003; Bourgeon, Lauriane/0000-0001-7695-8061</t>
  </si>
  <si>
    <t>National Institute of Justice [2017-DN-BX-0143]; Russian Science Foundation [16-18-10265, 21-18-00457]; Russian Science Foundation [21-18-00457, 16-18-10265] Funding Source: Russian Science Foundation</t>
  </si>
  <si>
    <t>National Institute of Justice(US National Institute of Justice); Russian Science Foundation(Russian Science Foundation (RSF)); Russian Science Foundation(Russian Science Foundation (RSF))</t>
  </si>
  <si>
    <t>The application rASUDAS2 was developed with funding from the National Institute of Justice [Award 2017-DN-BX-0143]. Pitulko and Pavlova are grateful to the Russian Science Foundation for support of their work [projects 16-18-10265 and 21-18-00457].</t>
  </si>
  <si>
    <t>ROUTLEDGE JOURNALS, TAYLOR &amp; FRANCIS LTD</t>
  </si>
  <si>
    <t>2-4 PARK SQUARE, MILTON PARK, ABINGDON OX14 4RN, OXON, ENGLAND</t>
  </si>
  <si>
    <t>2055-5563</t>
  </si>
  <si>
    <t>2055-5571</t>
  </si>
  <si>
    <t>PaleoAmerica</t>
  </si>
  <si>
    <t>10.1080/20555563.2021.1940440</t>
  </si>
  <si>
    <t>Anthropology; Archaeology</t>
  </si>
  <si>
    <t>WK2UG</t>
  </si>
  <si>
    <t>WOS:000707059300001</t>
  </si>
  <si>
    <t>Lockhart, SJ; Hocevar, J</t>
  </si>
  <si>
    <t>Lockhart, Susanne J.; Hocevar, John</t>
  </si>
  <si>
    <t>Combined Abundance of All Vulnerable Marine Ecosystem Indicator Taxa Inadequate as Sole Determiner of Vulnerability, Antarctic Peninsula</t>
  </si>
  <si>
    <t>VME; Vulnerable Marine Ecosystems; cold-water corals; density; abundance thresholds; Antarctica; CCAMLR; submarine; indicator taxa</t>
  </si>
  <si>
    <t>COMMUNITIES; PATTERNS; GROWTH; ICE</t>
  </si>
  <si>
    <t>In order to achieve conservation objectives and preserve the biodiversity of the Southern Ocean, a variety of ecosystems must be protected. This holds especially true for the benthic communities of this region that are characteristically mosaic in their spatial distributions. As such, disparate communities cannot be comprehensively assessed by a single blanket methodology. Herein, evidence appropriate to the diverse characteristics of the communities encountered during a submarine expedition demonstrates the particular vulnerability of four sites that exemplify VMEs as defined by the Commission for the Conservation of Antarctic Marine Living Resources (CCAMLR) and the UN's Fisheries and Agriculture Organization (FAO). Three sites are identified as VMEs based on highly significant abundances of indicator taxa. A fourth is identified based on a high density of cold-water coral taxa, many of which were not observed in abundance at the sites that were triggered as vulnerable by a significantly high abundance of all indicator taxa. The VME at this latter site was richly diverse in coral taxa, many of which are considered particularly vulnerable to climate change, as well as critical for their potential for genuine blue carbon sequestration. As of November, 2018, all four sites are now registered with CCAMLR as VMEs and thus, are afforded protection from all bottom fishing activities. However, if consideration isn't given to the composition and/or diversity of VME indicator taxa present, in addition to overall abundance/density, some of the most vulnerable communities are left at risk. A blanket threshold for all VME taxa adhered to in fisheries management of the Southern Ocean, and other high seas areas, is grossly insufficient. Without taking a more precautionary approach to identifying and protecting VMEs, CCAMLR will not be able to meet its conservation objectives and may even be putting Antarctic fisheries at risk.</t>
  </si>
  <si>
    <t>[Lockhart, Susanne J.] Calif Acad Sci, San Francisco, CA 94118 USA; [Hocevar, John] Greenpeace USA, Washington, DC USA</t>
  </si>
  <si>
    <t>California Academy of Sciences</t>
  </si>
  <si>
    <t>Lockhart, SJ (corresponding author), Calif Acad Sci, San Francisco, CA 94118 USA.</t>
  </si>
  <si>
    <t>SouthernBenthics@outlook.com</t>
  </si>
  <si>
    <t>Pew Charitable Trusts [32480]; Jamma International; Greenpeace</t>
  </si>
  <si>
    <t>Pew Charitable Trusts; Jamma International; Greenpeace</t>
  </si>
  <si>
    <t>The expedition and research were funded by Greenpeace with support from Jamma International. SL was supported by the Pew Charitable Trusts grant #32480 for the preparation of this manuscript.</t>
  </si>
  <si>
    <t>10.3389/fmars.2021.577761</t>
  </si>
  <si>
    <t>WC9PD</t>
  </si>
  <si>
    <t>WOS:000704581300001</t>
  </si>
  <si>
    <t>Saiz, H; Renault, D; Puijalon, S; Barrio, M; Bertrand, M; Tolosano, M; Pierre, A; Ferreira, C; Prouteau, C; Bittebiere, AK</t>
  </si>
  <si>
    <t>Saiz, Hugo; Renault, David; Puijalon, Sara; Barrio, Miguel; Bertrand, Mathilde; Tolosano, Matteo; Pierre, Aurelien; Ferreira, Charly; Prouteau, Clementine; Bittebiere, Anne-Kristel</t>
  </si>
  <si>
    <t>Huff and puff and blow down: invasive plants traits response to strong winds at the Southern Oceanic Islands</t>
  </si>
  <si>
    <t>OIKOS</t>
  </si>
  <si>
    <t>environmental filter; functional traits; hypervolume; Iles Kerguelen; intraspecific variability; mechanical stress</t>
  </si>
  <si>
    <t>PHENOTYPIC PLASTICITY; FUNCTIONAL TRAITS; INTRASPECIFIC VARIABILITY; MECHANICAL PERTURBATION; ENVIRONMENTAL FILTERS; BIOMASS ALLOCATION; KERGUELEN ISLANDS; COMMUNITIES; COEXISTENCE; EVOLUTION</t>
  </si>
  <si>
    <t>Invasions constitute a major driver of biodiversity changes. Insular plant communities are particularly vulnerable to invasions and are relevant models for investigating mechanisms supporting the establishment and spread of introduced plants. Terrestrial flora of sub-Antarctic islands must often thrive in highly windy habitats, thus imposing strong mechanical constraints on individuals. Many alien plants at the sub-Antarctic islands are of tropical or temperate origins, where they were exposed to less stringent wind conditions. As wind likely represents a strong environmental filter for the successful establishment and further geographic spread of plants, they should have developed responses to resist and successfully colonize the Iles Kerguelen. We studied responses to wind of three herbaceous species that are invasive at Iles Kerguelen. We sampled plant individuals at different locations, under windy and sheltered conditions. Traits related to wind avoidance and tolerance and to resource acquisition were measured. We additionally assessed individual performance (biomass) to determine the consequences of trait variations. We focused on trait mean and variance, in particular, through the calculation of hypervolumes. This study emphasized that wind has important effects on plant economics spectrum, including traits involved in mechanical avoidance and light acquisition, with varying strategies, which seem to depend on the biological type of the species (grass versus non-grass). Wind generally reduces individual performance, and this negative effect is not direct but operates through the modification of plant trait values. Furthermore, analyses performed at the hypervolume scale indicate that not only functional trait mean but also its variability account for plant performance. The existence of contrasting growth strategies to cope with local environmental conditions suggests that invaders will be able to occupy different niches, which may ultimately impact local communities. Our results highlight the importance of considering multi-traits responses to meaningfully capture plant adjustments to stress.</t>
  </si>
  <si>
    <t>[Saiz, Hugo] Univ Bern, Inst Plant Sci, Bern, Switzerland; [Renault, David; Barrio, Miguel; Bertrand, Mathilde; Tolosano, Matteo; Pierre, Aurelien] Univ Rennes, EcoBio Ecosyst Biodiversite Evolut UMR 6553, CNRS, Rennes, France; [Renault, David] Inst Univ France, Paris 05, France; [Puijalon, Sara; Ferreira, Charly; Prouteau, Clementine; Bittebiere, Anne-Kristel] Univ Claude Bernard Lyon 1, Univ Lyon, ENTPE, CNRS,UMR LEHNA 5023, Villeurbanne, France</t>
  </si>
  <si>
    <t>University of Bern; Universite de Rennes; Centre National de la Recherche Scientifique (CNRS); Institut Universitaire de France; Centre National de la Recherche Scientifique (CNRS); Universite Claude Bernard Lyon 1</t>
  </si>
  <si>
    <t>Bittebiere, AK (corresponding author), Univ Claude Bernard Lyon 1, Univ Lyon, ENTPE, CNRS,UMR LEHNA 5023, Villeurbanne, France.</t>
  </si>
  <si>
    <t>anne-kristel.bittebiere@univ-lyon1.fr</t>
  </si>
  <si>
    <t>Bittebiere, Anne-Kristel/HOH-9209-2023; Saiz, Hugo/K-8724-2014</t>
  </si>
  <si>
    <t>Matteo, Tolosano/0000-0002-0755-5303; Saiz, Hugo/0000-0002-7568-2996</t>
  </si>
  <si>
    <t>Institut Polaire Francais Paul-Emile Victor [IPEV 136]; long-term research network on biodiversity in Antarctic and sub-Antarctic ecosystems (Zone Atelier InEE-CNRS Antarctique et Terres Australes); 2019-2020 BiodivERsA joint call for research proposals, under the BiodivClim ERA-Net COFUND programme; ANR [ANR-20-EBI5-0004]; Agence Nationale de la Recherche (ANR) [ANR-20-EBI5-0004] Funding Source: Agence Nationale de la Recherche (ANR)</t>
  </si>
  <si>
    <t>Institut Polaire Francais Paul-Emile Victor; long-term research network on biodiversity in Antarctic and sub-Antarctic ecosystems (Zone Atelier InEE-CNRS Antarctique et Terres Australes); 2019-2020 BiodivERsA joint call for research proposals, under the BiodivClim ERA-Net COFUND programme; ANR(Agence Nationale de la Recherche (ANR)); Agence Nationale de la Recherche (ANR)(Agence Nationale de la Recherche (ANR))</t>
  </si>
  <si>
    <t>/ This research was supported by the Institut Polaire Francais Paul-Emile Victor (project IPEV 136 `SUBANTECO') and the long-term research network on biodiversity in Antarctic and sub-Antarctic ecosystems (Zone Atelier InEE-CNRS Antarctique et Terres Australes). This research was funded through the 2019-2020 BiodivERsA joint call for research proposals, under the BiodivClim ERA-Net COFUND programme, and with the funding organisations ANR (ANR-20-EBI5-0004, 'ASICS').</t>
  </si>
  <si>
    <t>0030-1299</t>
  </si>
  <si>
    <t>1600-0706</t>
  </si>
  <si>
    <t>Oikos</t>
  </si>
  <si>
    <t>10.1111/oik.08249</t>
  </si>
  <si>
    <t>WQ1CU</t>
  </si>
  <si>
    <t>WOS:000698666500001</t>
  </si>
  <si>
    <t>Beal, M; Oppel, S; Handley, J; Pearmain, EJ; Morera-Pujol, V; Carneiro, APB; Davies, TE; Phillips, RA; Taylor, PR; Miller, MGR; Franco, AMA; Catry, I; Patrício, AR; Regalla, A; Staniland, I; Boyd, C; Catry, P; Dias, MP</t>
  </si>
  <si>
    <t>Beal, Martin; Oppel, Steffen; Handley, Jonathan; Pearmain, Elizabeth J.; Morera-Pujol, Virginia; Carneiro, Ana P. B.; Davies, Tammy E.; Phillips, Richard A.; Taylor, Philip R.; Miller, Mark G. R.; Franco, Aldina M. A.; Catry, Ines; Patricio, Ana R.; Regalla, Aissa; Staniland, Iain; Boyd, Charlotte; Catry, Paulo; Dias, Maria P.</t>
  </si>
  <si>
    <t>track2KBA: An R package for identifying important sites for biodiversity from tracking data</t>
  </si>
  <si>
    <t>METHODS IN ECOLOGY AND EVOLUTION</t>
  </si>
  <si>
    <t>animal movement; biologging; Important Bird and Biodiversity Areas; key biodiversity areas; protected areas; site-based conservation; utilization distribution</t>
  </si>
  <si>
    <t>Identifying important sites for biodiversity is vital for conservation and management. However, there is a lack of accessible, easily applied tools that enable practitioners to delineate important sites for highly mobile species using established criteria. We introduce the R package 'track2KBA', a tool to identify important sites at the population level using tracking data from individual animals based on three key steps: (a) identifying individual core areas, (b) assessing population-level representativeness of the sample and (c) quantifying spatial overlap among individuals and scaling up to the population. We describe package functionality and exemplify its application using tracking data from three taxa in contrasting environments: a seal, a marine turtle and a migratory land bird. This tool facilitates the delineation of sites of ecological relevance for diverse taxa and provides output useful for assessing their importance to a population or species, as in the Key Biodiversity Area (KBA) Standard. As such, 'track2KBA' can contribute directly to conservation planning at global and regional levels.</t>
  </si>
  <si>
    <t>[Beal, Martin; Patricio, Ana R.; Catry, Paulo; Dias, Maria P.] IISPA Inst Univ, MARE Marine &amp; Environm Sci Ctr, Lisbon, Portugal; [Beal, Martin; Handley, Jonathan; Pearmain, Elizabeth J.; Carneiro, Ana P. B.; Davies, Tammy E.] BirdLife Int, Cambridge, England; [Oppel, Steffen; Dias, Maria P.] Royal Soc Protect Birds, RSPB Ctr Conservat Sci, Cambridge, England; [Morera-Pujol, Virginia] Univ Barcelona, Inst Recerca Biodiversitat IRBio, Dept Biol Evolut Ecol &amp; Ciencies Ambientals BEECA, Barcelona, Spain; [Phillips, Richard A.; Staniland, Iain] British Antarctic Survey, Nat Environm Res Council, Cambridge, England; [Taylor, Philip R.] Open Seas Trust, Pitlochry, Scotland; [Miller, Mark G. R.] Univ Leeds, Fac Biol Sci, Sch Biol, Leeds, W Yorkshire, England; [Franco, Aldina M. A.] Univ East Anglia, Sch Environm Sci, Norwich, Norfolk, England; [Catry, Ines] Univ Porto, Ctr Invest Biodiversidade &amp; Recursos Genet, CIBIO InBIO, Lab Associado, Vairao, Portugal; [Catry, Ines] Univ Lisbon, Inst Super Agron, Lab Associado, CIBIO InBIO,Ctr Invest Biodiversidade &amp; Recursos, Lisbon, Portugal; [Patricio, Ana R.] Univ Exeter, Ctr Ecol &amp; Conservat, Penryn, England; [Regalla, Aissa] Inst Biodiversidade &amp; Areas Protegidas, Bissau, Guinea Bissau; [Boyd, Charlotte] Int Union Conservat Nat IUCN, Washington, DC USA</t>
  </si>
  <si>
    <t>BirdLife International; Royal Society for Protection of Birds; University of Barcelona; UK Research &amp; Innovation (UKRI); Natural Environment Research Council (NERC); NERC British Antarctic Survey; University of Leeds; University of East Anglia; Universidade do Porto; Universidade de Lisboa; University of Exeter</t>
  </si>
  <si>
    <t>Beal, M (corresponding author), IISPA Inst Univ, MARE Marine &amp; Environm Sci Ctr, Lisbon, Portugal.;Beal, M (corresponding author), BirdLife Int, Cambridge, England.</t>
  </si>
  <si>
    <t>martinbeal88@gmail.com</t>
  </si>
  <si>
    <t>Dias, Maria P./D-1331-2012; Morera-Pujol, Virginia/AAE-6412-2020; Beal, Martin/GRE-9504-2022; Catry, Ines/A-8073-2012; Oppel, Steffen/H-2771-2019; Carneiro, Ana Paula/IQT-6077-2023; Patricio, Rita/AAE-2655-2021; Catry, Paulo/I-5408-2013; Franco, Aldina/G-2144-2010</t>
  </si>
  <si>
    <t>Dias, Maria P./0000-0002-7281-4391; Morera-Pujol, Virginia/0000-0001-6500-5548; Beal, Martin/0000-0003-1654-1410; Catry, Ines/0000-0002-5593-5001; Oppel, Steffen/0000-0002-8220-3789; Patricio, Rita/0000-0003-4963-2343; Handley, Jonathan/0000-0001-6468-338X; Catry, Paulo/0000-0003-3000-0522; Pearmain, Elizabeth/0000-0002-6600-1482; Franco, Aldina/0000-0001-6055-7378; Miller, Mark/0000-0003-3690-5576; , Ana/0000-0003-0573-7549; Davies, Tammy/0000-0003-2535-1328</t>
  </si>
  <si>
    <t>European Commission [766417]; Fundacao para a Ciencia e a Tecnologia [DL57/2016/CP1440/CT0023, POCI-01-0145-FEDER-028176, UIDB/04292/2020, UIDP/04292/2020]; Natural Environment Research Council [NE/K006312/1]; British Trust for Ornithology; British Ornithological Union; FEDER Funds; MAVA Foundation; NERC [NE/K006312/1, bas0100035] Funding Source: UKRI</t>
  </si>
  <si>
    <t>European Commission(European Union (EU)European Commission Joint Research Centre); Fundacao para a Ciencia e a Tecnologia(Fundacao para a Ciencia e a Tecnologia (FCT)); Natural Environment Research Council(UK Research &amp; Innovation (UKRI)Natural Environment Research Council (NERC)); British Trust for Ornithology; British Ornithological Union; FEDER Funds(European Union (EU)); MAVA Foundation; NERC(UK Research &amp; Innovation (UKRI)Natural Environment Research Council (NERC))</t>
  </si>
  <si>
    <t>European Commission, Grant/Award Number: 766417; Fundacao para a Ciencia e a Tecnologia, Grant/Award Number: DL57/2016/CP1440/CT0023, POCI--01-0145--FEDER--028176, UIDB/04292/2020 and UIDP/04292/2020; Natural Environment Research Council, Grant/Award Number: NE/K006312/1; British Trust for Ornithology; British Ornithological Union; FEDER Funds; MAVA Foundation</t>
  </si>
  <si>
    <t>2041-210X</t>
  </si>
  <si>
    <t>2041-2096</t>
  </si>
  <si>
    <t>METHODS ECOL EVOL</t>
  </si>
  <si>
    <t>Methods Ecol. Evol.</t>
  </si>
  <si>
    <t>10.1111/2041-210X.13713</t>
  </si>
  <si>
    <t>XG3QM</t>
  </si>
  <si>
    <t>WOS:000698580700001</t>
  </si>
  <si>
    <t>Brooks, CM; Bloom, E; Kavanagh, A; Nocito, ES; Watters, GM; Weller, J</t>
  </si>
  <si>
    <t>Brooks, Cassandra M.; Bloom, Evan; Kavanagh, Andrea; Nocito, Emily S.; Watters, George M.; Weller, John</t>
  </si>
  <si>
    <t>The Ross Sea, Antarctica: A highly protected MPA in international waters</t>
  </si>
  <si>
    <t>Marine protected area; Southern Ocean; Antarctic; Ross Sea; High seas</t>
  </si>
  <si>
    <t>TOOTHFISH DISSOSTICHUS-MAWSONI; BIODIVERSITY; CHALLENGES; AREA</t>
  </si>
  <si>
    <t>As the first large-scale (&gt;150,000 km(2)) marine protected area (MPA) on the high seas, the Ross Sea region MPA sets a precedent for other MPAs in areas beyond national jurisdiction. In the myriad of MPA guides and rankings (including the new MPA Guide), categorization and evaluation of the Ross Sea region MPA also sets precedent for categorizing and evaluating future protected areas on the high seas. Here, we provide clarity on the governance of the Ross Sea region MPA, and evaluate the status of its General Protection Zone (comprising similar to 80% of the MPA) with respect to level of protection. We outline the extensive restrictions and science-based management in place within the Ross Sea region MPA General Protection Zone and support its status as highly protected. We further conclude that if an MPA as regulated as the Ross Sea region MPA, especially its General Protection Zone, cannot meet the threshold of a highly protected MPA, it may prove difficult for other high seas MPA to be categorized as such.</t>
  </si>
  <si>
    <t>[Brooks, Cassandra M.; Nocito, Emily S.] Univ Colorado, Environm Studies Program, Boulder, CO 80309 USA; [Bloom, Evan] Woodrow Wilson Int Ctr Scholars, Polar Inst, Washington, DC 20560 USA; [Kavanagh, Andrea] Pew Charitable Trusts, Washington, DC USA; [Watters, George M.] Natl Marine Fisheries Serv, Antarctic Ecosyst Res Div, Fisheries Sci Ctr, NOAA, La Jolla, CA 92038 USA; [Weller, John] Sea Legacy, Boulder, CO USA</t>
  </si>
  <si>
    <t>University of Colorado System; University of Colorado Boulder; National Oceanic Atmospheric Admin (NOAA) - USA</t>
  </si>
  <si>
    <t>Brooks, CM (corresponding author), Univ Colorado, Environm Studies Program, Boulder, CO 80309 USA.</t>
  </si>
  <si>
    <t>cassandra.brooks@colorado.edu</t>
  </si>
  <si>
    <t>Watters, George/HPE-2184-2023</t>
  </si>
  <si>
    <t>Watters, George/0000-0002-6989-1273; Nocito, Emily/0000-0003-3123-6326</t>
  </si>
  <si>
    <t>10.1016/j.marpol.2021.104795</t>
  </si>
  <si>
    <t>WH9VM</t>
  </si>
  <si>
    <t>WOS:000708017400011</t>
  </si>
  <si>
    <t>Casas, G; Martinez-Varela, A; Vila-Costa, M; Jiménez, B; Dachs, J</t>
  </si>
  <si>
    <t>Casas, Gemma; Martinez-Varela, Alicia; Vila-Costa, Maria; Jimenez, Begona; Dachs, Jordi</t>
  </si>
  <si>
    <t>Rain Amplification of Persistent Organic Pollutants</t>
  </si>
  <si>
    <t>ENVIRONMENTAL SCIENCE &amp; TECHNOLOGY</t>
  </si>
  <si>
    <t>wet deposition; snow; scavenging; amplification; Antarctica; PFASs; OPEs; PAHs; PCBs; PBDEs</t>
  </si>
  <si>
    <t>POLYCYCLIC AROMATIC-HYDROCARBONS; POLYBROMINATED DIPHENYL ETHERS; POLYCHLORINATED BIPHENYL CONGENERS; ATMOSPHERIC DEPOSITION; WET DEPOSITION; DRY DEPOSITION; ORGANOCHLORINE PESTICIDES; PERFLUORINATED ACIDS; FLAME RETARDANTS; CONTAMINANT AMPLIFICATION</t>
  </si>
  <si>
    <t>Scavenging of gas- and aerosol-phase organic pollutants by rain is an efficient wet deposition mechanism of organic pollutants. However, whereas snow has been identified as a key amplification mechanism of fugacities in cold environments, rain has received less attention in terms of amplification of organic pollutants. In this work, we provide new measurements of concentrations of perfluoroalkyl substances (PFAS), organophosphate esters (OPEs), and polycyclic aromatic hydrocarbons (PAHs) in rain from Antarctica, showing high scavenging ratios. Furthermore, a meta-analysis of previously published concentrations in air and rain was performed, with 46 works covering different climatic regions and a wide range of chemical classes, including PFAS, OPEs, PAHs, polychlorinated biphenyls and organochlorine compounds, polybromodiphenyl ethers, and dioxins. The rain-aerosol (KRP) and rain-gas (KRG) partition constants averaged 105.5 and 104.1, respectively, but showed large variability. The high field-derived values of KRG are consistent with adsorption onto the raindrops as a scavenging mechanism, in addition to gas-water absorption. The amplification of fugacities by rain deposition was up to 3 orders of magnitude for all chemical classes and was comparable to that due to snow. The amplification of concentrations and fugacities by rain underscores its relevance, explaining the occurrence of organic pollutants in environments across different climatic regions.</t>
  </si>
  <si>
    <t>[Casas, Gemma; Martinez-Varela, Alicia; Vila-Costa, Maria; Dachs, Jordi] Spanish Natl Res Council, Inst Environm Assessment &amp; Water Res, IDAEA, CSIC, Barcelona 08034, Spain; [Casas, Gemma; Jimenez, Begona] Spanish Natl Res Council, Inst Organ Chem, Dept Instrumental Anal &amp; Environm Chem, IQOG,CSIC, Madrid 28006, Spain</t>
  </si>
  <si>
    <t>Consejo Superior de Investigaciones Cientificas (CSIC); CSIC - Centro de Investigacion y Desarrollo Pascual Vila (CID-CSIC); CSIC - Instituto de Diagnostico Ambiental y Estudios del Agua (IDAEA); Consejo Superior de Investigaciones Cientificas (CSIC); CSIC - Instituto de Quimica Organica General (IQOG)</t>
  </si>
  <si>
    <t>Dachs, J (corresponding author), Spanish Natl Res Council, Inst Environm Assessment &amp; Water Res, IDAEA, CSIC, Barcelona 08034, Spain.</t>
  </si>
  <si>
    <t>jordi.dachs@idaea.csic.es</t>
  </si>
  <si>
    <t>Casas, Gemma/JYP-3405-2024; Vila-Costa, Maria/L-4833-2014</t>
  </si>
  <si>
    <t>Gemma, Casas/0000-0002-4197-2151; Jimenez, Begona/0000-0002-2401-4648; Dachs, Jordi/0000-0002-4237-169X; Vila-Costa, Maria/0000-0003-1730-8418</t>
  </si>
  <si>
    <t>Spanish Ministry of science [CTM2015-70535-P, PGC2018-096612-B-l00]; Catalan Government [2017SGR800]; TERNUA</t>
  </si>
  <si>
    <t>Spanish Ministry of science(Spanish Government); Catalan Government; TERNUA</t>
  </si>
  <si>
    <t>We thank the staff of the Marine Technology Unit (UTM-CSIC) for their logistical support during the sampling campaign at Livingston Island, M. Pizarro for technical assistance, and The State Meteorological Agency (AEMET) for the meteorological assistance. This work was supported by Spanish Ministry of science to G.C. and A.M.-V. through predoctoral fellowships and projects SENTINEL (CTM2015-70535-P) and ANTOM (PGC2018-096612-B-l00). This research is part of POLARCSIC activities. The research group of Global Change and Genomic Biogeochemistry receives support from the Catalan Government (2017SGR800). Special thanks to TERNUA for sponsoring technical eco-friendly clothing and gear equipment for Antarctic campaigns.</t>
  </si>
  <si>
    <t>0013-936X</t>
  </si>
  <si>
    <t>1520-5851</t>
  </si>
  <si>
    <t>ENVIRON SCI TECHNOL</t>
  </si>
  <si>
    <t>Environ. Sci. Technol.</t>
  </si>
  <si>
    <t>10.1021/acs.est.1c03295</t>
  </si>
  <si>
    <t>WF0HC</t>
  </si>
  <si>
    <t>WOS:000705995700025</t>
  </si>
  <si>
    <t>Danis, B; Christiansen, H; Guillaumot, C; Heindler, FM; Jossart, Q; Moreau, C; Pasotti, F; Robert, H; Wallis, B; Saucède, T</t>
  </si>
  <si>
    <t>Danis, Bruno; Christiansen, Henrik; Guillaumot, Charlene; Heindler, Franz Maximilian; Jossart, Quentin; Moreau, Camille; Pasotti, Francesca; Robert, Henri; Wallis, Ben; Saucede, Thomas</t>
  </si>
  <si>
    <t>The Belgica 121 expedition to the Western Antarctic Peninsula: a detailed biodiversity census</t>
  </si>
  <si>
    <t>BIODIVERSITY DATA JOURNAL</t>
  </si>
  <si>
    <t>Southern Ocean; Belgica; low environmental impact; shallow waters; climate change; benthos</t>
  </si>
  <si>
    <t>CLIMATE-CHANGE; MARINE ECOSYSTEM</t>
  </si>
  <si>
    <t>This dataset relates to the biodiversity census carried out during the Belgica 121 (B121) expedition to the Western Antarctic Peninsula from February to March 2019. One of the aims of the campaign was to explore the surroundings of the Gerlache Strait and to carry out a detailed biodiversity census focusing on inter-and subtidal shallow-water areas using both classic descriptive marine ecology methods, as well as state-of-the art techniques (habitat mapping, genetics, trophic ecology). The biodiversity census was carried out onboard a nimble research vessel, RV Australis. This dataset will offer access to the raw data on biodiversity occurrences, obtained using a range of methods described in this data paper.</t>
  </si>
  <si>
    <t>[Danis, Bruno; Guillaumot, Charlene; Jossart, Quentin; Moreau, Camille; Pasotti, Francesca] Univ Libre Bruxelles, Brussels, Belgium; [Christiansen, Henrik] KULeuven, Leuven, Belgium; [Jossart, Quentin] Vrije Univ Brussel, Brussels, Belgium; [Pasotti, Francesca] UGent, Ghent, Belgium; [Robert, Henri] EMC2, Brussels, Belgium; [Wallis, Ben] Ocean Expedit, Sydney, NSW, Australia; [Saucede, Thomas] Univ Bourgogne Franche Comte, Biogeosci, UMR 6282, Dijon, France</t>
  </si>
  <si>
    <t>Universite Libre de Bruxelles; KU Leuven; Vrije Universiteit Brussel; Ghent University; Universite de Bourgogne</t>
  </si>
  <si>
    <t>Danis, B (corresponding author), Univ Libre Bruxelles, Brussels, Belgium.</t>
  </si>
  <si>
    <t>bdanis@ulb.ac.be</t>
  </si>
  <si>
    <t>Christiansen, Henrik/GXG-6057-2022; Heindler, Franz Maximilian/C-2365-2018</t>
  </si>
  <si>
    <t>Christiansen, Henrik/0000-0001-7114-5854; Danis, Bruno/0000-0002-9037-7623; Jossart, Quentin/0000-0002-2280-243X; Pasotti, Francesca/0000-0002-8971-8195; Moreau, Camille/0000-0002-0981-7442</t>
  </si>
  <si>
    <t>BELSPO; RECTO; vERSO; Belgian Federal Public Service Health, Food Chain Safety and Environment; Fund for Scientific Research (FNRS); Research Foundation Flanders (FWO); Fonds Leopold III; Royal Belgian Zoological Society; Cabinet Marcourt (Federation Wallonia-Brussels -Research, Education)</t>
  </si>
  <si>
    <t>BELSPO(Belgian Federal Science Policy Office); RECTO; vERSO; Belgian Federal Public Service Health, Food Chain Safety and Environment; Fund for Scientific Research (FNRS)(Fonds de la Recherche Scientifique - FNRS); Research Foundation Flanders (FWO)(FWO); Fonds Leopold III; Royal Belgian Zoological Society; Cabinet Marcourt (Federation Wallonia-Brussels -Research, Education)</t>
  </si>
  <si>
    <t>The Belgian Science Policy Office (BELSPO): the bulk of the funding of the expedition was channelled through two research projects funded by BELSPO, RECTO (promoter: Isa Schon, Royal Belgian Institute of Natural Sciences) and vERSO (promoter: Bruno Danis, Universite Libre de Bruxelles).; The Cabinet Marcourt (Federation Wallonia-Brussels -Research, Education) supported the expedition for functioning and various equipment.; The Belgian Federal Public Service Health, Food Chain Safety and Environment funded the ship time necessary to the visit of historic monument N degrees 45 dedicated to the Belgica expedition led by Adrien de Gerlache.; The Fund for Scientific Research (FNRS), and the Research Foundation Flanders (FWO) have funded travel expenses for some B121 team members.; The B121 team also acknowledge financial support from the Fonds Leopold III and the Royal Belgian Zoological Society.</t>
  </si>
  <si>
    <t>1314-2836</t>
  </si>
  <si>
    <t>1314-2828</t>
  </si>
  <si>
    <t>BIODIVERS DATA J</t>
  </si>
  <si>
    <t>Biodiver. Data J.</t>
  </si>
  <si>
    <t>SEP 23</t>
  </si>
  <si>
    <t>e70590</t>
  </si>
  <si>
    <t>10.3897/BDJ.9.e70590</t>
  </si>
  <si>
    <t>WD6ZT</t>
  </si>
  <si>
    <t>WOS:000705088000005</t>
  </si>
  <si>
    <t>Kregting, L; Britton, D; Mundy, CN; Hurd, CL</t>
  </si>
  <si>
    <t>Kregting, Louise; Britton, Damon; Mundy, Craig N.; Hurd, Catriona L.</t>
  </si>
  <si>
    <t>Safe in My Garden: Reduction of Mainstream Flow and Turbulence by Macroalgal Assemblages and Implications for Refugia of Calcifying Organisms From Ocean Acidification</t>
  </si>
  <si>
    <t>functional forms; canopies; seaweeds; currents; waves; hydrodynamics</t>
  </si>
  <si>
    <t>WATER MOTION; BOUNDARY-LAYER; COASTAL CALCIFIERS; PH FLUCTUATIONS; NITRATE-UPTAKE; CANOPY; GROWTH; HABITATS; ALGAE</t>
  </si>
  <si>
    <t>Macroalgae, with their various morphologies, are ubiquitous throughout the world's oceans and provide ecosystem services to a multitude of organisms. Water motion is a fundamental physical parameter controlling the mass transfer of dissolved carbon and nutrients to and from the macroalgal surface, but measurements of flow speed and turbulence within and above macroalgal canopies are lacking. This information is becoming increasingly important as macroalgal canopies may act as refugia for calcifying organisms from ocean acidification (OA); and the extent to which they act as refugia is driven by water motion. Here we report on a field campaign to assess the flow speed and turbulence within and above natural macroalgal canopies at two depths (3 and 6 m) and two sites (Ninepin Point and Tinderbox) in Tasmania, Australia in relation to the canopy height and % cover of functional forms. Filamentous groups made up the greatest proportion (75%) at both sites and depth while foliose groups were more prevalent at 3 than at 6 m. Irrespective of background flows, depth or site, flow speeds within the canopies were &lt;0.03 m s(-1) - a similar to 90% reduction in flow speeds compared to above the canopy. Turbulent kinetic energy (TKE) within the canopies was up to two orders of magnitude lower (&lt;0.008 m(2) s(-2)) than above the canopies, with higher levels of TKE within the canopy at 3 compared to 6 m. The significant damping effect of flow and turbulence by macroalgae highlights the potential of these ecosystems to provide a refugia for vulnerable calcifying species to OA.</t>
  </si>
  <si>
    <t>[Kregting, Louise] Queens Univ Belfast, Sch Nat &amp; Built Environm, Belfast, Antrim, North Ireland; [Britton, Damon; Mundy, Craig N.; Hurd, Catriona L.] Univ Tasmania, Inst Marine &amp; Antarctic Studies, Hobart, Tas, Australia</t>
  </si>
  <si>
    <t>Queens University Belfast; University of Tasmania</t>
  </si>
  <si>
    <t>Kregting, L (corresponding author), Queens Univ Belfast, Sch Nat &amp; Built Environm, Belfast, Antrim, North Ireland.</t>
  </si>
  <si>
    <t>l.kregting@qub.ac.uk</t>
  </si>
  <si>
    <t>Mundy, Craig/G-3390-2014; Hurd, Catriona/J-2411-2013</t>
  </si>
  <si>
    <t>Mundy, Craig/0000-0002-1945-3750; Hurd, Catriona/0000-0001-9965-4917; Britton, Damon/0000-0002-9029-7527</t>
  </si>
  <si>
    <t>University of Tasmania, Australia; Queens University Belfast Research Fellowship from Queens University Belfast, United Kingdom; EPSRC research grant [EP/S000747/1]; University of Tasmania, Australian Postgraduate Award</t>
  </si>
  <si>
    <t>University of Tasmania, Australia; Queens University Belfast Research Fellowship from Queens University Belfast, United Kingdom; EPSRC research grant(UK Research &amp; Innovation (UKRI)Engineering &amp; Physical Sciences Research Council (EPSRC)); University of Tasmania, Australian Postgraduate Award</t>
  </si>
  <si>
    <t>LK was supported by a Visiting Scholarship from University of Tasmania, Australia, a Queens University Belfast Research Fellowship from Queens University Belfast, United Kingdom, and EPSRC research grant EP/S000747/1. DB was supported by a University of Tasmania, Australian Postgraduate Award.</t>
  </si>
  <si>
    <t>10.3389/fmars.2021.693695</t>
  </si>
  <si>
    <t>WC3OK</t>
  </si>
  <si>
    <t>WOS:000704169100001</t>
  </si>
  <si>
    <t>Rhee, HH; Lee, MK; Seong, YB; Lee, JI; Yoo, KC; Stutz, J; Yu, BY</t>
  </si>
  <si>
    <t>Rhee, Hyun Hee; Lee, Min Kyung; Seong, Yeong Bae; Lee, Jae Il.; Yoo, Kyu-Cheul; Stutz, Jamey; Yu, Byung Yong</t>
  </si>
  <si>
    <t>Quaternary ice thinning of David Glacier in the Terra Nova Bay region, Antarctica</t>
  </si>
  <si>
    <t>QUATERNARY GEOCHRONOLOGY</t>
  </si>
  <si>
    <t>Victoria land; Antarctica; Cosmogenic nuclides; Deglaciation; Mid-bruhnes event; Quaternary; Ross sea</t>
  </si>
  <si>
    <t>NORTHERN VICTORIA LAND; COSMOGENIC NUCLIDES DOCUMENT; SURFACE EXPOSURE AGES; TRANSANTARCTIC MOUNTAINS; SHEET SENSITIVITY; PRODUCTION-RATES; EROSION RATES; PRYDZ BAY; ROSS SEA; EVOLUTION</t>
  </si>
  <si>
    <t>Understanding the history of Antarctic glaciation is important for interpreting paleoclimatic changes and estimating the changes in climate, sea level, and ice volume in the future. Ice core studies of the East Antarctic Ice Sheet (EAIS) and marine sediment cores from the entire Ross Sea have employed numerous proxies to reconstruct the glacial history of the Antarctic region. However, the ice and marine core records can be biased because of their specific locations, such as the uppermost accumulation zone or the terminus of the ablation zone, thereby introducing significant uncertainties in ice modeling. In this study, we analyzed 34 new Be-10 and Al-26 samples from four benches that were glaciated in the past by David glacier and incorporate the present ice-free flat surfaces. We suggest that the David glacier experienced monotonic and stepwise vertical lowering along the flanks of Mt. Priestley since the early Pleistocene. The uppermost bedrock benches on Mt. Priestley were exposed at 1.77 +/- 0.32 Ma, with no evidence of subsequent overriding by readvancing ice. At Mt. Priestley, the David glacier has been characterized by a cold-based regime since 1.77 Ma, with a denudation rate of only similar to 16 cm/Ma, corresponding to the regional transition from warm to cold-based glaciation at 3.5 Ma. Simple exposure ages from two lower benches date to Marine Isotope Stage (MIS) 7 (234.1 +/- 13.1 ka; 545 m asl) and MIS 4 (64.8 +/- 13.7 ka; 222 m asl), suggesting that, since MIS 8, the overall lowering of glaciers has remained monotonic. The upper bench marks the lower limit of the MIS 8 glacial period and the upper limit of Penultimate Glacial Maximum (MIS 6), while the lower landform defines the upper limit of the last glacial period (MIS 4-2). The magnitude of Quaternary ice thinning at the David glacier was the highest (similar to 990 m) in the present terminal area (i.e., the most sensitive ablation zone), in contrast to the other outlet glaciers draining into the Terra Nova Bay, which experienced less ice lowering. The combination of the terrestrial (in situ Be-10 and Al-26) and previous marine (authigenic Be-10) cosmogenic data used in our study document the history of lowering of the David glacier driven by climatic changes during the Pleistocene. Both deglaciation and glaciation were limited during the mid-Pleistocene transition (MPT) and prior to the mid-Bruhnes event (MBE), due to the prevailing cold and arid climate, whereas deglaciation was dominant during other warm periods.</t>
  </si>
  <si>
    <t>[Rhee, Hyun Hee; Seong, Yeong Bae] Korea Univ, Dept Geog, Seoul 02841, South Korea; [Lee, Min Kyung; Lee, Jae Il.; Yoo, Kyu-Cheul] Korea Polar Res Inst, Div Glacial Environm Res, Incheon 21990, South Korea; [Stutz, Jamey] Victoria Univ Wellington, Antarctic Res Ctr, POB 600, Wellington 6140, New Zealand; [Rhee, Hyun Hee; Yu, Byung Yong] Korea Inst Sci &amp; Technol, AMS Lab, Seoul 02792, South Korea</t>
  </si>
  <si>
    <t>Korea University; Korea Polar Research Institute (KOPRI); Victoria University Wellington; Korea Institute of Science &amp; Technology (KIST)</t>
  </si>
  <si>
    <t>Seong, YB (corresponding author), Korea Univ, Dept Geog, Seoul 02841, South Korea.</t>
  </si>
  <si>
    <t>ybseong@korea.ac.kr</t>
  </si>
  <si>
    <t>RHEE, Hyun Hee/ISA-4439-2023; Seong, Yeong Bae/K-2420-2019</t>
  </si>
  <si>
    <t>Seong, Yeong Bae/0000-0001-6605-3912; rhee, hyunhee/0000-0003-0738-1160; Stutz, Jamey/0000-0002-5645-3311</t>
  </si>
  <si>
    <t>Korea Polar Research Institute [PE21090]</t>
  </si>
  <si>
    <t>This research is supported by Korea Polar Research Institute (PE21090) . We were given lots of practical advice and sincere support from Dr. Jong Ik Lee of Korea Polar Research Institute, South Korea during the field trip.</t>
  </si>
  <si>
    <t>1871-1014</t>
  </si>
  <si>
    <t>1878-0350</t>
  </si>
  <si>
    <t>QUAT GEOCHRONOL</t>
  </si>
  <si>
    <t>Quat. Geochronol.</t>
  </si>
  <si>
    <t>10.1016/j.quageo.2021.101233</t>
  </si>
  <si>
    <t>WB6GK</t>
  </si>
  <si>
    <t>WOS:000703668200002</t>
  </si>
  <si>
    <t>Fletcher, MS; Pedro, J; Hall, T; Mariani, M; Alexander, JA; Beck, K; Blaauw, M; Hodgson, DA; Heijnis, H; Gadd, PS; Lise-Pronovost, A</t>
  </si>
  <si>
    <t>Fletcher, Michael-Shawn; Pedro, Joel; Hall, Tegan; Mariani, Michela; Alexander, Joseph A.; Beck, Kristen; Blaauw, Maarten; Hodgson, Dominic A.; Heijnis, Henk; Gadd, Patricia S.; Lise-Pronovost, Agathe</t>
  </si>
  <si>
    <t>Northward shift of the southern westerlies during the Antarctic Cold Reversal</t>
  </si>
  <si>
    <t>Antarctic cold reversal; Tasmania; Carbon cycle; Southern ocean; Pollen; Charcoal; Southern hemisphere</t>
  </si>
  <si>
    <t>ABRUPT CLIMATE CHANGES; FIRE; CIRCULATION; TASMANIA; VEGETATION; DYNAMICS; TROPICS; RECORD; OCEAN; ITCZ</t>
  </si>
  <si>
    <t>Inter-hemispheric asynchrony of climate change through the last deglaciation has been theoretically linked to latitudinal shifts in the southern westerlies via their influence over CO2 out-gassing from the Southern Ocean. Proxy-based reconstructions disagree on the behaviour of the westerlies through this interval. The last deglaciation was interrupted in the Southern Hemisphere by the Antarctic Cold Reversal (ACR; 14.7 to 13.0 ka BP (thousand years Before Present)), a millennial-scale cooling event that coincided with the Bolling-Allerod warm phase in the North Atlantic (BA; 14.7 to 12.7 ka BP). We present terrestrial proxy palaeoclimate data that demonstrate a migration of the westerlies during the last deglaciation. We support the hypothesis that wind-driven out-gassing of old CO2 from the Southern Ocean drove the deglacial rise in atmospheric CO2. (C) 2021 Elsevier Ltd. All rights reserved.</t>
  </si>
  <si>
    <t>[Fletcher, Michael-Shawn; Hall, Tegan; Mariani, Michela; Alexander, Joseph A.; Beck, Kristen; Lise-Pronovost, Agathe] Univ Melbourne, Sch Geog Earth &amp; Atmospher Sci, Melbourne, Vic, Australia; [Fletcher, Michael-Shawn] Univ Melbourne, Indigenous Knowledge Inst, Melbourne, Vic, Australia; [Pedro, Joel] Australian Antarctic Div AAD, Kingston, Tas, Australia; [Pedro, Joel] Univ Tasmania, Inst Marine &amp; Antarctic Studies, Australian Antarctic Program Partnership, Hobart, Tas, Australia; [Mariani, Michela] Univ Nottingham, Sch Geog, Nottingham, England; [Beck, Kristen] Univ Lincoln, Lincoln Ctr Water &amp; Planetary Hlth, Sch Geog, Lincoln, England; [Blaauw, Maarten] Queens Univ Belfast, Sch Nat &amp; Built Environm, Belfast, Antrim, North Ireland; [Hodgson, Dominic A.] British Antarctic Survey, Cambridge, England; [Hodgson, Dominic A.] Univ Durham, Dept Geog, Durham, England; [Heijnis, Henk; Gadd, Patricia S.] Australian Nucl Sci &amp; Technol Org, Lucas Heights, NSW, Australia</t>
  </si>
  <si>
    <t>Melbourne Genomics Health Alliance; University of Melbourne; University of Melbourne; Melbourne Genomics Health Alliance; Australian Antarctic Division; University of Tasmania; University of Nottingham; University of Lincoln; Queens University Belfast; UK Research &amp; Innovation (UKRI); Natural Environment Research Council (NERC); NERC British Antarctic Survey; Durham University; Australian Nuclear Science &amp; Technology Organisation</t>
  </si>
  <si>
    <t>Fletcher, MS (corresponding author), Univ Melbourne, Sch Geog Earth &amp; Atmospher Sci, Melbourne, Vic, Australia.</t>
  </si>
  <si>
    <t>michael.fletcher@unimelb.edu.au</t>
  </si>
  <si>
    <t>Heijnis, Hendrik/A-6673-2010; Blaauw, Maarten/E-4539-2011; Fletcher, Michael-Shawn/AFR-2451-2022</t>
  </si>
  <si>
    <t>Blaauw, Maarten/0000-0002-5680-1515; Fletcher, Michael-Shawn/0000-0002-1854-5629; Beck, Kristen/0000-0002-8257-9639; Hodgson, Dominic/0000-0002-3841-3746; MARIANI, MICHELA/0000-0003-1996-3694; Heijnis, Hendrik/0000-0002-7601-3452; Gadd, Patricia/0000-0001-6725-1603</t>
  </si>
  <si>
    <t>Australian Research Council [DI110100019, IN140100050, IN170100062, IN170100063]; Australian Government as part of the Antarctic Science Collaboration Initiative program; NERC [NE/K004514/1] Funding Source: UKRI; Australian Research Council [DI110100019, IN170100062, IN170100063, IN140100050] Funding Source: Australian Research Council</t>
  </si>
  <si>
    <t>Australian Research Council(Australian Research Council); Australian Government as part of the Antarctic Science Collaboration Initiative program(Australian Government); NERC(UK Research &amp; Innovation (UKRI)Natural Environment Research Council (NERC)); Australian Research Council(Australian Research Council)</t>
  </si>
  <si>
    <t>MSF was funded by Australian Research Council grants (DI110100019, IN140100050, IN170100062, IN170100063). JBP received support from the Australian Government as part of the Antarctic Science Collaboration Initiative program. We thank two anonymous reviewers for their positive and constructive reviews of an initial draft of this manuscript.</t>
  </si>
  <si>
    <t>10.1016/j.quascirev.2021.107189</t>
  </si>
  <si>
    <t>WOS:000703097800003</t>
  </si>
  <si>
    <t>Simmons, BI; Blyth, PSA; Blanchard, JL; Clegg, T; Delmas, E; Garnier, A; Griffiths, CA; Jacob, U; Pennekamp, F; Petchey, OL; Poisot, T; Webb, TJ; Beckerman, AP</t>
  </si>
  <si>
    <t>Simmons, Benno, I; Blyth, Penelope S. A.; Blanchard, Julia L.; Clegg, Tom; Delmas, Eva; Garnier, Aurelie; Griffiths, Christopher A.; Jacob, Ute; Pennekamp, Frank; Petchey, Owen L.; Poisot, Timothee; Webb, Thomas J.; Beckerman, Andrew P.</t>
  </si>
  <si>
    <t>Refocusing multiple stressor research around the targets and scales of ecological impacts</t>
  </si>
  <si>
    <t>NATURE ECOLOGY &amp; EVOLUTION</t>
  </si>
  <si>
    <t>HIGHER-ORDER INTERACTIONS; TEMPERATURE-DEPENDENCE; CLIMATE-CHANGE; FUNCTIONAL-RESPONSES; GLOBAL CHANGE; SIZE-SPECTRA; LIFE-HISTORY; BODY-SIZE; FOOD; DYNAMICS</t>
  </si>
  <si>
    <t>Ecological communities face a variety of environmental and anthropogenic stressors acting simultaneously. Stressor impacts can combine additively or can interact, causing synergistic or antagonistic effects. Our knowledge of when and how interactions arise is limited, as most models and experiments only consider the effect of a small number of non-interacting stressors at one or few scales of ecological organization. This is concerning because it could lead to significant underestimations or overestimations of threats to biodiversity. Furthermore, stressors have been largely classified by their source rather than by the mechanisms and ecological scales at which they act (the target). Here, we argue, first, that a more nuanced classification of stressors by target and ecological scale can generate valuable new insights and hypotheses about stressor interactions. Second, that the predictability of multiple stressor effects, and consistent patterns in their impacts, can be evaluated by examining the distribution of stressor effects across targets and ecological scales. Third, that a variety of existing mechanistic and statistical modelling tools can play an important role in our framework and advance multiple stressor research. This Perspective argues that classifying stressors by the ecological scales at which they have their impacts, rather than by their source, will allow better understanding of the predictability and consistency of multiple-stressor effects.</t>
  </si>
  <si>
    <t>[Simmons, Benno, I; Blyth, Penelope S. A.; Griffiths, Christopher A.; Webb, Thomas J.; Beckerman, Andrew P.] Univ Sheffield, Dept Anim &amp; Plant Sci, Sheffield, S Yorkshire, England; [Simmons, Benno, I] Univ Exeter, Coll Life &amp; Environm Sci, Ctr Ecol &amp; Conservat, Penryn, England; [Blanchard, Julia L.] Univ Tasmania, Ctr Marine Socioecol, Hobart, Tas, Australia; [Blanchard, Julia L.] Univ Tasmania, Inst Marine &amp; Antarctic Studies, Hobart, Tas, Australia; [Clegg, Tom] Imperial Coll London, Dept Life Sci, Ascot, Berks, England; [Delmas, Eva; Poisot, Timothee] Univ Montreal, Dept Sci Biol, Montreal, PQ, Canada; [Delmas, Eva; Poisot, Timothee] McGill Univ, Quebec Ctr Biodivers Sci, Montreal, PQ, Canada; [Garnier, Aurelie] Swedish Univ Agr Sci, Dept Aquat Resources, Oregrund, Sweden; [Jacob, Ute] Alfred Wegener Inst Polar &amp; Marine Res, Bremerhaven, Germany; [Jacob, Ute] Univ Oldenburg HIFMB, Helmholtz Inst Funct Marine Biodivers, Oldenburg, Germany; [Pennekamp, Frank; Petchey, Owen L.] Univ Zurich, Dept Evolutionary Biol &amp; Environm Studies, Zurich, Switzerland</t>
  </si>
  <si>
    <t>University of Sheffield; University of Exeter; University of Tasmania; University of Tasmania; Imperial College London; Universite de Montreal; McGill University; Swedish University of Agricultural Sciences; Helmholtz Association; Alfred Wegener Institute, Helmholtz Centre for Polar &amp; Marine Research; University of Zurich</t>
  </si>
  <si>
    <t>Simmons, BI (corresponding author), Univ Sheffield, Dept Anim &amp; Plant Sci, Sheffield, S Yorkshire, England.;Simmons, BI (corresponding author), Univ Exeter, Coll Life &amp; Environm Sci, Ctr Ecol &amp; Conservat, Penryn, England.</t>
  </si>
  <si>
    <t>benno.simmons@gmail.com</t>
  </si>
  <si>
    <t>Beckerman, Andrew P/D-3020-2011; Pennekamp, Frank/ABD-3597-2020; Poisot, Timothée/JXX-4975-2024; Griffiths, Christopher Alan/AAG-9251-2019; Webb, Tom/D-5224-2011; Simmons, Benno/I-9174-2014</t>
  </si>
  <si>
    <t>Beckerman, Andrew P/0000-0002-4797-9143; Pennekamp, Frank/0000-0003-0679-1045; Poisot, Timothée/0000-0002-0735-5184; Griffiths, Christopher Alan/0000-0001-7203-0426; Petchey, Owen/0000-0002-7724-1633; Garnier, Aurelie/0000-0002-3712-4301; Blyth, Penelope/0000-0003-3071-9668; Webb, Tom/0000-0003-3183-8116; Simmons, Benno/0000-0002-2751-9430</t>
  </si>
  <si>
    <t>NERC [NE/S001395/1, NE/T003502/1]; Royal Commission for the Exhibition of 1851 Research Fellowship; Defra Marine Ecosystem Research Programme [NE/L003279/1]; University of Zurich Research Priority Programme Global Change and Biodiversity; NERC; NERC [NE/L003279/1, NE/S001395/1, NE/T003502/1] Funding Source: UKRI</t>
  </si>
  <si>
    <t>NERC(UK Research &amp; Innovation (UKRI)Natural Environment Research Council (NERC)); Royal Commission for the Exhibition of 1851 Research Fellowship; Defra Marine Ecosystem Research Programme; University of Zurich Research Priority Programme Global Change and Biodiversity; NERC(UK Research &amp; Innovation (UKRI)Natural Environment Research Council (NERC)); NERC(UK Research &amp; Innovation (UKRI)Natural Environment Research Council (NERC))</t>
  </si>
  <si>
    <t>A.P.B., B.I.S., P.S.A.B. and E.D. acknowledge funding from the NERC (NE/S001395/1). A.P.B. acknowledges funding from the NERC (NE/T003502/1). B.I.S. was also supported by a Royal Commission for the Exhibition of 1851 Research Fellowship. T.J.W. acknowledges funding from the NERC and the Defra Marine Ecosystem Research Programme (NE/L003279/1). O.L.P, A.G. and F.P. acknowledge support of the University of Zurich Research Priority Programme Global Change and Biodiversity.</t>
  </si>
  <si>
    <t>2397-334X</t>
  </si>
  <si>
    <t>NAT ECOL EVOL</t>
  </si>
  <si>
    <t>Nat. Ecol. Evol.</t>
  </si>
  <si>
    <t>10.1038/s41559-021-01547-4</t>
  </si>
  <si>
    <t>WQ3MP</t>
  </si>
  <si>
    <t>WOS:000698555000003</t>
  </si>
  <si>
    <t>Frugone, MJ; Cole, TL; López, ME; Clucas, G; Matos-Maraví, P; Lois, NA; Pistorius, P; Bonadonna, F; Trathan, P; Polanowski, A; Wienecke, B; Raya-Rey, A; Pütz, K; Steinfurth, A; Bi, K; Wang-Claypool, CY; Waters, JM; Bowie, RCK; Poulin, E; Vianna, JA</t>
  </si>
  <si>
    <t>Frugone, Maria Jose; Cole, Theresa L.; Lopez, Maria Eugenia; Clucas, Gemma; Matos-Maravi, Pavel; Lois, Nicolas A.; Pistorius, Pierre; Bonadonna, Francesco; Trathan, Phil; Polanowski, Andrea; Wienecke, Barbara; Raya-Rey, Andrea; Putz, Klemens; Steinfurth, Antje; Bi, Ke; Wang-Claypool, Cynthia Y.; Waters, Jonathan M.; Bowie, Rauri C. K.; Poulin, Elie; Vianna, Juliana A.</t>
  </si>
  <si>
    <t>Taxonomy based on limited genomic markers may underestimate species diversity of rockhopper penguins and threaten their conservation</t>
  </si>
  <si>
    <t>Eudyptes; genomics; rockhopper penguins; species delimitation</t>
  </si>
  <si>
    <t>EUDYPTES-CHRYSOCOME; POPULATION-DYNAMICS; MITOCHONDRIAL-DNA; MACARONI PENGUINS; BREEDING BIOLOGY; GENE TREES; TOOL SET; ISLAND; DELIMITATION; INFERENCE</t>
  </si>
  <si>
    <t>Aim Delimiting recently diverged species is challenging. During speciation, genetic differentiation may be distributed unevenly across the genome, as different genomic regions can be subject to different selective pressures and evolutionary histories. Reliance on limited numbers of genetic markers that may be underpowered can make species delimitation even more challenging, potentially resulting in taxonomic inconsistencies. Rockhopper penguins of the genus Eudyptes comprise three broadly recognized taxa: northern (E. moseleyi), southern (E. chrysocome) and eastern rockhopper (E. filholi). Their taxonomic status has been controversial for decades, with researchers disagreeing about whether E. chrysocome and E. filholi are distinct species or conspecific. Our goal is to evaluate genome-wide patterns of divergence to evaluate genetic differentiation and species delimitation in rockhopper penguins, and to assess which mechanisms may underlie previous discordance among nuclear versus mitochondrial analyses. Location Sub-Antarctic and temperate coastal regions of the Southern Hemisphere. Methods We generated reduced-representation genomic libraries using double digest restriction-site associated DNA (ddRAD) sequencing to evaluate genetic differentiation, contemporary migration rates and admixture among colonies of rockhopper penguins. Results The extent of genetic differentiation among the three taxa was consistently higher than population-level genetic differentiation found within these and other penguin species. There was no evidence of admixture among the three taxa, suggesting the absence of ongoing gene flow among them. Species delimitation analyses based on molecular data, along with other lines of evidence, provide strong support for the taxonomic distinction of three species of rockhopper penguins. Main conclusions Our results provide strong support for the existence of three distinct species of rockhopper penguins. The recognition of this taxonomic diversity is crucial for the management and conservation of this widely distributed species group. This study illustrates that widespread dispersive seabird lineages lacking obvious morphological differences may nevertheless have complex evolutionary histories and comprise cryptic species diversity.</t>
  </si>
  <si>
    <t>[Frugone, Maria Jose; Poulin, Elie] Univ Chile, Fac Ciencias, Dept Ciencias Ecol, Lab Ecol Mol, Santiago, Chile; [Frugone, Maria Jose; Poulin, Elie] Inst Ecol &amp; Biodiversidad IEB, Santiago, Chile; [Frugone, Maria Jose] Univ Austral Chile, Inst Ciencias Ambientales &amp; Evolut, Fac Ciencias, Valdivia, Chile; [Cole, Theresa L.] Univ Otago, Dept Zool, Dunedin, New Zealand; [Cole, Theresa L.] Univ Copenhagen, Dept Biol Ecol &amp; Evolut, Copenhagen, Denmark; [Lopez, Maria Eugenia] Swedish Univ Agr Sci, Dept Aquat Resources, Drottningholm, Sweden; [Clucas, Gemma] Cornell Univ, Atkinson Ctr Sustainable Future, Ithaca, NY USA; [Clucas, Gemma] Cornell Univ, Cornell Lab Ornithol, Ithaca, NY USA; [Matos-Maravi, Pavel] Czech Acad Sci, Inst Entomol, Ctr Biol, Ceske Budejovice, Czech Republic; [Lois, Nicolas A.] Univ Buenos Aires, Fac Ciencias Exactas &amp; Nat, Dept Ecol Genet &amp; Evoluc, Buenos Aires, DF, Argentina; [Lois, Nicolas A.] Consejo Nacl Invest Cient &amp; Tecn, Inst Ecol Genet &amp; Evoluc Buenos Aires, Buenos Aires, DF, Argentina; [Pistorius, Pierre] Nelson Mandela Univ, Percy Fitzpatrick Inst African Ornithol, Dept Zool, DST NRF Ctr Excellence, Port Elizabeth, South Africa; [Bonadonna, Francesco] Univ Montpellier, CNRS, CEFE, EPHE, Montpellier, France; [Trathan, Phil] British Antarctic Survey, Cambridge, England; [Polanowski, Andrea; Wienecke, Barbara] Australian Antarctic Div, Kingston, Australia; [Raya-Rey, Andrea] Consejo Nacl Invest Cient &amp; Tecn CADIC CON, Ctr Austral Invest Cient, Ushuaia, Argentina; [Raya-Rey, Andrea] Wildlife Conservat Soc, Bronx, NY USA; [Raya-Rey, Andrea] Univ Nacl Tierra Fuego, Inst Ciencias Polares Ambiente &amp; Recursos Nat, Ushuaia, Argentina; [Putz, Klemens] Antarctic Res Trust, Bremervorde, Germany; [Steinfurth, Antje] Univ Cape Town, FitzPatrick Inst African Ornithol, Rondebosch, South Africa; [Steinfurth, Antje] RSPB Ctr Conservat Sci, Cambridge, England; [Bi, Ke; Wang-Claypool, Cynthia Y.; Bowie, Rauri C. K.] Univ Calif Berkeley, Museum Vertebrate Zool, Berkeley, CA 94720 USA; [Bi, Ke; Wang-Claypool, Cynthia Y.; Bowie, Rauri C. K.] Univ Calif Berkeley, Dept Integrat Biol, Berkeley, CA 94720 USA; [Vianna, Juliana A.] Pontificia Univ Catolica Chile, Fac Agron &amp; Ingn Forestal, Dept Ecosistemas &amp; Medio Ambiente, Ctr Genome Regulat, Santiago, Chile</t>
  </si>
  <si>
    <t>Universidad de Chile; Universidad Austral de Chile; University of Otago; University of Copenhagen; Swedish University of Agricultural Sciences; Cornell University; Cornell University; Czech Academy of Sciences; Biology Centre of the Czech Academy of Sciences; University of Buenos Aires; Consejo Nacional de Investigaciones Cientificas y Tecnicas (CONICET); Nelson Mandela University; National Research Foundation - South Africa; Universite PSL; Ecole Pratique des Hautes Etudes (EPHE); Institut Agro; Montpellier SupAgro; CIRAD; Centre National de la Recherche Scientifique (CNRS); Institut de Recherche pour le Developpement (IRD); Universite Paul-Valery; Universite de Montpellier; UK Research &amp; Innovation (UKRI); Natural Environment Research Council (NERC); NERC British Antarctic Survey; Australian Antarctic Division; Wildlife Conservation Society; University of Cape Town; Royal Society for Protection of Birds; University of California System; University of California Berkeley; University of California System; University of California Berkeley; Pontificia Universidad Catolica de Chile</t>
  </si>
  <si>
    <t>Vianna, JA (corresponding author), Pontificia Univ Catolica Chile, Fac Agron &amp; Ingn Forestal, Dept Ecosistemas &amp; Medio Ambiente, Santiago 4860, Chile.</t>
  </si>
  <si>
    <t>jvianna@uc.cl</t>
  </si>
  <si>
    <t>Clucas, Gemma/ABF-9073-2021; Bowie, Rauri/H-9165-2019; Yáñez, José M/H-5279-2013; Lois, Nicolás/AAE-1606-2022; Vianna, Juliana A/E-9847-2015; bi, ke/KBB-4145-2024; Matos-Maraví, Pável/O-6626-2017; Poulin, Elie/C-2654-2012; Frugone, María José/AAH-2930-2019; Waters, Jonathan/B-4983-2009</t>
  </si>
  <si>
    <t>Bowie, Rauri/0000-0001-8328-6021; Matos-Maraví, Pável/0000-0002-2885-4919; Poulin, Elie/0000-0001-7736-0969; Frugone, María José/0000-0002-8302-0386; Waters, Jonathan/0000-0002-1514-7916; Raya Rey, Andrea/0000-0003-0127-6650; Polanowski, Andrea/0000-0002-9612-220X; Clucas, Gemma/0000-0002-4305-1719; Lopez, Maria-Eugenia/0000-0001-9272-0694; Lois, Nicolas A./0000-0001-5664-0486</t>
  </si>
  <si>
    <t>FONDECYT [1150517]; Centro de Regulacion del Genoma (CRG) [ANID/FONDAP/15200002, 1151336 CONICYT PIA ACT172065 GAB]; Czech Science Foundation Junior GAR grant [GJ20-18566Y]; Czech Academy of Sciences PPLZ programme [L200961951]; French Polar Institute Paul-Emile Victor (IPEV) [354]; [INACH DT-11_17]; [INACH RT_12-14]; NERC [bas0100035] Funding Source: UKRI</t>
  </si>
  <si>
    <t>FONDECYT(Comision Nacional de Investigacion Cientifica y Tecnologica (CONICYT)CONICYT FONDECYT); Centro de Regulacion del Genoma (CRG); Czech Science Foundation Junior GAR grant; Czech Academy of Sciences PPLZ programme; French Polar Institute Paul-Emile Victor (IPEV); ; ; NERC(UK Research &amp; Innovation (UKRI)Natural Environment Research Council (NERC))</t>
  </si>
  <si>
    <t>We thank Daly Noll and Alison Cleary for help in the laboratory. We thank Milan Malinsky for useful comments and help with FINERADSTRUCTURE analysis. This study was funded by INACH DT-11_17 and INACH RT_12-14 grants, FONDECYT projects 1150517, Centro de Regulacion del Genoma (CRG) ANID/FONDAP/15200002 and 1151336 CONICYT PIA ACT172065 GAB. PMM was supported by a Czech Science Foundation Junior GAR grant (GJ20-18566Y) and the Czech Academy of Sciences PPLZ programme (L200961951), and acknowledges the computational resources provided by the CESNET LM2015042 and the CERIT Scientific Cloud LM2015085. FB was supported by the French Polar Institute Paul-Emile Victor (IPEV; Prog. 354). We also would like to thank Damien Esquerre and anonymous referees whose comments and suggestions helped to improve this manuscript.</t>
  </si>
  <si>
    <t>10.1111/ddi.13399</t>
  </si>
  <si>
    <t>WK8WJ</t>
  </si>
  <si>
    <t>WOS:000698353600001</t>
  </si>
  <si>
    <t>Krafft, BA; Macaulay, GJ; Skaret, G; Knutsen, T; Bergstad, OA; Lowther, A; Huse, G; Fielding, S; Trathan, P; Murphy, E; Choi, SG; Chung, S; Han, I; Lee, K; Zhao, XY; Wang, XL; Ying, YP; Yu, XT; Demianenko, K; Podhornyi, V; Vishnyakova, K; Pshenichnov, L; Chuklin, A; Shyshman, H; Cox, MJ; Reid, K; Watters, GM; Reiss, CS; Hinke, JT; Arata, J; Godo, OR; Hoem, N</t>
  </si>
  <si>
    <t>Krafft, Bjorn A.; Macaulay, Gavin J.; Skaret, Georg; Knutsen, Tor; Bergstad, Odd A.; Lowther, Andrew; Huse, Geir; Fielding, Sophie; Trathan, Philip; Murphy, Eugene; Choi, Seok-Gwan; Chung, Sangdeok; Han, Inwoo; Lee, Kyounghoon; Zhao, Xianyong; Wang, Xinliang; Ying, Yiping; Yu, Xiaotao; Demianenko, Kostiantyn; Podhornyi, Viktor; Vishnyakova, Karina; Pshenichnov, Leonid; Chuklin, Andrii; Shyshman, Hanna; Cox, Martin J.; Reid, Keith; Watters, George M.; Reiss, Christian S.; Hinke, Jefferson T.; Arata, Javier; Godo, Olav R.; Hoem, Nils</t>
  </si>
  <si>
    <t>Standing stock of Antarctic krill (Euphausia superba Dana, 1850) (Euphausiacea) in the Southwest Atlantic sector of the Southern Ocean, 2018-19</t>
  </si>
  <si>
    <t>JOURNAL OF CRUSTACEAN BIOLOGY</t>
  </si>
  <si>
    <t>acoustic survey; biomass; climate; ecosystem change; fishery management; global climate change; zooplankton</t>
  </si>
  <si>
    <t>SCALE MANAGEMENT UNITS; TARGET-STRENGTH MODEL; CCAMLR 2000 SURVEY; SHETLAND ISLANDS; SCOTIA SEA; ELEPHANT ISLAND; CLIMATE-CHANGE; BIOMASS; DENSITY; ECOSYSTEM</t>
  </si>
  <si>
    <t>Estimates of the distribution and density of Antarctic krill (Euphausia superba Dana, 1850) were derived from a large-scale survey conducted during the austral summer in the Southwest Atlantic sector of the Southern Ocean and across the Scotia Sea in 2018-19, the '2018-19 Area 48 Survey'. Survey vessels were provided by Norway, the Association of Responsible Krill harvesting companies and Aker BioMarine AS, the United Kingdom, Ukraine, Republic of Korea, and China. Survey design followed the transects of the Commission for the Conservation of Antarctic Marine Living Resources synoptic survey, carried out in 2000 and from regular national surveys performed in the South Atlantic sector by the U.S., China, Republic of Korea, Norway, and the U.K. The 2018-19 Area 48 Survey represents only the second large-scale survey performed in the area and this joint effort resulted in the largest ever total transect line (19,500 km) coverage carried out as one single exercise in the Southern Ocean. We delineated and integrated acoustic backscatter arising from krill swarms to produce distribution maps of krill areal biomass density and standing stock (biomass) estimates. Krill standing stock for the Area 48 was estimated to be 62.6 megatonnes (mean density of 30 g m(-)(2) over 2 million km(2)) with a sampling coefficient variation of 13%. The highest mean krill densities were found in the South Orkney Islands stratum (93.2 g m(-2)) and the lowest in the South Georgia Island stratum (6.4 g m(-2)). The krill densities across the strata compared to those found during the previous survey indicate some regional differences in distribution and biomass. It is currently not possible to assign any such differences or lack of differences between the two survey datasets to longer term trends in the environment, krill stocks or fishing pressure.</t>
  </si>
  <si>
    <t>[Krafft, Bjorn A.; Macaulay, Gavin J.; Skaret, Georg; Knutsen, Tor; Bergstad, Odd A.; Huse, Geir] Inst Marine Res, N-5005 Bergen, Norway; [Lowther, Andrew] Norwegian Polar Res Inst, N-9296 Tromso, Norway; [Fielding, Sophie; Trathan, Philip; Murphy, Eugene] British Antarctic Survey, Cambridge CB3 0ET, England; [Choi, Seok-Gwan; Chung, Sangdeok; Han, Inwoo] Natl Inst Fisheries Sci, Busan 46083, South Korea; [Lee, Kyounghoon] Chonnam Natl Univ, Yeosu 59626, South Korea; [Zhao, Xianyong; Wang, Xinliang; Ying, Yiping; Yu, Xiaotao] Chinese Acad Fishery Sci, Yellow Sea Fisheries Res Inst, Qingdao 266071, Peoples R China; [Demianenko, Kostiantyn; Podhornyi, Viktor; Pshenichnov, Leonid] Inst Fisheries &amp; Marine Ecol, UA-71118 Berdyansk, Ukraine; [Vishnyakova, Karina] Natl Antarctic Sci Ctr Ukraine, UA-01601 Kiev, Ukraine; [Chuklin, Andrii; Shyshman, Hanna] Ltd Liabil Co IKF, UA-54017 Mykolaiv, Ukraine; [Cox, Martin J.] Australian Antarctic Div, Hobart, Tas 7050, Australia; [Reid, Keith] CCAMLR, Hobart, Tas 7002, Australia; [Watters, George M.; Reiss, Christian S.; Hinke, Jefferson T.] NOAA, Antarctic Ecosyst Res Div, Southwest Fisheries Sci Ctr, Natl Marine Fisheries Serv, La Jolla, CA 92037 USA; [Arata, Javier] Assoc Responsible Krill Harvesting Co ARK, Margate, Qld 7054, Australia; [Godo, Olav R.; Hoem, Nils] AKER Biomarine AS, N-1366 Lysaker, Norway</t>
  </si>
  <si>
    <t>Institute of Marine Research - Norway; Norwegian Polar Institute; UK Research &amp; Innovation (UKRI); Natural Environment Research Council (NERC); NERC British Antarctic Survey; National Institute of Fisheries Science; Chonnam National University; Chinese Academy of Fishery Sciences; Yellow Sea Fisheries Research Institute, CAFS; Ministry of Education &amp; Science of Ukraine; State Institution National Antarctic Scientific Center; Australian Antarctic Division; National Oceanic Atmospheric Admin (NOAA) - USA</t>
  </si>
  <si>
    <t>Krafft, BA (corresponding author), Inst Marine Res, N-5005 Bergen, Norway.</t>
  </si>
  <si>
    <t>bjorn.krafft@hi.no</t>
  </si>
  <si>
    <t>murphy, eugene/GZL-1620-2022; Watters, George/HPE-2184-2023; Fielding, Sophie/E-5137-2012; Arata, Javier A./U-9754-2017</t>
  </si>
  <si>
    <t>Watters, George/0000-0002-6989-1273; Lowther, Andrew/0000-0003-4294-3157; Macaulay, Gavin/0000-0003-2518-6537; Arata, Javier A./0000-0001-7320-0511; Knutsen, Tor/0000-0003-3531-5611</t>
  </si>
  <si>
    <t>Norwegian Ministry of Trade, Industry and Fisheries (NFD) [15208]; Institute of Marine Research (IMR) [14246]; UK Research and Innovation - Natural Environment Research Council; National Institute of Fisheries Science [R2019021]; Polar Regions Department, UK Government</t>
  </si>
  <si>
    <t>Norwegian Ministry of Trade, Industry and Fisheries (NFD); Institute of Marine Research (IMR); UK Research and Innovation - Natural Environment Research Council(UK Research &amp; Innovation (UKRI)Natural Environment Research Council (NERC)); National Institute of Fisheries Science; Polar Regions Department, UK Government</t>
  </si>
  <si>
    <t>This work was supported by the Norwegian Ministry of Trade, Industry and Fisheries (NFD, via project number 15208), the Institute of Marine Research (IMR) and the IMR project Krill (project number 14246). The UK contribution was supported by the UK Research and Innovation -Natural Environment Research Council and Polar Regions Department, UK Government. The Korean contribution was supported by the National Institute of Fisheries Science (R2019021). The significant contributions by fishing vessels from China, Republic of Korea, Ukraine, the Association of Responsible Krill Harvesting Companies (ARK; www.ark-krill.org), and Aker Biomarine AS in particular are acknowledged. Without the cooperative effort of the fishing industry with national research institutions, this international effort would not have been possible to accomplish. We also thank the officers, crew, and scientific personnel onboard the vessels that carried out the surveying. We thank three anonymous reviewers for their valuable comments to the manuscript. Data used in these analyses are available on request at www.ccamlr.org.</t>
  </si>
  <si>
    <t>0278-0372</t>
  </si>
  <si>
    <t>1937-240X</t>
  </si>
  <si>
    <t>J CRUSTACEAN BIOL</t>
  </si>
  <si>
    <t>J. Crustac. Biol.</t>
  </si>
  <si>
    <t>ruab046</t>
  </si>
  <si>
    <t>10.1093/jcbiol/ruab046</t>
  </si>
  <si>
    <t>YB9OM</t>
  </si>
  <si>
    <t>WOS:000739332000014</t>
  </si>
  <si>
    <t>Ferreira, MF; Lo Nostro, FL; Fernández, DA; Genovese, G</t>
  </si>
  <si>
    <t>Florencia Ferreira, Maria; Lo Nostro, Fabiana L.; Fernandez, Daniel A.; Genovese, Griselda</t>
  </si>
  <si>
    <t>Endocrine disruption in the sub Antarctic fish Patagonotothen tessellata (Perciformes, Notothenidae) from Beagle Channel associated to anthropogenic impact</t>
  </si>
  <si>
    <t>MARINE ENVIRONMENTAL RESEARCH</t>
  </si>
  <si>
    <t>Sub Antarctica; Notothenioid fish; Anthropogenic activity; Endocrine disruption; Sex steroids; Vitellogenin gene expression</t>
  </si>
  <si>
    <t>ESTROGEN-RESPONSIVE GENES; TIERRA-DEL-FUEGO; CICHLASOMA-DIMERUS PERCIFORMES; ROACH RUTILUS-RUTILUS; COD GADUS-MORHUA; MULTIPLE VITELLOGENINS; BIOMARKER RESPONSES; GONADAL DEVELOPMENT; ENVIRONMENTAL CONTAMINANTS; OCTYLPHENOL EXPOSURE</t>
  </si>
  <si>
    <t>Situated in the sub-Antarctic region, Beagle Channel represents a unique marine ecosystem due to the connection between the Pacific and the Atlantic Oceans, and its proximity to the Antarctic Peninsula. Ushuaia city, the biggest settlement on the channel, exerts an increasing anthropogenic pressure by discharges of urban and industrial effluents. In the present work, we use Patagonotothen tessellata, one of the most abundant and widespread species in the channel, as a bioindicator species in order to evidence anthropic impact from Ushuaia Bay and surrounding areas. We first analyzed and characterized real time gene expression of androgen receptor, estrogen receptor and different forms of vitellogenin (VTG), under laboratory conditions. This was achieved by induction with estradiol of P. tessellata males. Then, the selected genes were used as biomarkers for an environmental biomonitoring study. Morphometric indices and circulating sex steroids (estradiol and testosterone) were also quantified in male fish collected from different sites. The qPCR analysis showed that vtgAb form is more inducible than vtgAa or vtgC forms after estrogen induction. The field survey revealed the up-regulation of vtgAb and the androgen receptor in fish from sites with higher anthropogenic influence. Sex steroids followed seasonal variations according to their reproductive cycle, with higher levels of estradiol and testosterone in winter and summer seasons. The use of biomarkers such as gene expression of VTG demonstrates that fish from Ushuaia Bay are likely to be exposed to endocrine disrupting compounds. To our knowledge, this research is the first attempt to assess the endocrine disruption associated to anthropic impact in a widespread fish of the Beagle Channel and contributes to a better understanding of the reproductive physiology of sub Antarctic ichthyofauna.</t>
  </si>
  <si>
    <t>[Florencia Ferreira, Maria; Lo Nostro, Fabiana L.; Genovese, Griselda] Univ Buenos Aires, Lab Ecotoxicol Acuat, CONICET, Inst Biodiversidad &amp; Biol Expt &amp; Aplicada IBBEA C, Buenos Aires, DF, Argentina; [Lo Nostro, Fabiana L.; Genovese, Griselda] Univ Buenos Aires, Lab Ecotoxicol Acuat, Fac Ciencias Exactas &amp; Nat, Dept Biodiversidad &amp; Biol Expt, Buenos Aires, DF, Argentina; [Fernandez, Daniel A.] Univ Nacl Tierra Del Fuego, Inst Ciencias Polares Ambiente &amp; Recursos Nat ICP, Ushuaia, Argentina; [Fernandez, Daniel A.] Ctr Austral Invest Cient CADIC CONICET, Lab Ecol Fisiol &amp; Evolut Organismos Acuill LEFyE, Ushuaia, Argentina</t>
  </si>
  <si>
    <t>Consejo Nacional de Investigaciones Cientificas y Tecnicas (CONICET); University of Buenos Aires; University of Buenos Aires; Consejo Nacional de Investigaciones Cientificas y Tecnicas (CONICET)</t>
  </si>
  <si>
    <t>Lo Nostro, FL (corresponding author), Univ Buenos Aires, Lab Ecotoxicol Acuat, CONICET, Inst Biodiversidad &amp; Biol Expt &amp; Aplicada IBBEA C, Buenos Aires, DF, Argentina.</t>
  </si>
  <si>
    <t>f.lonostro@gmail.com</t>
  </si>
  <si>
    <t>Ferreira, Maria Florencia/0000-0001-8824-5392; Lo Nostro, Fabiana/0000-0001-8816-9449; Genovese, Griselda/0000-0002-7189-6639</t>
  </si>
  <si>
    <t>BEC.AR fellowship program; Universidad de Buenos Aires [UBACyT 0672]; FONCyT [PICT 0432]; CONICET [PIP 440]</t>
  </si>
  <si>
    <t>BEC.AR fellowship program; Universidad de Buenos Aires(University of Buenos Aires); FONCyT(FONCyT); CONICET(Consejo Nacional de Investigaciones Cientificas y Tecnicas (CONICET))</t>
  </si>
  <si>
    <t>We would like to thank D. Aureliano for field work, S. Rimbau for technical support, and M. Perez and L. Pagnossin for logistic assistance (CADIC-CONICET) . The authors specially thank Dra. Ioanna Katsiadaki (Centre for Environment, Fisheries and Aquaculture Science, CEFAS, UK) who provided a host laboratory to perform the gene expression analysis. We acknowledge Administracion de Parques Nacionales (Tierra del Fuego, Argentina) for sampling permissions (097-CPA-2016, 097-DRPA 2017, 2018) . This study was partially supported by BEC.AR fellowship program to UK; and grants from Universidad de Buenos Aires (UBACyT 0672, F. Lo Nostro) , FONCyT (PICT 0432, F. Lo Nostro) and CONICET (PIP 440, D. Fernandez) .</t>
  </si>
  <si>
    <t>0141-1136</t>
  </si>
  <si>
    <t>1879-0291</t>
  </si>
  <si>
    <t>MAR ENVIRON RES</t>
  </si>
  <si>
    <t>Mar. Environ. Res.</t>
  </si>
  <si>
    <t>10.1016/j.marenvres.2021.105478</t>
  </si>
  <si>
    <t>Environmental Sciences; Marine &amp; Freshwater Biology; Toxicology</t>
  </si>
  <si>
    <t>Environmental Sciences &amp; Ecology; Marine &amp; Freshwater Biology; Toxicology</t>
  </si>
  <si>
    <t>WH4RO</t>
  </si>
  <si>
    <t>WOS:000707667200001</t>
  </si>
  <si>
    <t>Conte, R; Rebesco, M; De Santis, L; Colleoni, F; Bensi, M; Bergamasco, A; Kovacevic, V; Gales, J; Zgur, F; Accettella, D; De Steur, L; Ursella, L; McKay, R; Kim, S; Lucchi, RG</t>
  </si>
  <si>
    <t>Conte, R.; Rebesco, M.; De Santis, L.; Colleoni, F.; Bensi, M.; Bergamasco, A.; Kovacevic, V; Gales, J.; Zgur, F.; Accettella, D.; De Steur, L.; Ursella, L.; McKay, R.; Kim, S.; Lucchi, R. G.</t>
  </si>
  <si>
    <t>Bottom current control on sediment deposition between the Iselin Bank and the Hillary Canyon (Antarctica) since the late Miocene: An integrated seismic-oceanographic approach</t>
  </si>
  <si>
    <t>Contourite drift; Seismics; Oceanography; Ross Sea Bottom Water; Antarctic Slope Current; International Ocean Discovery Program; Expedition 374</t>
  </si>
  <si>
    <t>WILKES LAND MARGIN; EASTERN ROSS SEA; WATER CIRCULATION PROCESSES; ICE-SHEET DYNAMICS; DEEP-WATER; CONTINENTAL-MARGIN; WEDDELL SEA; HOLOCENE RETREAT; AMUNDSEN SEA; PLIOCENE</t>
  </si>
  <si>
    <t>In this paper we analyze how oceanic circulation affects sediment deposition along a sector of the Ross Sea continental margin, between the Iselin Bank and the Hillary Canyon, and how these processes evolved since the Late Miocene. The Hillary Canyon is one of the few places around the Antarctic continental margin where the dense waters produced onto the continental shelf, mainly through brine rejection related to sea ice production, flow down the continental slope and reach the deep oceanic bottom layer. At the same time the Hillary Canyon represents a pathway for relatively warm waters, normally flowing along the continental slope within the Antarctic Slope Current, to reach the continental shelf. The intrusion of warm waters onto the continental shelf produces basal melting of the ice shelves, reduces their buttressing effect and triggers instabilities of the ice sheet that represent one of the main uncertainties in future sea level projections. For this study we use seismic, morpho-bathymetric and oceanographic data acquired in 2017 by the R/V OGS Explora. Seismic profiles and multibeam bathymetry are interpreted together with age models from two drilling sites (U1523 and U1524) of the International Ocean Discovery Program (IODP) Expedition 374. Oceanographic data, together with a regional oceanographic model, are used to support our reconstruction by showing the present-day oceanographic influence on sediment deposition. Regional correlation of the main seismic unconformities allows us to identify eight seismic sequences. Seismic profiles and multibeam bathymetry show a strong influence of bottom current activity on sediment deposition since the Early Miocene and a reduction in their intensity during the mid-Pliocene Warm Period. Oceanographic data and modelling provide evidence that the bottom currents are related to the dense waters produced on the Ross Sea continental shelf and flowing out through the Hillary Canyon. The presence of extensive mass transport deposits and detachment scarps indicate that also mass wasting participates in sediment transport. Through this integrated approach we regard the area between the Iselin Bank and the Hillary Canyon as a Contourite Depositional System (ODYSSEA CDS) that offers a record of oceanographic and sedimentary conditions in a unique setting. The hypotheses presented in this work are intended to serve as a framework for future reconstructions based on detailed integration of lithological, paleontological, geochemical and petrophysical data.</t>
  </si>
  <si>
    <t>[Conte, R.; Rebesco, M.; De Santis, L.; Colleoni, F.; Bensi, M.; Kovacevic, V; Zgur, F.; Accettella, D.; Ursella, L.; Lucchi, R. G.] Natl Inst Oceanog &amp; Appl Geophys OGS, Trieste, Italy; [Conte, R.] Ca Foscari Univ Venice, Dept Environm Sci Informat &amp; Stat, Venice, Italy; [Bergamasco, A.] CNR, Marine Sci Inst, ISMAR CNR, Venice, Italy; [Gales, J.] Univ Plymouth, Sch Biol &amp; Marine Sci, Plymouth, Devon, England; [De Steur, L.] Norwegian Polar Res Inst, Tromso, Norway; [McKay, R.] Victoria Univ Wellington, Antarctic Res Ctr, Wellington, New Zealand; [Kim, S.] Korea Polar Res Inst, Incheon, South Korea; [Lucchi, R. G.] Arctic Univ Norway, Ctr Arctic Gas Hydrate Environm &amp; Climate CAGE, UiT, Tromso, Norway</t>
  </si>
  <si>
    <t>Istituto Nazionale di Oceanografia e di Geofisica Sperimentale; Universita Ca Foscari Venezia; Consiglio Nazionale delle Ricerche (CNR); Istituto di Scienze Marine (ISMAR-CNR); University of Plymouth; Norwegian Polar Institute; Victoria University Wellington; Korea Polar Research Institute (KOPRI); UiT The Arctic University of Tromso</t>
  </si>
  <si>
    <t>Rebesco, M (corresponding author), Natl Inst Oceanog &amp; Appl Geophys OGS, Trieste, Italy.</t>
  </si>
  <si>
    <t>mrebesco@inogs.it</t>
  </si>
  <si>
    <t>Kim, Sookwan/JJD-3241-2023; Bensi, Manuel/AAV-2101-2020; Colleoni, Florence/JMQ-7847-2023; Kim, Sunghan/CAG-2289-2022; Rebesco, Michele/B-7462-2014; Bensi, Manuel/JXN-8991-2024</t>
  </si>
  <si>
    <t>Kim, Sookwan/0000-0001-9960-2295; Bensi, Manuel/0000-0002-0548-7351; Colleoni, Florence/0000-0003-4582-812X; Rebesco, Michele/0000-0002-9492-4081; Ursella, Laura/0000-0003-1714-1451; ACCETTELLA, Daniela/0000-0001-8886-6607; Gales, Jenny/0000-0003-4402-5800; Beny, Francois/0000-0002-2322-4299; McKay, Robert/0000-0002-5602-6985; Lucchi, Renata Giulia/0000-0001-5111-6968</t>
  </si>
  <si>
    <t>Italian National Antarctic Research Programme (PNRA) [PNRA16_00205 ODYSSEA, PNRA16_00016 WHISPERS, PNRA18_00002 ANTIPODE]; ANTSSS project of Eurofleets2 EU programme - European Union Seventh Framework Programme (FP7/2007-2013) [312762]; Royal Society Te Apa rangi NZ Marsden Fund [18-VUW-089]; MBIE Antarctic Science Platform contract [ANTA1801]; New Zealand Ministry of Business, Innovation &amp; Employment (MBIE) [ANTA1801] Funding Source: New Zealand Ministry of Business, Innovation &amp; Employment (MBIE)</t>
  </si>
  <si>
    <t>Italian National Antarctic Research Programme (PNRA); ANTSSS project of Eurofleets2 EU programme - European Union Seventh Framework Programme (FP7/2007-2013); Royal Society Te Apa rangi NZ Marsden Fund; MBIE Antarctic Science Platform contract(New Zealand Ministry of Business, Innovation and Employment (MBIE)); New Zealand Ministry of Business, Innovation &amp; Employment (MBIE)(New Zealand Ministry of Business, Innovation and Employment (MBIE))</t>
  </si>
  <si>
    <t>The authors are grateful to the support of the captain and crew of the R/V OGS Explora during the 2017 Antarctic expedition. This project used samples and/or data provided by the International Ocean Discov-ery Program (IODP) . We acknowledge that the Antarctic Seismic Data Library System (SDLS) allows free access to all existing MCS data in the study area. We used IHS Kingdom and Schlumberger Vista for seismic data processing and interpretation under the university grants program. Funding: this work was supported by the PNRA16_00205 ODYSSEA, PNRA16_00016 WHISPERS and the PNRA18_00002 ANTIPODE projects of the Italian National Antarctic Research Programme (PNRA) , and by the ANTSSS project of Eurofleets2 EU programme (The research leading to these results has received funding from the European Union Seventh Framework Programme (FP7/2007-2013) under grant agreement n? 312762, as well as the participation of OGS) . RM was funded by the Royal Society Te Apa rangi NZ Marsden Fund (Grant 18-VUW-089) and the MBIE Antarctic Science Platform contract ANTA1801. We thank the three anonymous reviewers for providing helpful comments that significantly improved our work.</t>
  </si>
  <si>
    <t>10.1016/j.dsr.2021.103606</t>
  </si>
  <si>
    <t>WB5JE</t>
  </si>
  <si>
    <t>WOS:000703607200003</t>
  </si>
  <si>
    <t>Harcourt, R; Hindell, MA; McMahon, CR; Goetz, KT; Charrassin, JB; Heerah, K; Holser, R; Jonsen, ID; Shero, MR; Hoenner, X; Foster, R; Lenting, B; Tarszisz, E; Pinkerton, MH</t>
  </si>
  <si>
    <t>Harcourt, Rob; Hindell, Mark A.; McMahon, Clive R.; Goetz, Kimberly T.; Charrassin, Jean-Benoit; Heerah, Karine; Holser, Rachel; Jonsen, Ian D.; Shero, Michelle R.; Hoenner, Xavier; Foster, Rose; Lenting, Baukje; Tarszisz, Esther; Pinkerton, Matthew Harry</t>
  </si>
  <si>
    <t>Regional Variation in Winter Foraging Strategies by Weddell Seals in Eastern Antarctica and the Ross Sea</t>
  </si>
  <si>
    <t>marine protected areas; Antarctica; marine ecosystems; bathymetry; ecosystem monitoring; Weddell seals</t>
  </si>
  <si>
    <t>LEPTONYCHOTES-WEDDELLII; EMPEROR PENGUINS; MARINE PREDATOR; DIVING BEHAVIOR; ECOLOGY; ICE; PERSONALITY; MOVEMENTS; TOOTHFISH; SEABIRD</t>
  </si>
  <si>
    <t>The relative importance of intrinsic and extrinsic determinants of animal foraging is often difficult to quantify. The most southerly breeding mammal, the Weddell seal, remains in the Antarctic pack-ice year-round. We compared Weddell seals tagged at three geographically and hydrographically distinct locations in East Antarctica (Prydz Bay, Terre Adelie, and the Ross Sea) to quantify the role of individual variability and habitat structure in winter foraging behaviour. Most Weddell seals remained in relatively small areas close to the coast throughout the winter, but some dispersed widely. Individual utilisation distributions (UDi, a measure of the total area used by an individual seal) ranged from 125 to 20,825 km(2). This variability was not due to size or sex but may be due to other intrinsic states for example reproductive condition or personality. The type of foraging (benthic vs. pelagic) varied from 56.6 +/- 14.9% benthic dives in Prydz Bay through 42.1 +/- 9.4% Terre Adelie to only 25.1 +/- 8.7% in the Ross Sea reflecting regional hydrographic structure. The probability of benthic diving was less likely the deeper the ocean. Ocean topography was also influential at the population level; seals from Terre Adelie, with its relatively narrow continental shelf, had a core (50%) UD of only 200 km(2), considerably smaller than the Ross Sea (1650 km(2)) and Prydz Bay (1700 km(2)). Sea ice concentration had little influence on the time the seals spent in shallow coastal waters, but in deeper offshore water they used areas of higher ice concentration. Marine Protected Areas (MPAs) in the Ross Sea encompass all the observed Weddell seal habitat, and future MPAs that include the Antarctic continental shelf are likely to effectively protect key Weddell seal habitat.</t>
  </si>
  <si>
    <t>[Harcourt, Rob; McMahon, Clive R.; Jonsen, Ian D.] Macquarie Univ, Dept Biol Sci, N Ryde, NSW, Australia; [Hindell, Mark A.; McMahon, Clive R.] Univ Tasmania, Inst Antarct &amp; Marine Studies, Hobart, Tas, Australia; [McMahon, Clive R.; Tarszisz, Esther] Sydney Inst Marine Sci, IMOS Anim Tagging, Mosman, NSW, Australia; [Goetz, Kimberly T.; Pinkerton, Matthew Harry] NIWA, Wellington, New Zealand; [Goetz, Kimberly T.] Natl Ocean &amp; Atmospher Adm, Alaska Fisheries Sci Ctr, Natl Marine Mammal Lab, Natl Marine Fisheries Serv, Seattle, WA USA; [Charrassin, Jean-Benoit; Heerah, Karine] Sorbonne Univ, CNRS, LOCEAN IPSL, IRD,MNHN, Paris, France; [Holser, Rachel] Univ Calif Santa Cruz, Inst Marine Sci, Santa Cruz, CA USA; [Shero, Michelle R.] Woods Hole Oceanog Inst, Woods Hole, MA USA; [Hoenner, Xavier] CSIRO Oceans &amp; Atmosphere, CSIRO, Hobart, Tas, Australia; [Foster, Rose] Univ Canterbury, Kura Aronukurangi, Gateway Antarct, Canterbury, New Zealand; [Lenting, Baukje] Wellington Zoo, Wellington, New Zealand</t>
  </si>
  <si>
    <t>Macquarie University; University of Tasmania; Sydney Institute of Marine Science; National Institute of Water &amp; Atmospheric Research (NIWA) - New Zealand; National Oceanic Atmospheric Admin (NOAA) - USA; Sorbonne Universite; Centre National de la Recherche Scientifique (CNRS); Museum National d'Histoire Naturelle (MNHN); Institut de Recherche pour le Developpement (IRD); University of California System; University of California Santa Cruz; Woods Hole Oceanographic Institution; Commonwealth Scientific &amp; Industrial Research Organisation (CSIRO); University of Canterbury</t>
  </si>
  <si>
    <t>McMahon, CR (corresponding author), Macquarie Univ, Dept Biol Sci, N Ryde, NSW, Australia.;McMahon, CR (corresponding author), Univ Tasmania, Inst Antarct &amp; Marine Studies, Hobart, Tas, Australia.;McMahon, CR (corresponding author), Sydney Inst Marine Sci, IMOS Anim Tagging, Mosman, NSW, Australia.</t>
  </si>
  <si>
    <t>McMahon, Clive R/D-5713-2013; Heerah, karine/F-5368-2013; Goetz, Kimberly/AID-8232-2022; Hindell, Mark A/K-1131-2013; Holser, Rachel Rose/AAU-3014-2020; Foster-Dyer, Rose/IUO-9561-2023; Hoenner, Xavier/N-7422-2014</t>
  </si>
  <si>
    <t>McMahon, Clive R/0000-0001-5241-8917; Holser, Rachel Rose/0000-0002-8668-3839; Hoenner, Xavier/0000-0001-5811-1166; Harcourt, Robert/0000-0003-4666-2934; Jonsen, Ian/0000-0001-5423-6076</t>
  </si>
  <si>
    <t>Ministry for Business, Innovation and Employment Endeavour Fund [C01-1710]; NZARI (NZ Antarctic Research Institute); Fisheries New Zealand; Regina Eisert; IMOS; Australian Antarctic Division through the Australian Antarctic Science Grant Scheme (AAS) [2794, 4329]; Program Terre-Ocean-Surface Continentale-Atmosphere from Centre National d'Etudes Spatiales (TOSCA-CNES)</t>
  </si>
  <si>
    <t>Ministry for Business, Innovation and Employment Endeavour Fund(New Zealand Ministry of Business, Innovation and Employment (MBIE)); NZARI (NZ Antarctic Research Institute); Fisheries New Zealand; Regina Eisert; IMOS; Australian Antarctic Division through the Australian Antarctic Science Grant Scheme (AAS); Program Terre-Ocean-Surface Continentale-Atmosphere from Centre National d'Etudes Spatiales (TOSCA-CNES)</t>
  </si>
  <si>
    <t>Field support was provided in the Ross Sea by Malcolm O'Toole, Rupert Woods, and Antarctica New Zealand and in Prydz Bay by Malcolm O'Toole, Andrew Doube, Iain Field, and the Australian Antarctic Division. The tagging study in Terre Adelie had logistical support from IPEV (Institut Paul Emile Victor) and the French Polar Institute. New Zealand funding was provided by the Ministry for Business, Innovation and Employment Endeavour Fund C01 ~ 1710: RAMPing-up protection of the Ross Sea. The 2014 field event was funded by NZARI (NZ Antarctic Research Institute) and Fisheries New Zealand (respectively), with Regina Eisert as CI, and tags and some field personnel funded by IMOS. The IMOS deployments in Prydz Bay were supported logistically by the Australian Antarctic Division through the Australian Antarctic Science Grant Scheme (AAS Projects 2794 &amp; 4329). The tagging study in Terre Adelie was supported by the Program Terre-Ocean-Surface Continentale-Atmosphere from Centre National d'Etudes Spatiales (TOSCA-CNES). The ARGOS seal tracking and dive data were sourced and are available from the Integrated Marine Observing System (IMOS), NIWA, and LOCEAN. IMOS is a national collaborative research infrastructure, supported by the Australian Government. It is operated by a consortium of institutions as an unincorporated joint venture, with the University of Tasmania as lead agent.</t>
  </si>
  <si>
    <t>SEP 22</t>
  </si>
  <si>
    <t>10.3389/fmars.2021.720335</t>
  </si>
  <si>
    <t>WC2VD</t>
  </si>
  <si>
    <t>WOS:000704118500001</t>
  </si>
  <si>
    <t>De Leij, R; Peck, LS; Grange, LJ</t>
  </si>
  <si>
    <t>De Leij, Rebecca; Peck, Lloyd S.; Grange, Laura J.</t>
  </si>
  <si>
    <t>Multiyear trend in reproduction underpins interannual variation in gametogenic development of an Antarctic urchin</t>
  </si>
  <si>
    <t>SEA-URCHIN; TEMPERATURE; ECOLOGY; ENSO; VARIABILITY; INDEXES; OSCILLATION; PARAMETERS; REGRESSION; PENINSULA</t>
  </si>
  <si>
    <t>Ecosystems and their biota operate on cyclic rhythms, often entrained by predictable, small-scale changes in their natural environment. Recording and understanding these rhythms can detangle the effect of human induced shifts in the climate state from natural fluctuations. In this study, we assess long-term patterns of reproductive investment in the Antarctic sea urchin, Sterechinus neumayeri, in relation to changes in the environment to identify drivers of reproductive processes. Polar marine biota are sensitive to small changes in their environment and so serve as a barometer whose responses likely mirror effects that will be seen on a wider global scale in future climate change scenarios. Our results indicate that seasonal reproductive periodicity in the urchin is underpinned by a multiyear trend in reproductive investment beyond and in addition to, the previously reported 18-24 month gametogenic cycle. Our model provides evidence that annual reproductive investment could be regulated by an endogenous rhythm since environmental factors only accounted for a small proportion of the residual variation in gonad index. This research highlights a need for multiyear datasets and the combination of biological time series data with large-scale climate metrics that encapsulate multi-factorial climate state shifts, rather than using single explanatory variables to inform changes in biological processes.</t>
  </si>
  <si>
    <t>[De Leij, Rebecca] Univ Southampton, Waterfront Campus,European Way, Southampton SO14 3ZH, Hants, England; [De Leij, Rebecca; Peck, Lloyd S.] British Antarctic Survey, Madingley Rd, Cambridge CB3 0ET, England; [Grange, Laura J.] Bangor Univ, Sch Ocean Sci, Bangor LL57 2DG, Gwynedd, Wales</t>
  </si>
  <si>
    <t>University of Southampton; UK Research &amp; Innovation (UKRI); Natural Environment Research Council (NERC); NERC British Antarctic Survey; Bangor University</t>
  </si>
  <si>
    <t>De Leij, R (corresponding author), Univ Southampton, Waterfront Campus,European Way, Southampton SO14 3ZH, Hants, England.;De Leij, R (corresponding author), British Antarctic Survey, Madingley Rd, Cambridge CB3 0ET, England.</t>
  </si>
  <si>
    <t>ridl1n17@soton.ac.uk</t>
  </si>
  <si>
    <t>Natural Environment Research Council [NE/L002531/1]</t>
  </si>
  <si>
    <t>Natural Environment Research Council(UK Research &amp; Innovation (UKRI)Natural Environment Research Council (NERC))</t>
  </si>
  <si>
    <t>Funding was provided by Natural Environment Research Council (Grant No. NE/L002531/1).</t>
  </si>
  <si>
    <t>10.1038/s41598-021-98444-4</t>
  </si>
  <si>
    <t>UW6XJ</t>
  </si>
  <si>
    <t>WOS:000700297100021</t>
  </si>
  <si>
    <t>Srivastava, AK; Rohil, V; Bhushan, B; Eslavath, MR; Gupta, H; Chanda, S; Kumar, B; Varshney, R; Ganju, L</t>
  </si>
  <si>
    <t>Srivastava, Ashish Kumar; Rohil, Vishwajeet; Bhushan, Brij; Eslavath, Malleswara Rao; Gupta, Harshita; Chanda, Sudipta; Kumar, Bhuvnesh; Varshney, Rajeev; Ganju, Lilly</t>
  </si>
  <si>
    <t>Probiotics maintain the gut microbiome homeostasis during Indian Antarctic expedition by ship</t>
  </si>
  <si>
    <t>SACCHAROMYCES-BOULARDII; STRESS; MECHANISMS; BACTERIA; HEALTH; MODEL; HOST</t>
  </si>
  <si>
    <t>Ship voyage to Antarctica is a stressful journey for expedition members. The response of human gut microbiota to ship voyage and a feasible approach to maintain gut health, is still unexplored. The present findings describe a 24-day long longitudinal study involving 19 members from 38th Indian Antarctic Expedition, to investigate the impact of ship voyage and effect of probiotic intervention on gut microbiota. Fecal samples collected on day 0 as baseline and at the end of ship voyage (day 24), were analyzed using whole genome shotgun sequencing. Probiotic intervention reduced the sea sickness by 10% compared to 44% in placebo group. The gut microbiome in placebo group members on day 0 and day 24, indicated significant alteration compared to a marginal change in the microbial composition in probiotic group. Functional analysis revealed significant alterations in carbohydrate and amino acid metabolism. Carbohydrate-active enzymes analysis represented functional genes involved in glycoside hydrolases, glycosyltransferases and carbohydrate binding modules, for maintaining gut microbiome homeostasis. Suggesting thereby the possible mechanism of probiotic in stabilizing and restoring gut microflora during stressful ship journey. The present study is first of its kind, providing a feasible approach for protecting gut health during Antarctic expedition involving ship voyage.</t>
  </si>
  <si>
    <t>[Srivastava, Ashish Kumar; Bhushan, Brij; Eslavath, Malleswara Rao; Gupta, Harshita; Chanda, Sudipta; Kumar, Bhuvnesh; Varshney, Rajeev; Ganju, Lilly] Def Res &amp; Dev Org DRDO, Def Inst Physiol &amp; Allied Sci DIPAS, Lucknow Rd, New Delhi 110054, India; [Rohil, Vishwajeet] Univ Delhi, Vallabhbhai Patel Chest Inst, Dept Biochem, Delhi 110007, India</t>
  </si>
  <si>
    <t>Defence Research &amp; Development Organisation (DRDO); Defence Institute of Physiology &amp; Allied Sciences (DIPAS); University of Delhi</t>
  </si>
  <si>
    <t>Ganju, L (corresponding author), Def Res &amp; Dev Org DRDO, Def Inst Physiol &amp; Allied Sci DIPAS, Lucknow Rd, New Delhi 110054, India.</t>
  </si>
  <si>
    <t>Bhushan, Brij/GNP-7700-2022</t>
  </si>
  <si>
    <t>Bhushan, Brij/0000-0003-4036-5816; SRIVASTAVA, ASHISH KUMAR/0000-0002-4541-8254; Rohil, Dr. Vishwajeet/0000-0002-1400-0744</t>
  </si>
  <si>
    <t>University Grants Commission (UGC)</t>
  </si>
  <si>
    <t>University Grants Commission (UGC)(University Grants Commission, India)</t>
  </si>
  <si>
    <t>The authors express their sincere thanks to the members of 38th Indian Scientific Expedition to Antarctica who participated voluntarily and authorized their fecal samples to be used for this study. The authors are thankful to National Centre for Polar and Ocean Research (NCPOR), India, for providing the logistics support during the expedition. Ashish Kumar Srivastava would like to recognize University Grants Commission (UGC) for the research fellowship. NXGenBio is highly acknowledged for providing sequencing facility, library preparation and support in data analysis.</t>
  </si>
  <si>
    <t>10.1038/s41598-021-97890-4</t>
  </si>
  <si>
    <t>WOS:000700297100039</t>
  </si>
  <si>
    <t>Donoghue, S; Turner, PAM</t>
  </si>
  <si>
    <t>Donoghue, Shavawn; Turner, Perpetua A. M.</t>
  </si>
  <si>
    <t>A review of Australian tree fern ecology in forest communities</t>
  </si>
  <si>
    <t>AUSTRAL ECOLOGY</t>
  </si>
  <si>
    <t>disturbance; management; fire; silviculture; horticulture</t>
  </si>
  <si>
    <t>DICKSONIA-ANTARCTICA DICKSONIACEAE; SOUTH-EASTERN AUSTRALIA; CENTRAL NORTH-ISLAND; VASCULAR EPIPHYTES; CENTRAL HIGHLANDS; CYATHEA-COOPERI; WALLABY CREEK; RAIN-FOREST; NEW-ZEALAND; PATTERNS</t>
  </si>
  <si>
    <t>Australian forest ecosystems cover almost 16% of Australia's landmass. As the seventh-largest forested area worldwide, these forest ecosystems have largely evolved in the face of a changing climate and fire regime, drought and human land use practice. Australian tree ferns contribute to both the unique biodiversity of these forests and current forest product markets. We review the Australian tree fern literature including: the importance of tree ferns for other components of biodiversity; their response to disturbance such as fire and silviculture; and the management of tree ferns as a product for the horticultural market. Most studies focused on tree fern response to wildfire and clearfell burn and sow logging following management and horticultural industry changes. Survival and recruitment of tree ferns after a single fire/logging disturbance event found short-lived negative impacts. Studies of tree ferns over time include research on growth, with non-linear growth models found to best describe tree fern age; Cyathea australia grows 2.2 - 4.0 times faster than Dicksonia antarctica on average. Tree ferns perform a keystone function through habitat for epiphytes at the local scale, but it is unknown if this has an impact on biodiversity at the landscape scale. Our review found few studies on survival and recruitment following drought; multiple disturbance events such as repeated logging; and silvicultural techniques other than clearfell burn and sow. No studies had investigated the response of tree ferns to changing climate, invasive species, changes in fire frequency or effect of megafire. We conclude with recommendations for key areas of research including, future impacts due to changing climate, synecology, influence on forests, the impact of silvicultural techniques and the influence of megafires on survival.</t>
  </si>
  <si>
    <t>[Donoghue, Shavawn; Turner, Perpetua A. M.] Forest Practices Author, 30 Patrick St, Hobart, Tas 7000, Australia; [Donoghue, Shavawn] Univ Tasmania, Inst Marine &amp; Antarctic Studies, Hobart, Tas, Australia; [Turner, Perpetua A. M.] Univ Tasmania, Sch Nat Sci, Hobart, Tas, Australia; [Turner, Perpetua A. M.] Univ Tasmania, ARC Training Ctr Forest Value, Hobart, Tas, Australia</t>
  </si>
  <si>
    <t>Turner, PAM (corresponding author), Forest Practices Author, 30 Patrick St, Hobart, Tas 7000, Australia.;Turner, PAM (corresponding author), Univ Tasmania, Sch Nat Sci, Hobart, Tas, Australia.;Turner, PAM (corresponding author), Univ Tasmania, ARC Training Ctr Forest Value, Hobart, Tas, Australia.</t>
  </si>
  <si>
    <t>perpetua.turner@utas.edu.au</t>
  </si>
  <si>
    <t>Turner, Perpetua/ABH-2711-2021</t>
  </si>
  <si>
    <t>Turner, Perpetua/0000-0002-3757-3633</t>
  </si>
  <si>
    <t>1442-9985</t>
  </si>
  <si>
    <t>1442-9993</t>
  </si>
  <si>
    <t>AUSTRAL ECOL</t>
  </si>
  <si>
    <t>Austral Ecol.</t>
  </si>
  <si>
    <t>10.1111/aec.13103</t>
  </si>
  <si>
    <t>ZP9MG</t>
  </si>
  <si>
    <t>WOS:000697861900001</t>
  </si>
  <si>
    <t>Youngflesh, C; Li, Y; Lynch, HJ; Delord, K; Barbraud, C; Ji, RB; Jenouvrier, S</t>
  </si>
  <si>
    <t>Youngflesh, Casey; Li, Yun; Lynch, Heather J.; Delord, Karine; Barbraud, Christophe; Ji, Rubao; Jenouvrier, Stephanie</t>
  </si>
  <si>
    <t>Lack of synchronized breeding success in a seabird community: extreme events, niche separation, and environmental variability</t>
  </si>
  <si>
    <t>Antarctica; environmental indicators; extreme events; global change; niche separation; synchrony</t>
  </si>
  <si>
    <t>SPATIAL SYNCHRONY; INDIVIDUAL HETEROGENEITY; INTERSPECIFIC SYNCHRONY; REPRODUCTIVE SUCCESS; POPULATION-DYNAMICS; CLIMATE EVENTS; LIFE-HISTORY; BIODIVERSITY; INDICATORS; STABILITY</t>
  </si>
  <si>
    <t>Synchrony in ecological systems, the degree to which elements respond similarly over time or space, can inform our understanding of how ecosystems function and how they are responding to global change. While studies of ecological synchrony are often focused on within-species dynamics, synchrony among species may provide important insights into how dynamics of one species are indicative of conditions relevant to the larger community, with both basic and applied implications. Ecological theory suggests there may be conditions under which communities might exhibit increased synchrony, however, the degree to which these patterns are borne out in natural systems is currently unknown. We used long-term breeding success data from a community of Antarctic seabirds to assess the degree of interspecific, community synchrony, and the role that extreme events play in driving these dynamics. We assessed theoretical links between community synchrony, niche separation, and environmental variability using data from this and three other seabird communities as well as a simulation study. Results show that reproductive success for individual species in the Antarctic seabird community fluctuated relatively independently from one another, resulting in little synchrony across this community, outside of extreme years. While an exceptionally poor year for a given species was not necessarily associated with an exceptionally poor year for any other species, one community-wide extreme year existed. When compared to other seabird communities, this group of Antarctic seabirds exhibited lower overall synchrony and higher estimated niche separation, supporting theoretical predictions. Empirical and simulation-derived results suggest that communities where temporal variation is small for conditions in which species respond substantially differently, and large for conditions in which species respond similarly, may exhibit more synchronous dynamics. Identifying where and why synchronous dynamics might be more apparent has the potential to inform how ecological communities might respond to future global change.</t>
  </si>
  <si>
    <t>[Youngflesh, Casey] Univ Calif Los Angeles, Dept Ecol &amp; Evolutionary Biol, Los Angeles, CA 90095 USA; [Li, Yun] Univ Delaware, Sch Marine Sci &amp; Policy, Lewes, DE 19958 USA; [Lynch, Heather J.] SUNY Stony Brook, Inst Adv Computat Sci, Stony Brook, NY 11794 USA; [Lynch, Heather J.] SUNY Stony Brook, Dept Ecol &amp; Evolut, Stony Brook, NY 11794 USA; [Delord, Karine; Barbraud, Christophe] La Rochelle Univ, Ctr Etud Biol Chize, CNRS, UMR 7372, Villiers En Bois, France; [Ji, Rubao; Jenouvrier, Stephanie] Woods Hole Oceanog Inst, Dept Biol, Woods Hole, MA 02543 USA</t>
  </si>
  <si>
    <t>University of California System; University of California Los Angeles; University of Delaware; State University of New York (SUNY) System; State University of New York (SUNY) Stony Brook; State University of New York (SUNY) System; State University of New York (SUNY) Stony Brook; Centre National de la Recherche Scientifique (CNRS); CNRS - Institute of Ecology &amp; Environment (INEE); Woods Hole Oceanographic Institution</t>
  </si>
  <si>
    <t>Youngflesh, C (corresponding author), Univ Calif Los Angeles, Dept Ecol &amp; Evolutionary Biol, Los Angeles, CA 90095 USA.</t>
  </si>
  <si>
    <t>cyoungflesh@ucla.edu</t>
  </si>
  <si>
    <t>Ji, Rubao/I-1970-2015; Li, Yun/F-5944-2015; Barbraud, Christophe/A-5870-2012</t>
  </si>
  <si>
    <t>Barbraud, Christophe/0000-0003-0146-212X; Li, Yun/0000-0002-4766-4723; Youngflesh, Casey/0000-0001-6343-3311</t>
  </si>
  <si>
    <t>NASA [NNX14AH74G, NNX16AO27H]; US National Science Foundation [PLR-1341558]; NASA [NNX16AO27H, 683299, NNX14AH74G, 898670] Funding Source: Federal RePORTER</t>
  </si>
  <si>
    <t>NASA(National Aeronautics &amp; Space Administration (NASA)); US National Science Foundation(National Science Foundation (NSF)); NASA(National Aeronautics &amp; Space Administration (NASA))</t>
  </si>
  <si>
    <t>This research was funded by NASA (grants NNX14AH74G and NNX16AO27H) and the US National Science Foundation (grant PLR-1341558). Support for data collection was provided by Expeditions Polaires Francaises, the Institut Polaire Francais Paul Emile Victor, Terres Australes et Antarctiques Francaises, and Zone Atelier Antarctique (LTSER FRANCE, CNRS-INEE).</t>
  </si>
  <si>
    <t>10.1111/oik.08426</t>
  </si>
  <si>
    <t>WOS:000697633700001</t>
  </si>
  <si>
    <t>Kuttippurath, J; Feng, WH; Müller, R; Kumar, P; Raj, S; Gopikrishnan, GP; Roy, R</t>
  </si>
  <si>
    <t>Kuttippurath, Jayanarayanan; Feng, Wuhu; Mueller, Rolf; Kumar, Pankaj; Raj, Sarath; Gopikrishnan, Gopalakrishna Pillai; Roy, Raina</t>
  </si>
  <si>
    <t>Exceptional loss in ozone in the Arctic winter/spring of 2019/2020</t>
  </si>
  <si>
    <t>POLAR VORTEX; CHLORINE ACTIVATION; MINI-HOLES; WINTER; DEPLETION; TEMPERATURE; MODEL; STRATOSPHERE; CLIMATOLOGY; VARIABILITY</t>
  </si>
  <si>
    <t>Severe vortex-wide ozone loss in the Arctic would expose both ecosystems and several millions of people to unhealthy ultraviolet radiation. Adding to these worries, and extreme events as the harbingers of climate change, exceptionally low ozone with column values below 220DU occurred over the Arctic in March and April 2020. Sporadic occurrences of low ozone with less than 220DU at different regions of the vortex for almost 3 weeks were found for the first time in the observed history in the Arctic. Furthermore, a large ozone loss of about 2.0-3.4 ppmv triggered by an unprecedented chlorine activation (1.5-2.2 ppbv) matching the levels occurring in the Antarctic was also observed. The polar processing situation led to the first-ever appearance of loss saturation in the Arctic. Apart from these, there were also ozone-mini holes in December 2019 and January 2020 driven by atmospheric dynamics. The large loss in ozone in the colder Arctic winters is intriguing and demands rigorous monitoring of the region.</t>
  </si>
  <si>
    <t>[Kuttippurath, Jayanarayanan; Kumar, Pankaj; Raj, Sarath; Gopikrishnan, Gopalakrishna Pillai] Indian Inst Technol Kharagpur, Coral, Kharagpur 721302, W Bengal, India; [Feng, Wuhu] Univ Leeds, Natl Ctr Atmospher Sci, Leeds LS2 9PH, W Yorkshire, England; [Feng, Wuhu] Univ Leeds, Sch Earth &amp; Environm, Leeds LS2 9JT, W Yorkshire, England; [Mueller, Rolf] Forschungszentrum Julich GmbH IEK 7, D-52425 Julich, Germany; [Roy, Raina] Cochin Univ Sci &amp; Technol, Dept Phys Oceanog, Kochi, Kerala, India</t>
  </si>
  <si>
    <t>Indian Institute of Technology System (IIT System); Indian Institute of Technology (IIT) - Kharagpur; UK Research &amp; Innovation (UKRI); Natural Environment Research Council (NERC); NERC National Centre for Atmospheric Science; University of Leeds; University of Leeds; Cochin University Science &amp; Technology</t>
  </si>
  <si>
    <t>Kuttippurath, J (corresponding author), Indian Inst Technol Kharagpur, Coral, Kharagpur 721302, W Bengal, India.</t>
  </si>
  <si>
    <t>jayan@coral.iitkgp.ac.in</t>
  </si>
  <si>
    <t>Müller, Rolf/ABA-8213-2021; Raj, Sarath/AGO-2301-2022; Raj, Sarath/GQZ-0671-2022; Gopikrishnan, G S/GOV-5022-2022; Kuttippurath, Jayanarayanan/M-2878-2019; Roy, Raina/IZE-4926-2023</t>
  </si>
  <si>
    <t>Müller, Rolf/0000-0002-5024-9977; Gopikrishnan, G S/0000-0002-8120-0391; Kuttippurath, Jayanarayanan/0000-0003-4073-8918; Feng, Wuhu/0000-0002-9907-9120; Raj, Sarath/0000-0001-9352-5356</t>
  </si>
  <si>
    <t>MHRD; IIT KGP; DRDO OEP</t>
  </si>
  <si>
    <t>We thank the head of CORAL and the Director of the Indian Institute of Technology Kharagpur (IIT KGP), the Ministry of Human Resource Development (MHRD), and the Naval Research Board (OEP) of Defense Research and Development Organisation for facilitating the study. Pankaj Kumar acknowledges the support from MHRD and IIT KGP. Gopalakrishna Pillai Gopikrishnan, Sarath Raj, and Jayanarayanan Kuttippurath acknowledge funding from DRDO OEP. We thank the data managers and the scientists who worked hard to make available the MLS, OMPS, OMI, MERRA, ER5, ozonesonde, GOME, and all other data for this study. We also thank the HYSPLIT model developers for the trajectory analyses. The authors thank Paul Newman, Larry Flynn, Lucien Froidevaux, Jonathan Davies, Peter von der Gathen, and Martyn Chipperfield for their help and support in making this article happen. The authors thank Martyn Chipperfield for his suggestions and comments on the paper. The SLIMCAT forced by ERA5 simulation was performed on the University of Leeds ARC4 HPC system.</t>
  </si>
  <si>
    <t>SEP 21</t>
  </si>
  <si>
    <t>10.5194/acp-21-14019-2021</t>
  </si>
  <si>
    <t>US7JR</t>
  </si>
  <si>
    <t>WOS:000697603300005</t>
  </si>
  <si>
    <t>Mozzicafreddo, M; Pucciarelli, S; Swart, EC; Piersanti, A; Emmerich, C; Migliorelli, G; Ballarini, P; Miceli, C</t>
  </si>
  <si>
    <t>Mozzicafreddo, Matteo; Pucciarelli, Sandra; Swart, Estienne C.; Piersanti, Angela; Emmerich, Christiane; Migliorelli, Giovanna; Ballarini, Patrizia; Miceli, Cristina</t>
  </si>
  <si>
    <t>The macronuclear genome of the Antarctic psychrophilic marine ciliate Euplotes focardii reveals new insights on molecular cold adaptation</t>
  </si>
  <si>
    <t>ZINC SUPEROXIDE-DISMUTASE; HEAT-SHOCK RESPONSE; TETRAHYMENA-THERMOPHILA; THERMAL-ADAPTATION; TELOMERE ADDITION; OXIDATIVE STRESS; GENE-EXPRESSION; BETA-TUBULINS; GAMMA-TUBULIN; ALPHA-TUBULIN</t>
  </si>
  <si>
    <t>The macronuclear (MAC) genomes of ciliates belonging to the genus Euplotes species are comprised of numerous small DNA molecules, nanochromosomes, each typically encoding a single gene. These genomes are responsible for all gene expression during vegetative cell growth. Here, we report the analysis of the MAC genome from the Antarctic psychrophile Euplotes focardii. Nanochromosomes containing bacterial sequences were not found, suggesting that phenomena of horizontal gene transfer did not occur recently, even though this ciliate species has a substantial associated bacterial consortium. As in other euplotid species, E. focardii MAC genes are characterized by a high frequency of translational frameshifting. Furthermore, in order to characterize differences that may be consequent to cold adaptation and defense to oxidative stress, the main constraints of the Antarctic marine microorganisms, we compared E. focardii MAC genome with those available from mesophilic Euplotes species. We focussed mainly on the comparison of tubulin, antioxidant enzymes and heat shock protein (HSP) 70 families, molecules which possess peculiar characteristic correlated with cold adaptation in E. focardii. We found that alpha-tubulin genes and those encoding SODs and CATs antioxidant enzymes are more numerous than in the mesophilic Euplotes species. Furthermore, the phylogenetic trees showed that these molecules are divergent in the Antarctic species. In contrast, there are fewer hsp70 genes in E. focardii compared to mesophilic Euplotes and these genes do not respond to thermal stress but only to oxidative stress. Our results suggest that molecular adaptation to cold and oxidative stress in the Antarctic environment may not only be due to particular amino acid substitutions but also due to duplication and divergence of paralogous genes.</t>
  </si>
  <si>
    <t>[Mozzicafreddo, Matteo; Pucciarelli, Sandra; Piersanti, Angela; Migliorelli, Giovanna; Ballarini, Patrizia; Miceli, Cristina] Univ Camerino, Sch Biosci &amp; Vet Med, I-62032 Camerino, MC, Italy; [Swart, Estienne C.; Emmerich, Christiane] Max Planck Inst Dev Biol, Tubingen, Germany</t>
  </si>
  <si>
    <t>University of Camerino; Max Planck Society</t>
  </si>
  <si>
    <t>Mozzicafreddo, M (corresponding author), Univ Camerino, Sch Biosci &amp; Vet Med, I-62032 Camerino, MC, Italy.</t>
  </si>
  <si>
    <t>matteo.mozzicafreddo@unicam.it</t>
  </si>
  <si>
    <t>Mozzicafreddo, M./AAW-2816-2021</t>
  </si>
  <si>
    <t>Mozzicafreddo, M./0000-0001-9835-8446; Piersanti, Angela/0000-0003-2231-8936</t>
  </si>
  <si>
    <t>Gordon and Betty Moore Foundation [4961]; University of Camerino [FAR-JAU BVI000082, PNRA18_00133]</t>
  </si>
  <si>
    <t>Gordon and Betty Moore Foundation(Gordon and Betty Moore Foundation); University of Camerino</t>
  </si>
  <si>
    <t>We would like to thank Dr. Alexey V. Lobanov and Prof. Vadim N. Gladyshev of the Harvard Medical School of Boston, and Prof. Mariusz Nowacki of the Institute of Cell Biology of University of Bern for the providing some of the E. focardii and E. crassus data, respectively. We also thank the Gordon and Betty Moore Foundation for the grant to C.M. in the framework of the Marine Microbiology Initiative Genetic manipulation of Ciliates (Grant Number 4961) and the University of Camerino for grants FAR-JAU BVI000082 to M.M. and PNRA18_00133 to C.M.</t>
  </si>
  <si>
    <t>10.1038/s41598-021-98168-5</t>
  </si>
  <si>
    <t>UT0CQ</t>
  </si>
  <si>
    <t>WOS:000697793400028</t>
  </si>
  <si>
    <t>Trebilco, R; Fleming, A; Hobday, AJ; Melbourne-Thomas, J; Meyer, A; McDonald, J; McCormack, PC; Anderson, K; Bax, N; Corney, SP; Dutra, LXC; Fogarty, HE; McGee, J; Mustonen, K; Mustonen, T; Norris, KA; Ogier, E; Constable, AJ; Pecl, GT</t>
  </si>
  <si>
    <t>Trebilco, Rowan; Fleming, Aysha; Hobday, Alistair J.; Melbourne-Thomas, Jess; Meyer, Amelie; McDonald, Jan; McCormack, Phillipa C.; Anderson, Kelli; Bax, Narissa; Corney, Stuart P.; Dutra, Leo X. C.; Fogarty, Hannah E.; McGee, Jeffrey; Mustonen, Kaisu; Mustonen, Tero; Norris, Kimberley A.; Ogier, Emily; Constable, Andrew J.; Pecl, Gretta T.</t>
  </si>
  <si>
    <t>Warming world, changing ocean: mitigation and adaptation to support resilient marine systems</t>
  </si>
  <si>
    <t>REVIEWS IN FISH BIOLOGY AND FISHERIES</t>
  </si>
  <si>
    <t>Blue growth; Global change; Transdisciplinary; Decade of the ocean; UN sustainable development goals</t>
  </si>
  <si>
    <t>DISASTER VICTIMS SPEAK; CLIMATE-CHANGE; COASTAL; MANAGEMENT; SCIENCE; GOVERNANCE; STRATEGIES; FISHERIES; IMPACTS; FUTURE</t>
  </si>
  <si>
    <t>Proactive and coordinated action to mitigate and adapt to climate change will be essential for achieving the healthy, resilient, safe, sustainably harvested and biodiverse ocean that the UN Decade of Ocean Science and sustainable development goals (SDGs) seek. Ocean-based mitigation actions could contribute 12% of the emissions reductions required by 2030 to keep warming to less than 1.5 oC but, because substantial warming is already locked in, extensive adaptation action is also needed. Here, as part of the Future Seas project, we use a foresighting/hindcasting technique to describe two scenarios for 2030 in the context of climate change mitigation and adaptation for ocean systems. The business-as-usual future is expected if current trends continue, while an alternative future could be realised if society were to effectively use available data and knowledge to push as far as possible towards achieving the UN SDGs. We identify three drivers that differentiate between these alternative futures: (i) appetite for climate action, (ii) handling extreme events, and (iii) climate interventions. Actions that could navigate towards the optimistic, sustainable and technically achievable future include: proactive creation and enhancement of economic incentives for mitigation and adaptation; supporting the proliferation of local initiatives to spur a global transformation; enhancing proactive coastal adaptation management; investing in research to support adaptation to emerging risks; deploying marine-based renewable energy; deploying marine-based negative emissions technologies; developing and assessing solar radiation management approaches; and deploying appropriate solar radiation management approaches to help safeguard critical ecosystems.</t>
  </si>
  <si>
    <t>[Trebilco, Rowan; Hobday, Alistair J.; Melbourne-Thomas, Jess] CSIRO Oceans &amp; Atmosphere, Hobart, Tas, Australia; [Trebilco, Rowan; Fleming, Aysha; Hobday, Alistair J.; Melbourne-Thomas, Jess; McDonald, Jan; McCormack, Phillipa C.; Bax, Narissa; Corney, Stuart P.; Dutra, Leo X. C.; Fogarty, Hannah E.; McGee, Jeffrey; Ogier, Emily; Constable, Andrew J.; Pecl, Gretta T.] Univ Tasmania, Ctr Marine Socioecol, Hobart, Tas, Australia; [Fleming, Aysha] CSIRO Land &amp; Water, Hobart, Tas, Australia; [Meyer, Amelie; Anderson, Kelli; Bax, Narissa; Corney, Stuart P.; Fogarty, Hannah E.; McGee, Jeffrey; Ogier, Emily; Pecl, Gretta T.] Univ Tasmania, Inst Marine &amp; Antarctic Studies, Hobart, Tas, Australia; [Meyer, Amelie] ARC Ctr Excellence Climate Extremes, Hobart, Tas, Australia; [McDonald, Jan; McCormack, Phillipa C.; McGee, Jeffrey] Univ Tasmania, Fac Law, Hobart, Tas, Australia; [Dutra, Leo X. C.] CSIRO Oceans &amp; Atmosphere, Brisbane, Qld, Australia; [Mustonen, Kaisu; Mustonen, Tero] Snowchange Cooperat, FIN-81235 Selkie, Finland; [Norris, Kimberley A.] Univ Tasmania, Sch Psychol Sci, Hobart, Tas, Australia</t>
  </si>
  <si>
    <t>Commonwealth Scientific &amp; Industrial Research Organisation (CSIRO); University of Tasmania; Commonwealth Scientific &amp; Industrial Research Organisation (CSIRO); University of Tasmania; University of Tasmania; Commonwealth Scientific &amp; Industrial Research Organisation (CSIRO); University of Tasmania</t>
  </si>
  <si>
    <t>Trebilco, R (corresponding author), CSIRO Oceans &amp; Atmosphere, Hobart, Tas, Australia.</t>
  </si>
  <si>
    <t>rowan.trebilco@csiro.au</t>
  </si>
  <si>
    <t>Melbourne-Thomas, Jess/N-2437-2019; Norris, Kimberley/J-7260-2014; McCormack, Phillipa/GYA-3008-2022; Dutra, Leo/R-6256-2019; Fleming, Aysha/E-8753-2011; McGee, Jeffrey s/K-7322-2015; Trebilco, Rowan/I-5311-2012; Pecl, Gretta/D-7267-2011; McDonald, Jan/J-7204-2014; Hobday, Alistair/A-1460-2012; McCormack, Phillipa C/N-3668-2017</t>
  </si>
  <si>
    <t>Melbourne-Thomas, Jess/0000-0001-6585-876X; Fleming, Aysha/0000-0001-9895-1928; Trebilco, Rowan/0000-0001-9712-8016; Pecl, Gretta/0000-0003-0192-4339; Dutra, Leo/0000-0002-5781-3956; Anderson, Kelli/0000-0001-7749-4641; McDonald, Jan/0000-0002-7953-1458; Hobday, Alistair/0000-0002-3194-8326; Ogier, Emily/0000-0001-6157-5279; Meyer, Amelie/0000-0003-0447-795X; McCormack, Phillipa C/0000-0001-6751-8291; Corney, Stuart/0000-0002-8293-0863</t>
  </si>
  <si>
    <t>Centre for Marine Socioecology, IMAS, MENZIES; College of Arts, Law and Education; College of Science and Engineering at UTAS; Research Enhancement Program grant from the DVCR Office at UTAS; Snowchange from Finland</t>
  </si>
  <si>
    <t>Funding for Future Seas was provided by the Centre for Marine Socioecology, IMAS, MENZIES and the College of Arts, Law and Education, and the College of Science and Engineering at UTAS, and Snowchange from Finland. We acknowledge support from a Research Enhancement Program grant from the DVCR Office at UTAS.</t>
  </si>
  <si>
    <t>0960-3166</t>
  </si>
  <si>
    <t>1573-5184</t>
  </si>
  <si>
    <t>REV FISH BIOL FISHER</t>
  </si>
  <si>
    <t>Rev. Fish. Biol. Fish.</t>
  </si>
  <si>
    <t>10.1007/s11160-021-09678-4</t>
  </si>
  <si>
    <t>ZU7BD</t>
  </si>
  <si>
    <t>Bronze, Green Submitted, Green Published</t>
  </si>
  <si>
    <t>WOS:000697619100001</t>
  </si>
  <si>
    <t>Jiang, SY; Hu, HB; Perrie, W; Zhang, N; Bai, HK; Zhao, YH</t>
  </si>
  <si>
    <t>Jiang, Shunyu; Hu, HaiBo; Perrie, William; Zhang, Ning; Bai, Haokun; Zhao, Yihang</t>
  </si>
  <si>
    <t>Different climatic effects of the Arctic and Antarctic ice covers on land surface temperature in the Northern Hemisphere: application of Liang-Kleeman information flow method and CAM4.0</t>
  </si>
  <si>
    <t>The Liang-Kleeman information flow; Cross-equatorial climate effect; Atmospheric wave-activity flux; Configuration of ice cover and jet stream</t>
  </si>
  <si>
    <t>WAVE-ACTIVITY FLUX; COMMUNITY ATMOSPHERE MODEL; SEA-ICE; INTERANNUAL VARIABILITY; WINTER; OSCILLATION; CIRCULATION; TRENDS; IMPACT; ENSO</t>
  </si>
  <si>
    <t>Ice covers in high latitudes play important role in the global atmospheric circulation and abnormal temperature distribution. The different inter-annual variabilities of the Arctic and Antarctic ice covers have been revealed, but their respective climate effects are not clear. The Liang-Kleeman information flow method is used to reveal the causal relationships from the sea ice to the surface air temperature. The results point out that the Arctic and Antarctic sea ice both have significant impacts on the global air temperature. Especially in East Asia and North America, the inter-annual variation of ice cover in the Antarctic has an even stronger impact than that of the Arctic. This causality is further proved by the General Atmospheric Circulation Model (CAM4.0). In the numerical experiments, the ice covers in Arctic and Antarctic are changed individually or simultaneously as the forcing fields, and then the corresponding climate effects are analyzed. The results show that the Arctic and Antarctic ice cover variations can change the intensity of atmospheric baroclinic disturbance in mid-high latitudes of individual hemisphere, generating wave energy transmission across the equator through the wave-train-window over the Eastern Equatorial Pacific, and eventually causing air temperature anomalies in another hemisphere. Furthermore, the Antarctic ice covers are closer to the mid-high latitude atmospheric jets in the southern hemisphere. Therefore, compared to the Arctic ice cover, the inter-annual changes of Antarctic ice cover lead to a larger atmospheric wave-activity flux response, quickly (less than two months) spreading to the northern hemisphere, and causing more significant air temperature anomalies over the East Asia and North America. However, the influence of the inter-annual variability of Arctic ice cover on the climate in the southern hemisphere requires a lag time of at least four months, and the intensity is relatively weak.</t>
  </si>
  <si>
    <t>[Jiang, Shunyu; Hu, HaiBo; Zhang, Ning; Bai, Haokun; Zhao, Yihang] Nanjing Univ, CMA NJU Joint Lab Climate Predict Studies, Inst Climate &amp; Global Change Res, Sch Atmospher Sci, Nanjing 210093, Peoples R China; [Jiang, Shunyu] Jia Xing Meteorol Bur, Jiaxing 314050, Peoples R China; [Perrie, William] Fisheries &amp; Oceans Canada, Bedford Inst Oceanog, Dartmouth, NS, Canada</t>
  </si>
  <si>
    <t>Nanjing University; Bedford Institute of Oceanography; Fisheries &amp; Oceans Canada</t>
  </si>
  <si>
    <t>Hu, HB (corresponding author), Nanjing Univ, CMA NJU Joint Lab Climate Predict Studies, Inst Climate &amp; Global Change Res, Sch Atmospher Sci, Nanjing 210093, Peoples R China.</t>
  </si>
  <si>
    <t>huhaibo@nju.edu.cn</t>
  </si>
  <si>
    <t>Hu, Haibo/P-9386-2016; ZHANG, Ning/R-2607-2018</t>
  </si>
  <si>
    <t>ZHANG, Ning/0000-0003-2350-5645; Bai, Haokun/0009-0003-2448-795X</t>
  </si>
  <si>
    <t>National Key Program for Developing Basic Science [2016YFA0600303, 2018YFC1505900]</t>
  </si>
  <si>
    <t>National Key Program for Developing Basic Science</t>
  </si>
  <si>
    <t>This work was supported by the National Key Program for Developing Basic Science (Grants 2016YFA0600303 and 2018YFC1505900).</t>
  </si>
  <si>
    <t>3-4</t>
  </si>
  <si>
    <t>10.1007/s00382-021-05961-z</t>
  </si>
  <si>
    <t>ZF7SI</t>
  </si>
  <si>
    <t>WOS:000698164200001</t>
  </si>
  <si>
    <t>Câmara, PEAS; de Souza, LMD; Pinto, OHB; Convey, P; Amorim, ET; Carvalho-Silva, M; Rosa, LH</t>
  </si>
  <si>
    <t>Camara, Paulo E. A. S.; de Souza, Lauren M. D.; Bezerra Pinto, Otavio Henrique; Convey, Peter; Amorim, Eduardo T.; Carvalho-Silva, Micheline; Rosa, Luiz Henrique</t>
  </si>
  <si>
    <t>Periphyton diversity in two different Antarctic lakes assessed using metabarcoding</t>
  </si>
  <si>
    <t>Deception Island; high-throughput sequencing; internal transcribed spacer; King George Island</t>
  </si>
  <si>
    <t>COMMUNITIES; ABUNDANCE; PLANT</t>
  </si>
  <si>
    <t>Antarctic lakes have generally simple periphyton communities when compared with those of lower latitudes. To date, assessment of microbial diversity in Antarctica has relied heavily on traditional direct observation and cultivation methods. In this study, sterilized cotton baits were left submerged for two years in two lakes on King George Island and Deception Island, South Shetland Islands (Maritime Antarctic), followed by assessment of diversity by metabarcoding using high-throughput sequencing. DNA sequences of 44 taxa belonging to four kingdoms and seven phyla were found. Thirty-six taxa were detected in Hennequin Lake on King George Island and 20 taxa were detected in Soto Lake on Deception Island. However, no significant difference in species composition was detected between the two assemblages (Shannon index). Our data suggest that metabarcoding provides a suitable method for the assessment of periphyton biodiversity in oligotrophic Antarctic lakes.</t>
  </si>
  <si>
    <t>[Camara, Paulo E. A. S.; Carvalho-Silva, Micheline] Univ Brasilia, Dept Bot, BR-70910900 Brasilia, DF, Brazil; [de Souza, Lauren M. D.; Rosa, Luiz Henrique] Univ Fed Minas Gerais, Dept Microbiol, BR-31270901 Belo Horizonte, MG, Brazil; [Bezerra Pinto, Otavio Henrique] Univ Brasilia, Dept Biol Celular, BR-70910900 Brasilia, DF, Brazil; [Convey, Peter] British Antarctic Survey, NERC, Madingley Rd, Cambridge CB3 0ET, England; [Amorim, Eduardo T.] Inst Pesquisas Jardim Bot Rio de Janeiro, Ctr Nacl Conservacao Floral, CNCFlora JBRJ, BR-22460030 Rio De Janeiro, Brazil</t>
  </si>
  <si>
    <t>Universidade de Brasilia; Universidade Federal de Minas Gerais; Universidade de Brasilia; UK Research &amp; Innovation (UKRI); Natural Environment Research Council (NERC); NERC British Antarctic Survey; Jardim Botanico do Rio de Janeiro</t>
  </si>
  <si>
    <t>Câmara, PEAS (corresponding author), Univ Brasilia, Dept Bot, BR-70910900 Brasilia, DF, Brazil.</t>
  </si>
  <si>
    <t>pcamara@unb.br</t>
  </si>
  <si>
    <t>Camara, Paulo/0000-0002-3944-996X; Convey, Peter/0000-0001-8497-9903; de Souza, Lauren/0000-0001-6007-3840; Silva, Micheline/0000-0002-2389-3804; Pinto, Otavio/0000-0002-8382-2987; Amorim, Eduardo/0000-0003-4253-1339</t>
  </si>
  <si>
    <t>This study received financial support from CNPq, PROANTAR and INCT Criosfera 2. P. Convey is supported by NERC core funding to the British Antarctic Survey 'Biodiversity, Evolution and Adaptation' team.</t>
  </si>
  <si>
    <t>PII S0954102021000316</t>
  </si>
  <si>
    <t>10.1017/S0954102021000316</t>
  </si>
  <si>
    <t>WOS:000737583400001</t>
  </si>
  <si>
    <t>Soto, DF; Franzetti, A; Gómez, I; Huovinen, P</t>
  </si>
  <si>
    <t>Soto, Daniela F.; Franzetti, Andrea; Gomez, Ivan; Huovinen, Pirjo</t>
  </si>
  <si>
    <t>Functional filtering and random processes affect the assembly of microbial communities of snow algae blooms at Maritime Antarctic</t>
  </si>
  <si>
    <t>Metagenomes; Metabarcoding; Maritime Antarctic; Snow algae blooms; Snow microbial community</t>
  </si>
  <si>
    <t>ESCHERICHIA-COLI; READ ALIGNMENT; POLAROMONAS; DIVERSITY; BACTERIUM; GENOME; TREBOUXIOPHYCEAE; OSMOREGULATION; BIOGEOGRAPHY; PRASIOLALES</t>
  </si>
  <si>
    <t>The increasing temperatures at the West Antarctic Peninsula (Maritime Antarctic) could lead to a higher occur-rence of snow algal blooms which are ubiquitous events that change the snow coloration, reducing albedo and in turn exacerbating melting. However, there is a limited understanding of snow algae blooms biodiversity, compo-sition, and their functional profiles, especially in one of the world's areas most affected by climate change. In this study we used 16S rRNA and 18S rRNA metabarcoding, and shotgun metagenomics to assess the diversity, composition, and functional potential of the snow algae blooms bacterial and eukaryotic communities at three dif-ferent sites of Maritime Antarctic, between different colors of the algae blooms and between seasonal and semi -permanent snowfields. We tested the hypothesis that the functional potential of snow algae blooms is conserved despite a changing taxonomic composition. Furthermore, we determined taxonomic co-occurrence patterns of bac-teria and eukaryotes and assessed the potential for the exchange of metabolites among bacterial taxa. Here, we tested the prediction that there are co-occurring taxa within snow algae whose biotic interactions are marked by the exchange of metabolites. Our results show that the composition of snow algae blooms vary significantly among sites. For instance, a higher abundance of fungi and protists were detected in Fildes Peninsula compared with Doumer Island and O'Higgins. Likewise, the composition varied between snow colors and snow types. However, the functional potential varied only among sampling sites with a higher abundance of genes involved in tolerance to environmental stress at O'Higgins. Co-occurrence patterns of dominant bacterial genera such as Pedobacter, Polaromonas, Flavobacterium and Hymenobacter were recorded, contrasting the absence of co-occurring patterns displayed by Chlamydomonadales algae with other eukaryotes. Finally, genome-scale metabolic models revealed that bacteria within snow algae blooms likely compete for resources instead of forming cooperative communities. (c) 2021 Elsevier B.V. All rights reserved.</t>
  </si>
  <si>
    <t>[Soto, Daniela F.; Gomez, Ivan; Huovinen, Pirjo] Univ Austral Chile, Inst Ciencias Marinas &amp; Limnol, Valdivia, Chile; [Soto, Daniela F.; Gomez, Ivan; Huovinen, Pirjo] Res Ctr Dynam High Latitude Marine Ecosyst IDEAL, Valdivia, Chile; [Franzetti, Andrea] Univ Milano Bicocca, Dept Earth &amp; Environm Sci DISAT, Milan, Italy</t>
  </si>
  <si>
    <t>Universidad Austral de Chile; University of Milano-Bicocca</t>
  </si>
  <si>
    <t>Soto, DF (corresponding author), Univ Austral Chile, Fac Ciencias, Inst Ciencias Marinas &amp; Limnol, Campus Isla Teja,Edificio Emilio Pugin 1er Piso, Valdivia, Chile.</t>
  </si>
  <si>
    <t>daniela.soto.vergara@alumnos.uach.cl</t>
  </si>
  <si>
    <t>Soto-Hernández, Daniela/KHX-6007-2024</t>
  </si>
  <si>
    <t>Gomez, Ivan/0000-0001-8381-3792; Huovinen, Pirjo/0000-0002-7754-4933</t>
  </si>
  <si>
    <t>Fondecyt [1161129, 1201053]; Fondap IDEAL [15150003]; Conicyt grant; ANID Doctorado Nacional grant [21170544]; EMBO Short-TermFellowship grant [8343]</t>
  </si>
  <si>
    <t>Fondecyt(Comision Nacional de Investigacion Cientifica y Tecnologica (CONICYT)CONICYT FONDECYT); Fondap IDEAL; Conicyt grant; ANID Doctorado Nacional grant; EMBO Short-TermFellowship grant(European Molecular Biology Organization (EMBO))</t>
  </si>
  <si>
    <t>This work was funded by the Fondecyt grants #1161129 and #1201053, the Fondap IDEAL #15150003, Conicyt grant, ANID Doctorado Nacional grant 21170544, and the EMBO Short-TermFellowship grant #8343.</t>
  </si>
  <si>
    <t>10.1016/j.scitotenv.2021.150305</t>
  </si>
  <si>
    <t>UY8JC</t>
  </si>
  <si>
    <t>WOS:000701762700011</t>
  </si>
  <si>
    <t>Zhang, WJ; Liang, YT; Zheng, KY; Gu, CX; Liu, YD; Wang, ZY; Zhang, XR; Shao, HB; Jiang, Y; Guo, C; He, H; Wang, HL; Sung, YY; Mok, WJ; Zhang, YZ; McMinn, A; Wang, M</t>
  </si>
  <si>
    <t>Zhang, Wenjing; Liang, Yantao; Zheng, Kaiyang; Gu, Chengxiang; Liu, Yundan; Wang, Ziyue; Zhang, Xinran; Shao, Hongbing; Jiang, Yong; Guo, Cui; He, Hui; Wang, Hualong; Sung, Yeong Yik; Mok, Wen Jye; Zhang, Yuzhong; McMinn, Andrew; Wang, Min</t>
  </si>
  <si>
    <t>Characterization and genomic analysis of the first Oceanospirillum phage, vB_OliS_GJ44, representing a novel siphoviral cluster</t>
  </si>
  <si>
    <t>BMC GENOMICS</t>
  </si>
  <si>
    <t>Oceanospirillum; Phage vB_OliS_GJ44; Oceanospirivirus; Genomics; Metagenomics; Tail-related genes; Recombination</t>
  </si>
  <si>
    <t>MULTIPLE SEQUENCE ALIGNMENT; MICROBIAL COMMUNITIES; VIRAL-INFECTION; DNA; VIRUSES; DOMAIN; GENES; BACTERIOPLANKTON; BACTERIOPHAGES; CLASSIFICATION</t>
  </si>
  <si>
    <t>Background Marine bacteriophages play key roles in the community structure of microorganisms, biogeochemical cycles, and the mediation of genetic diversity through horizontal gene transfer. Recently, traditional isolation methods, complemented by high-throughput sequencing metagenomics technology, have greatly increased our understanding of the diversity of bacteriophages. Oceanospirillum, within the order Oceanospirillales, are important symbiotic marine bacteria associated with hydrocarbon degradation and algal blooms, especially in polar regions. However, until now there has been no isolate of an Oceanospirillum bacteriophage, and so details of their metagenome has remained unknown. Results Here, we reported the first Oceanospirillum phage, vB_OliS_GJ44, which was assembled into a 33,786 bp linear dsDNA genome, which includes abundant tail-related and recombinant proteins. The recombinant module was highly adapted to the host, according to the tetranucleotides correlations. Genomic and morphological analyses identified vB_OliS_GJ44 as a siphovirus, however, due to the distant evolutionary relationship with any other known siphovirus, it is proposed that this virus could be classified as the type phage of a new Oceanospirivirus genus within the Siphoviridae family. vB_OliS_GJ44 showed synteny with six uncultured phages, which supports its representation in uncultured environmental viral contigs from metagenomics. Homologs of several vB_OliS_GJ44 genes have mostly been found in marine metagenomes, suggesting the prevalence of this phage genus in the oceans. Conclusions These results describe the first Oceanospirillum phage, vB_OliS_GJ44, that represents a novel viral cluster and exhibits interesting genetic features related to phage-host interactions and evolution. Thus, we propose a new viral genus Oceanospirivirus within the Siphoviridae family to reconcile this cluster, with vB_OliS_GJ44 as a representative member.</t>
  </si>
  <si>
    <t>[Zhang, Wenjing; Liang, Yantao; Zheng, Kaiyang; Gu, Chengxiang; Liu, Yundan; Wang, Ziyue; Zhang, Xinran; Shao, Hongbing; Jiang, Yong; Guo, Cui; He, Hui; Wang, Hualong; Zhang, Yuzhong; McMinn, Andrew; Wang, Min] Ocean Univ China, Inst Evolut &amp; Marine Biodivers, Frontiers Sci Ctr Deep Ocean Multispheres &amp; Earth, Coll Marine Life Sci, Qingdao 266003, Peoples R China; [Liang, Yantao; Shao, Hongbing; Jiang, Yong; Guo, Cui; He, Hui; Wang, Hualong; Sung, Yeong Yik; Mok, Wen Jye; Wang, Min] UMT OUC Joint Ctr Marine Studies, Qingdao 266003, Peoples R China; [Sung, Yeong Yik; Mok, Wen Jye] Univ Malaysia Terengganu UMT, Inst Marine Biotechnol, Kuala Nerus 21030, Malaysia; [Zhang, Yuzhong] Shangdong Univ, Qingdao 266000, Peoples R China; [McMinn, Andrew] Univ Tasmania, Inst Marine &amp; Antarctic Studies, Hobart, Tas 7001, Australia; [Wang, Min] Affiliated Hosp Qingdao Univ, Qingdao 266000, Peoples R China</t>
  </si>
  <si>
    <t>Ocean University of China; Universiti Malaysia Terengganu; Shandong University; University of Tasmania; Qingdao University</t>
  </si>
  <si>
    <t>Liang, YT; Wang, M (corresponding author), Ocean Univ China, Inst Evolut &amp; Marine Biodivers, Frontiers Sci Ctr Deep Ocean Multispheres &amp; Earth, Coll Marine Life Sci, Qingdao 266003, Peoples R China.</t>
  </si>
  <si>
    <t>Mok, Wen Jye/AAF-9229-2019; Jiang, Yong/AGK-3016-2022; Sung, Yeong Yik/AAA-2654-2020; Wang, Min/AFR-9645-2022; gu, chengxiang/ABA-7780-2021; Li, Yan/JRW-0176-2023</t>
  </si>
  <si>
    <t>Mok, Wen Jye/0000-0002-7629-8312; Jiang, Yong/0000-0002-4072-1668; Sung, Yeong Yik/0000-0001-5897-9037; Wang, Min/0000-0002-2357-589X; Jiang, Yong/0000-0001-6055-488X</t>
  </si>
  <si>
    <t>Marine S&amp;T Fund of Shandong Province for Pilot National Laboratory for Marine Science and Technology (Qingdao) [2018SDKJ0406-6]; National Key Research and Development Program of China [2018YFC1406704]; Fundamental Research Funds for the Central Universities [202072002, 201812002]; National Natural Science Foundation of China [41976117, 41606153]; 973 Program [2013CB429704]</t>
  </si>
  <si>
    <t>Marine S&amp;T Fund of Shandong Province for Pilot National Laboratory for Marine Science and Technology (Qingdao); National Key Research and Development Program of China; Fundamental Research Funds for the Central Universities(Fundamental Research Funds for the Central Universities); National Natural Science Foundation of China(National Natural Science Foundation of China (NSFC)); 973 Program(National Basic Research Program of China)</t>
  </si>
  <si>
    <t>The research was financially supported by the Marine S&amp;T Fund of Shandong Province for Pilot National Laboratory for Marine Science and Technology (Qingdao)(No.2018SDKJ0406-6), the National Key Research and Development Program of China (2018YFC1406704), the Fundamental Research Funds for the Central Universities (202072002, 201812002, Andrew McMinn), National Natural Science Foundation of China (No. 41976117, 41606153), and 973 Program (No. 2013CB429704).</t>
  </si>
  <si>
    <t>1471-2164</t>
  </si>
  <si>
    <t>BMC Genomics</t>
  </si>
  <si>
    <t>SEP 20</t>
  </si>
  <si>
    <t>10.1186/s12864-021-07978-4</t>
  </si>
  <si>
    <t>Biotechnology &amp; Applied Microbiology; Genetics &amp; Heredity</t>
  </si>
  <si>
    <t>UT8TG</t>
  </si>
  <si>
    <t>WOS:000698382000003</t>
  </si>
  <si>
    <t>Yang, Q; Guo, J; Liu, YF; Guan, FC; Song, JX; Gong, XY</t>
  </si>
  <si>
    <t>Yang, Qiang; Guo, Jing; Liu, Yuanfa; Guan, Fucheng; Song, Jingxing; Gong, Xueyong</t>
  </si>
  <si>
    <t>Improved Properties of Cellulose/Antarctic Krill Protein Composite Fibers with a Multiple Cross-Linking Network</t>
  </si>
  <si>
    <t>ADVANCED FIBER MATERIALS</t>
  </si>
  <si>
    <t>Cellulose; Antarctic krill protein; Glutaraldehyde; Mechanical properties; Fatigue properties; Moisture retention</t>
  </si>
  <si>
    <t>PROTEORHODOPSIN; GLUTARALDEHYDE; CHROMOPHORE; CELLULOSE</t>
  </si>
  <si>
    <t>In the present work, novel cellulose (C)/Antarctic krill protein (AKP) composite fibers with a multiple cross-linking network were prepared using glutaraldehyde (GA) as cross-linking agent to improve the fiber's properties. The structure and properties of fibers were characterized by different techniques including FTIR, NMR, XRD, SAXS, SEM and electronic single yarn strength tester, etc. The results indicate that the reaction of GA with C and AKP separately forms a multiple cross-linking network. The C/AKP composite fibers with a multiple cross-linking network has stronger crystallization ability, higher orientation degree and deeper trench than C/AKP composite fibers. The breaking stress and wet strength of composite fibers reaches the maximum of 1.04 cN/dtex and 0.55 cN/dtex at GA content of 0.2 wt%. And the fatigue and tensile properties, hygroscopicity and moisture retention of C/AKP composite fibers has been improved. The development of C/AKP composite fibers with a multiple cross-linking network could be a promising candidate for biomedicine applications. Graphic abstract</t>
  </si>
  <si>
    <t>[Yang, Qiang; Guo, Jing; Liu, Yuanfa; Guan, Fucheng; Song, Jingxing] Dalian Polytech Univ, Sch Text &amp; Mat Engn, Dalian 116034, Liaoning, Peoples R China; [Gong, Xueyong] Shandong First Med Univ, Sch Chem &amp; Pharmaceut Engn, Tai An 271016, Shandong, Peoples R China; [Gong, Xueyong] Shandong Acad Med Sci, Tai An 271016, Shandong, Peoples R China</t>
  </si>
  <si>
    <t>Dalian Polytechnic University; Shandong First Medical University &amp; Shandong Academy of Medical Sciences; University of Jinan; Shandong First Medical University &amp; Shandong Academy of Medical Sciences</t>
  </si>
  <si>
    <t>Guo, J; Liu, YF (corresponding author), Dalian Polytech Univ, Sch Text &amp; Mat Engn, Dalian 116034, Liaoning, Peoples R China.;Gong, XY (corresponding author), Shandong First Med Univ, Sch Chem &amp; Pharmaceut Engn, Tai An 271016, Shandong, Peoples R China.;Gong, XY (corresponding author), Shandong Acad Med Sci, Tai An 271016, Shandong, Peoples R China.</t>
  </si>
  <si>
    <t>guojing8161@163.com; Liuyf@dlpu.edu.cn; gongxy2001@163.com</t>
  </si>
  <si>
    <t>Yang, Qiang/AEC-5391-2022; guan, fucheng/IXN-7582-2023; Liao, Hongmei/ABT-7677-2022</t>
  </si>
  <si>
    <t>Yang, Qiang/0000-0001-8367-1755; guan, fucheng/0009-0003-0528-6829;</t>
  </si>
  <si>
    <t>National Natural Science Foundation of China [51773024, 51373027]; Innovation Team Foundation of Liaoning [LT2017017]; Nature Science Foundation of Liaoning Province [20180550429]</t>
  </si>
  <si>
    <t>National Natural Science Foundation of China(National Natural Science Foundation of China (NSFC)); Innovation Team Foundation of Liaoning; Nature Science Foundation of Liaoning Province(Natural Science Foundation of Liaoning Province)</t>
  </si>
  <si>
    <t>This work was supported by the National Natural Science Foundation of China (grant numbers: 51773024 and 51373027), Innovation Team Foundation of Liaoning (grant number: LT2017017) and Nature Science Foundation of Liaoning Province (grant number: 20180550429).</t>
  </si>
  <si>
    <t>2524-7921</t>
  </si>
  <si>
    <t>2524-793X</t>
  </si>
  <si>
    <t>ADV FIBER MATER</t>
  </si>
  <si>
    <t>Adv. Fiber Mater.</t>
  </si>
  <si>
    <t>10.1007/s42765-021-00103-w</t>
  </si>
  <si>
    <t>Materials Science, Multidisciplinary; Materials Science, Textiles</t>
  </si>
  <si>
    <t>Materials Science</t>
  </si>
  <si>
    <t>0E8KB</t>
  </si>
  <si>
    <t>WOS:000698156500002</t>
  </si>
  <si>
    <t>Jurelevicius, D; Pereira, RD; da Mota, FF; Cury, JC; de Oliveira, IC; Rosado, AS; Mason, OU; Jansson, JK; Seldin, L</t>
  </si>
  <si>
    <t>Jurelevicius, Diogo; Pereira, Raphael da Silva; da Mota, Fabio Faria; Cury, Juliano C.; de Oliveira, Ivan Cardoso; Rosado, Alexandre S.; Mason, Olivia U.; Jansson, Janet K.; Seldin, Lucy</t>
  </si>
  <si>
    <t>Metagenomic analysis of microbial communities across a transect from low to highly hydrocarbon-contaminated soils in King George Island, Maritime Antarctica</t>
  </si>
  <si>
    <t>GEOBIOLOGY</t>
  </si>
  <si>
    <t>Antarctic microbiome; bioremediation; hydrocarbon degradation; metagenomic analysis</t>
  </si>
  <si>
    <t>FREEZE-THAW CYCLES; AROMATIC-HYDROCARBONS; POLAROMONAS-NAPHTHALENIVORANS; BACTERIAL COMMUNITIES; COASTAL SEDIMENTS; NITROGEN-FIXATION; BIOREMEDIATION; DEGRADATION; DIVERSITY; BIODEGRADATION</t>
  </si>
  <si>
    <t>Soil samples from a transect from low to highly hydrocarbon-contaminated soils were collected around the Brazilian Antarctic Station Comandante Ferraz (EACF), located at King George Island, Antarctica. Quantitative PCR (qPCR) analysis of bacterial 16S rRNA genes, 16S rRNA gene (iTag), and shotgun metagenomic sequencing were used to characterize microbial community structure and the potential for petroleum degradation by indigenous microbes. Hydrocarbon contamination did not affect bacterial abundance in EACF soils (bacterial 16S rRNA gene qPCR). However, analysis of 16S rRNA gene sequences revealed a successive change in the microbial community along the pollution gradient. Microbial richness and diversity decreased with the increase of hydrocarbon concentration in EACF soils. The abundance of Cytophaga, Methyloversatilis, Polaromonas, and Williamsia was positively correlated (p-value = &lt;.05) with the concentration of total petroleum hydrocarbons (TPH) and/or polycyclic aromatic hydrocarbons (PAH). Annotation of metagenomic data revealed that the most abundant hydrocarbon degradation pathway in EACF soils was related to alkyl derivative-PAH degradation (mainly methylnaphthalenes) via the CYP450 enzyme family. The abundance of genes related to nitrogen fixation increased in EACF soils as the concentration of hydrocarbons increased. The results obtained here are valuable for the future of bioremediation of petroleum hydrocarbon-contaminated soils in polar environments.</t>
  </si>
  <si>
    <t>[Jurelevicius, Diogo; Pereira, Raphael da Silva; de Oliveira, Ivan Cardoso; Rosado, Alexandre S.; Seldin, Lucy] Univ Fed Rio de Janeiro, Inst Microbiol Prof Paulo de Goes, Rio De Janeiro, Brazil; [da Mota, Fabio Faria] IOC Inst Oswaldo Cruz, Rio De Janeiro, Brazil; [Cury, Juliano C.] Univ Fed Sao Joao del Rei, Sao Joao Del Rei, Brazil; [Rosado, Alexandre S.] King Abdullah Univ Sci &amp; Technol KAUST, Biol &amp; Environm Sci &amp; Engn Div BESE, Thuwal, Saudi Arabia; [Mason, Olivia U.] Florida State Univ, Dept Earth Ocean &amp; Atmospher Sci, Tallahassee, FL 32306 USA; [Jansson, Janet K.] Pacific Northwest Natl Lab, Earth &amp; Biol Sci Directorate, Richland, WA 99352 USA</t>
  </si>
  <si>
    <t>Universidade Federal do Rio de Janeiro; Universidade Federal de Sao Joao del-Rei; King Abdullah University of Science &amp; Technology; State University System of Florida; Florida State University; United States Department of Energy (DOE); Pacific Northwest National Laboratory</t>
  </si>
  <si>
    <t>Jurelevicius, D (corresponding author), Univ Fed Rio de Janeiro, Lab Biotecnol &amp; Ecol Microbiana, LABEM,Ctr Ciencias Saude, Dept Microbiol Geral,Inst Microbiol Paulo de Goes, Bloco 1, BR-21941590 Rio De Janeiro, Brazil.</t>
  </si>
  <si>
    <t>diogoj@micro.ufrj.br</t>
  </si>
  <si>
    <t>Jurelevicius, Diogo A/I-8235-2014; Cury, J C/F-8034-2014; Rosado, Alexandre Soares/G-1955-2012</t>
  </si>
  <si>
    <t>Rosado, Alexandre Soares/0000-0001-5135-1394; da Silva Pereira, Raphael/0000-0002-8294-8254; Cardoso de Oliveira, Ivan/0000-0001-7547-0697; da Mota, Fabio Faria/0000-0002-0692-4939</t>
  </si>
  <si>
    <t>Fundacao Carlos Chagas Filho de Amparo a Pesquisa do Estado do Rio de Janeiro; Coordenacao de Aperfeicoamento de Pessoal de Nivel Superior [001]; Conselho Nacional de Desenvolvimento Cientifico e Tecnologico</t>
  </si>
  <si>
    <t>Fundacao Carlos Chagas Filho de Amparo a Pesquisa do Estado do Rio de Janeiro(Fundacao Carlos Chagas Filho de Amparo a Pesquisa do Estado do Rio De Janeiro (FAPERJ)); Coordenacao de Aperfeicoamento de Pessoal de Nivel Superior(Coordenacao de Aperfeicoamento de Pessoal de Nivel Superior (CAPES)); Conselho Nacional de Desenvolvimento Cientifico e Tecnologico(Conselho Nacional de Desenvolvimento Cientifico e Tecnologico (CNPQ))</t>
  </si>
  <si>
    <t>Fundacao Carlos Chagas Filho de Amparo a Pesquisa do Estado do Rio de Janeiro; Coordenacao de Aperfeicoamento de Pessoal de Nivel Superior, Grant/Award Number: 001; Conselho Nacional de Desenvolvimento Cientifico e Tecnologico</t>
  </si>
  <si>
    <t>1472-4677</t>
  </si>
  <si>
    <t>1472-4669</t>
  </si>
  <si>
    <t>Geobiology</t>
  </si>
  <si>
    <t>10.1111/gbi.12472</t>
  </si>
  <si>
    <t>Biology; Environmental Sciences; Geosciences, Multidisciplinary</t>
  </si>
  <si>
    <t>Life Sciences &amp; Biomedicine - Other Topics; Environmental Sciences &amp; Ecology; Geology</t>
  </si>
  <si>
    <t>XO4QC</t>
  </si>
  <si>
    <t>WOS:000697304900001</t>
  </si>
  <si>
    <t>Yao, L; Qu, M; Jiang, YH; Guo, YY; Li, N; Li, FL; Tan, ZJ; Wang, LZ</t>
  </si>
  <si>
    <t>Yao, Lin; Qu, Meng; Jiang, Yanhua; Guo, Yingying; Li, Na; Li, Fengling; Tan, Zhijun; Wang, Lianzhu</t>
  </si>
  <si>
    <t>The development of genus-specific and species-specific real-time PCR assays for the authentication of Patagonian toothfish and Antarctic toothfish in commercial seafood products</t>
  </si>
  <si>
    <t>JOURNAL OF THE SCIENCE OF FOOD AND AGRICULTURE</t>
  </si>
  <si>
    <t>Patagonian toothfish; Antarctic toothfish; authentication; real-time PCR</t>
  </si>
  <si>
    <t>RESOLUTION MELTING ANALYSIS; LEPIDOCYBIUM-FLAVOBRUNNEUM; DISSOSTICHUS-MAWSONI; RUVETTUS-PRETIOSUS; DNA; IDENTIFICATION; MITOCHONDRIAL; BARCODE; NUCLEAR; MARKERS</t>
  </si>
  <si>
    <t>BACKGROUND The substitution or mislabeling of toothfish is an issue of significant concern for seafood authorities; it also reduces the effectiveness of marine conservation and management programs for its over-exploitation and illegal trafficking, boosting the need for identification methods. RESULTS Two species-specific real-time polymerase chain reaction (PCR) assays for the identification of Patagonian toothfish (Dissostichus eleginoides) and Antarctic toothfish (Dissostichus mawsoni) and a genus-specific real-time PCR assay for Dissostichus spp. identification were developed based on fragments of the 16S rRNA and COI (cytochrome c oxidase subunit I) genes. These methods were confirmed to be rapid, simple, and sensitive (absolute sensitivity of 0.0002 ng mu L-1 and relative sensitivity of 0.1 g kg(-1) with good specificity). These methods can be applied to processed and commercial fish products. CONCLUSIONS These approaches can be beneficial for protecting both consumers and producers from economic fraud and might also help protect toothfish from over-exploitation as well as combat illegal, unreported, and unregulated (IUU) fisheries. (c) 2021 Society of Chemical Industry.</t>
  </si>
  <si>
    <t>[Yao, Lin; Qu, Meng; Jiang, Yanhua; Guo, Yingying; Li, Na; Li, Fengling; Tan, Zhijun; Wang, Lianzhu] Chinese Acad Fishery Sci, Minist Agr &amp; Rural Affairs, Key Lab Testing &amp; Evaluat Aquat Prod Safety &amp; Qua, Qingdao, Peoples R China; [Yao, Lin; Qu, Meng; Jiang, Yanhua; Guo, Yingying; Li, Na; Li, Fengling; Tan, Zhijun; Wang, Lianzhu] Chinese Acad Fishery Sci, Yellow Sea Fisheries Res Inst, Qingdao, Peoples R China</t>
  </si>
  <si>
    <t>Chinese Academy of Fishery Sciences; Ministry of Agriculture &amp; Rural Affairs; Chinese Academy of Fishery Sciences; Yellow Sea Fisheries Research Institute, CAFS</t>
  </si>
  <si>
    <t>Wang, LZ (corresponding author), Chinese Acad Fishery Sci, Minist Agr &amp; Rural Affairs, Key Lab Testing &amp; Evaluat Aquat Prod Safety &amp; Qua, Yellow Sea Fisheries Res Inst, 106 Nanjing Rd, Qingdao 266071, Shandong, Peoples R China.</t>
  </si>
  <si>
    <t>lianzhu_wang@aliyun.com</t>
  </si>
  <si>
    <t>National Key Research and Development Program of China [2016YFF0201805]; Central Public-interest Scientific Institution Basal Research Fund, CAFS [2020TD71]</t>
  </si>
  <si>
    <t>National Key Research and Development Program of China; Central Public-interest Scientific Institution Basal Research Fund, CAFS</t>
  </si>
  <si>
    <t>This work was supported by the National Key Research and Development Program of China [grant number 2016YFF0201805] and the Central Public-interest Scientific Institution Basal Research Fund, CAFS [grant number 2020TD71].</t>
  </si>
  <si>
    <t>0022-5142</t>
  </si>
  <si>
    <t>1097-0010</t>
  </si>
  <si>
    <t>J SCI FOOD AGR</t>
  </si>
  <si>
    <t>J. Sci. Food Agric.</t>
  </si>
  <si>
    <t>MAR 15</t>
  </si>
  <si>
    <t>10.1002/jsfa.11507</t>
  </si>
  <si>
    <t>Agriculture, Multidisciplinary; Chemistry, Applied; Food Science &amp; Technology</t>
  </si>
  <si>
    <t>Agriculture; Chemistry; Food Science &amp; Technology</t>
  </si>
  <si>
    <t>YW7MP</t>
  </si>
  <si>
    <t>WOS:000697224000001</t>
  </si>
  <si>
    <t>Leonardi, G; Nunes, AJP; Badillo, M; Burri, L</t>
  </si>
  <si>
    <t>Leonardi, Geronimo; Nunes, Alberto J. P.; Badillo, Miguel; Burri, Lena</t>
  </si>
  <si>
    <t>High protein krill meal as a tool to optimize low cost formulas for juvenile Litopenaeus vannamei diets farmed under semi-intensive conditions</t>
  </si>
  <si>
    <t>JOURNAL OF APPLIED AQUACULTURE</t>
  </si>
  <si>
    <t>Antarctic krill; growth enhancement; high protein krill meal; low-cost diets; shrimp</t>
  </si>
  <si>
    <t>WHITE SHRIMP; FISH-MEAL; INGREDIENTS; GROWTH; OIL</t>
  </si>
  <si>
    <t>To investigate the potential of high-protein krill meal (HPK) to improve growth in low-cost diets for Pacific white shrimp (Litopenaeus vannamei), a commercial control and a 3% HPK diet were compared. To simulate a semi-intensive culture system, a total of 4,500 shrimp with a body weight (BW) of 3.07 +/- 0.01 g were stocked with 25 animals/m(2) in 20 cages in a 2.16-ha pond. After 60 days of rearing, the 3% HPK diet achieved a significantly higher yield (22,094.0 +/- 130.35 g/cage) in comparison to the control diet (19,301.6 +/- 272.28 g/cage) (P &lt; 0.05). When the feed cost per kg shrimp produced was compared, it was significantly lower in the 3% HPK group (US$1.01/kg shrimp) when compared to the control group (US$1.11/kg shrimp). The results indicate that low feeding cost diets can profit from the partial replacement of fish meal by HPK to optimize shrimp growth performance without increasing formula cost.</t>
  </si>
  <si>
    <t>[Leonardi, Geronimo; Burri, Lena] Aker Biomarine Antarctic ASA, Lysaker, Norway; [Nunes, Alberto J. P.] Univ Fed Ceara, LABOMAR Inst Ciencias Mar, Fortaleza, Ceara, Brazil; [Badillo, Miguel] Neovia Mexico, Calle Miguel Hidalgo 5483 Oriente, Culiacan, Sinaloa, Mexico</t>
  </si>
  <si>
    <t>Universidade Federal do Ceara</t>
  </si>
  <si>
    <t>Burri, L (corresponding author), Aker BioMarine Antarctic As, Oksenoyveien 10, NO-13327 Lysaker, Norway.</t>
  </si>
  <si>
    <t>lena.burri@akerbiomarine.com</t>
  </si>
  <si>
    <t>Leonardi, Geronimo/0000-0001-5671-641X</t>
  </si>
  <si>
    <t>1045-4438</t>
  </si>
  <si>
    <t>1545-0805</t>
  </si>
  <si>
    <t>J APPL AQUACULT</t>
  </si>
  <si>
    <t>J. Appl. Aquac.</t>
  </si>
  <si>
    <t>10.1080/10454438.2021.1976346</t>
  </si>
  <si>
    <t>F4JS9</t>
  </si>
  <si>
    <t>WOS:000698215500001</t>
  </si>
  <si>
    <t>Swislowski, P; Nowak, A; Rajfur, M</t>
  </si>
  <si>
    <t>Swislowski, Pawel; Nowak, Arkadiusz; Rajfur, Malgorzata</t>
  </si>
  <si>
    <t>The influence of environmental conditions on the lifespan of mosses under long-term active biomonitoring</t>
  </si>
  <si>
    <t>Active biomonitoring; Moss; Chlorophyll; Bioindicator; Heavy metals</t>
  </si>
  <si>
    <t>AIRBORNE TRACE-ELEMENTS; AIR-POLLUTION; ATMOSPHERIC DEPOSITION; CHLOROPHYLL FLUORESCENCE; CHEMICAL-COMPOSITION; MONITORING DEVICES; ANTARCTIC MOSS; BAG TECHNIQUE; HEAVY-METALS; URBAN AREAS</t>
  </si>
  <si>
    <t>Biomonitoring with living organisms is most often used in order to gather quick information about environmental quality - for example the level of heavy metals polluting the air. Experiments are not often performed when the bioindicator is exposed to pollutants over the long time (6 months and more) because this period required to obtain credible results and the risk not yet studied of physiological changes and of degeneration of the living material which would undoubtedly affect the biomonitoring results. The aim of study was to evaluate the physiological condition of Pleurozium schreberi moss species subjected to continuous exposure for a year, using the moss-bag method, under variable environmental conditions, including atmospheric aerosol contaminated by selected analytes: Cu, Zn, Cd, Hg, Pb determined by flame atomic absorption spectrometer. AMA apparatus was used to measure mercury. The survival of the moss during exposure was assessed based on the measurement of chlorophyll content. As a result of the research, it was found that the concentrations of metals in mosses increased depending on the exposure time and the certain element. It was also found that mosses, despite the long period of exposure to environmental factors and the decreasing content of chlorophyll, still revealed the features of a living organism during the study and can be used in long-term biomonitoring of the environment. It was also proposed to correct the period and duration of P. schreberi exposure to air pollution in relation to the previous literature and recommend the period of 3-6 months.</t>
  </si>
  <si>
    <t>[Swislowski, Pawel; Nowak, Arkadiusz] Univ Opole, Inst Biol, Oleska St 22, PL-45052 Opole, Poland; [Nowak, Arkadiusz] Polish Acad Sci, Bot Garden Ctr Biodivers Conservat, Prawdziwka St 2, PL-02973 Warsaw, Poland; [Rajfur, Malgorzata] Univ Opole, Inst Environm Engn &amp; Biotechnol, B Kominka St 6 6a, PL-45032 Opole, Poland</t>
  </si>
  <si>
    <t>University of Opole; Polish Academy of Sciences; University of Opole</t>
  </si>
  <si>
    <t>Swislowski, P (corresponding author), Univ Opole, Inst Biol, Oleska St 22, PL-45052 Opole, Poland.</t>
  </si>
  <si>
    <t>pawel.swislowski@uni.opole.pl; anowak@uni.opole.pl; rajfur@uni.opole.pl</t>
  </si>
  <si>
    <t>Świsłowski, Paweł/AAO-3714-2020; Rajfur, Małgorzata/AAD-7450-2021; Nowak, Arkadiusz/U-3240-2019</t>
  </si>
  <si>
    <t>Świsłowski, Paweł/0000-0001-6161-0927; Rajfur, Małgorzata/0000-0002-4544-9819; Nowak, Arkadiusz/0000-0001-8638-0208</t>
  </si>
  <si>
    <t>10.1016/j.apr.2021.101203</t>
  </si>
  <si>
    <t>WP0HF</t>
  </si>
  <si>
    <t>WOS:000712823000002</t>
  </si>
  <si>
    <t>Kim, BM; Lee, Y; Hwang, JY; Kim, YK; Kim, TW; Kim, IN; Kang, S; Kim, JH; Rhee, JS</t>
  </si>
  <si>
    <t>Kim, Bo-Mi; Lee, Yeonhui; Hwang, Jhee-Yeong; Kim, Young-Ki; Kim, Tae Wan; Kim, Il-Nam; Kang, Seunghyun; Kim, Jin-Hyoung; Rhee, Jae-Sung</t>
  </si>
  <si>
    <t>Physiological and molecular responses of the Antarctic harpacticoid copepod Tigriopus kingsejongensis to salinity fluctuations-A multigenerational study</t>
  </si>
  <si>
    <t>ENVIRONMENTAL RESEARCH</t>
  </si>
  <si>
    <t>Antarctic freshening; Hyposalinity; Hypersalinity; Salinity tolerance; Osmoregulation; Multigeneration</t>
  </si>
  <si>
    <t>INTERTIDAL COPEPOD; ACARTIA-TONSA; OXIDATIVE STRESS; OCEAN SALINITY; SOUTHERN-OCEAN; TOLERANCE; MARINE; TEMPERATURE; JAPONICUS; RATES</t>
  </si>
  <si>
    <t>Since Antarctica and the surrounding Southern Ocean are facing global climate change, biota inhabiting those coastal regions is now challenged by environmental fluctuations including coastal freshening. In this study, the effects of salinity range of 0-75 (practical salinity unit, PSU) on the Antarctic harpacticoid copepod Tigriopus kingsejongensis was investigated by measurement of 96 h survival rate, lifespan, and sex ratio with further analysis of multigenerational growth parameters and mRNA expressions under salinity of 15-45. Different stages of the copepods (i.e., nauplius, male, and female) generally showed tolerance to hypo- and hypersalinity, wherein female copepods were more tolerant than males when exposed to salinity fluctuations. Lifespan was significantly shortened by hypo- and hypersalinity compared to control salinity (34), but there was no significant difference in the sex ratio between salinity treatments. Multigenerational experiments across five generations revealed that exposure to salinities of 15 and 45 reduced body length compared to that in control salinity and the first generation of each salinity group. Our results provide evidence regarding T. kingsejongensis on their preferred salinity ranges, physiological limit to salinity fluctuations, and population dynamics in future salinity.</t>
  </si>
  <si>
    <t>[Kim, Bo-Mi] Korea Polar Res Inst, Res Unit Cryogen Novel Mat, Incheon 21990, South Korea; [Lee, Yeonhui; Hwang, Jhee-Yeong; Kim, Il-Nam; Rhee, Jae-Sung] Incheon Natl Univ, Coll Nat Sci, Dept Marine Sci, Incheon 22012, South Korea; [Kim, Young-Ki; Kim, Tae Wan] Korea Polar Res Inst, Div Ocean Sci, Incheon 21990, South Korea; [Kang, Seunghyun; Kim, Jin-Hyoung] Korea Polar Res Inst, Div Life Sci, Incheon 21990, South Korea; [Kim, Il-Nam; Rhee, Jae-Sung] Incheon Natl Univ, Res Inst Basic Sci, Incheon 22012, South Korea; [Kim, Il-Nam; Rhee, Jae-Sung] Yellow Sea Res Inst, Incheon 21999, South Korea</t>
  </si>
  <si>
    <t>Korea Polar Research Institute (KOPRI); Incheon National University; Korea Polar Research Institute (KOPRI); Korea Polar Research Institute (KOPRI); Incheon National University</t>
  </si>
  <si>
    <t>Rhee, JS (corresponding author), Incheon Natl Univ, Coll Nat Sci, Dept Marine Sci, Incheon 22012, South Korea.</t>
  </si>
  <si>
    <t>jsrhee@inu.ac.kr</t>
  </si>
  <si>
    <t>Kim, Tae-Wan/JGM-9981-2023</t>
  </si>
  <si>
    <t>Kim, Tae-Wan/0000-0001-5257-7256; Rhee, Jae-Sung/0000-0003-3313-8850; Lee, Yeonhui/0000-0002-4584-8238</t>
  </si>
  <si>
    <t>Korea Polar Research Institute (KOPRI) [PE21160]; Basic Science Research Program through the National Research Foundation of Korea (NRF) - Ministry of Education [NRF-2017R1A6A1A06015181]</t>
  </si>
  <si>
    <t>Korea Polar Research Institute (KOPRI); Basic Science Research Program through the National Research Foundation of Korea (NRF) - Ministry of Education(National Research Foundation of Korea)</t>
  </si>
  <si>
    <t>This study was supported by the Korea Polar Research Institute (KOPRI; grant numbers PE21160) . This work was also supported by a grant Basic Science Research Program through the National Research Foundation of Korea (NRF) funded by the Ministry of Education (NRF-2017R1A6A1A06015181) .</t>
  </si>
  <si>
    <t>0013-9351</t>
  </si>
  <si>
    <t>1096-0953</t>
  </si>
  <si>
    <t>ENVIRON RES</t>
  </si>
  <si>
    <t>Environ. Res.</t>
  </si>
  <si>
    <t>B</t>
  </si>
  <si>
    <t>10.1016/j.envres.2021.112075</t>
  </si>
  <si>
    <t>Environmental Sciences; Public, Environmental &amp; Occupational Health</t>
  </si>
  <si>
    <t>Environmental Sciences &amp; Ecology; Public, Environmental &amp; Occupational Health</t>
  </si>
  <si>
    <t>WD1JJ</t>
  </si>
  <si>
    <t>WOS:000704705500008</t>
  </si>
  <si>
    <t>Zhuravleva, A; Hüls, M; Tiedemann, R; Bauch, HA</t>
  </si>
  <si>
    <t>Zhuravleva, A.; Huels, M.; Tiedemann, R.; Bauch, H. A.</t>
  </si>
  <si>
    <t>A 125-ka record of northern South American precipitation and the role of high-to-low latitude teleconnections</t>
  </si>
  <si>
    <t>South America; ITCZ; Orinoco River; Amazon River; Climate teleconnections; Dansgaard-Oeschger cycles</t>
  </si>
  <si>
    <t>WESTERN TROPICAL ATLANTIC; MERIDIONAL OVERTURNING CIRCULATION; SEA-SURFACE TEMPERATURE; ANTARCTIC INTERMEDIATE WATER; ORGANIC-CARBON ACCUMULATION; SCALE CLIMATE VARIABILITY; LAST GLACIAL MAXIMUM; MILLENNIAL-SCALE; OCEAN CIRCULATION; ABRUPT CHANGES</t>
  </si>
  <si>
    <t>The occurrence of rapid last glacial temperature shifts in both Greenland ice and subpolar marine sediment cores, so-called Dansgaard-Oeschger (D-O) cycles, is evidence of a tight regional climate connectivity in these northern latitudes. By contrast, processes behind high-to-low-latitude teleconnections during the D-O cycles are less well understood, due to imprecisions in cross-dating marine and ice core records and a general lack of solid multi-proxy records from the tropical region. Here we aim to study the response of the tropical ocean-atmosphere system to D-O variability by using a sediment core from the southern Caribbean Sea, located under the direct influence of the Intertropical Convergence Zone (ITCZ) and the Atlantic meridional overturning circulation (AMOC). During D-O cycles, abrupt shifts in the deposition of fine-grained terrigenous material sourced from the Orinoco and Amazon rivers are recognized. These sedimentary changes were associated with fluctuations in both the ITCZ location and the AMOC strength through their respective influence on the hydroclimate of northern South America and strength of ocean currents delivering fluvial material to the study site. Stable oxygen isotope data further suggest increase in the upper ocean temperatures in the southeastern Caribbean Sea during stadial events. As these warming trends correlate with Antarctic temperatures, they seem to contain imprints of the bipolar seesaw and AMOC variability, demonstrating that our core location was influenced by processes prevalent in both hemispheres. (C) 2021 Elsevier Ltd. All rights reserved.</t>
  </si>
  <si>
    <t>[Zhuravleva, A.] Acad Sci Humanities &amp; Literature, Geschwister Scholl Str 2, D-55131 Mainz, Germany; [Zhuravleva, A.] GEOMAR Helmholtz Ctr Ocean Res Kiel, Wischhofstr 1-3, D-24148 Kiel, Germany; [Zhuravleva, A.] Dalhousie Univ, Dept Oceanog, 1355 Oxford St, Halifax, NS B3H 4R2, Canada; [Huels, M.] Univ Kiel, Leibniz Lab Radiometr Dating &amp; Isotope Res, Max Eyth Str 11-13, D-24118 Kiel, Germany; [Tiedemann, R.] Alfred Wegener Inst, Helmholtz Ctr Polar &amp; Marine Res, Alten Hafen 26, D-27568 Bremerhaven, Germany; [Bauch, H. A.] GEOMAR Helmholtz Ctr Ocean Res Kiel, Helmholtz Ctr Polar &amp; Marine Res, Alfred Wegener Inst, Wischhofstr 1-3, D-24148 Kiel, Germany</t>
  </si>
  <si>
    <t>Helmholtz Association; GEOMAR Helmholtz Center for Ocean Research Kiel; Dalhousie University; University of Kiel; Helmholtz Association; Alfred Wegener Institute, Helmholtz Centre for Polar &amp; Marine Research; Helmholtz Association; Alfred Wegener Institute, Helmholtz Centre for Polar &amp; Marine Research; GEOMAR Helmholtz Center for Ocean Research Kiel</t>
  </si>
  <si>
    <t>Zhuravleva, A (corresponding author), Dalhousie Univ, Dept Oceanog, 1355 Oxford St, Halifax, NS B3H 4R2, Canada.</t>
  </si>
  <si>
    <t>anastasia.zhuravleva@dal.ca</t>
  </si>
  <si>
    <t>Zhuravleva, Anastasia/R-7573-2016</t>
  </si>
  <si>
    <t>German Research Foundation (DFG) [BA1367/12-1, TI240/8-2]</t>
  </si>
  <si>
    <t>German Research Foundation (DFG)(German Research Foundation (DFG))</t>
  </si>
  <si>
    <t>S. Muller and D. Garbe-Sch_onberg are thanked for technical support during XRF scanning at Kiel University. We thank S. Barker and J. Griffiths for making data from core MD99-2198 available for this study. P. Baker is acknowledged for providing data from core CDH-86. We thank two anonymous reviewers for their comments which helped to considerably improve the manuscript. The study acknowledges funding from German Research Foundation (DFG grants BA1367/12-1 and TI240/8-2).</t>
  </si>
  <si>
    <t>10.1016/j.quascirev.2021.107159</t>
  </si>
  <si>
    <t>WA7WC</t>
  </si>
  <si>
    <t>WOS:000703094700006</t>
  </si>
  <si>
    <t>Tatsumi, M; Layton, C; Cameron, MJ; Shelamoff, V; Johnson, CR; Wright, JT</t>
  </si>
  <si>
    <t>Tatsumi, Masayuki; Layton, Cayne; Cameron, Matthew J.; Shelamoff, Victor; Johnson, Craig R.; Wright, Jeffrey T.</t>
  </si>
  <si>
    <t>Interactive effects of canopy-driven changes in light, scour and water flow on microscopic recruits in kelp</t>
  </si>
  <si>
    <t>Ecklonia radiata; Recruitment; Kelp; Ecosystem engineering; Positive; Feedback</t>
  </si>
  <si>
    <t>ECKLONIA-RADIATA LAMINARIALES; GIANT-KELP; MACROCYSTIS-PYRIFERA; ALGAL ASSEMBLAGE; LIFE-HISTORY; GROWTH; PRODUCTIVITY; BIODIVERSITY; FACILITATION; AGGREGATION</t>
  </si>
  <si>
    <t>Ecosystem engineering kelp forms habitat and influences associated communities by altering abiotic conditions. These conditions can also affect the engineer's own demographic rates but the mechanisms underpinning these feedbacks are not well known. Here, we tested the interactive effects of three abiotic factors engineered by the Australasian kelp Ecklonia radiata (light, water flow and scour) on the early survivorship and growth of its outplanted microscopic recruits. After six weeks, recruit survivorship was high in the absence of scour and low light (2-3 times higher than when scour was present) and under low water flow-ambient light conditions. Growth of sporophytes was strongly related to light, with recruits under ambient light approximately four times larger after six weeks. Overall, reduced scour (for survivorship) and ambient light (for growth) appear crucial for maximising E. radiata recruitment suggesting a healthy forest can provide microenvironments to enhance survivorship while gaps in the canopy enhance growth.</t>
  </si>
  <si>
    <t>[Tatsumi, Masayuki; Layton, Cayne; Cameron, Matthew J.; Shelamoff, Victor; Johnson, Craig R.; Wright, Jeffrey T.] Univ Tasmania, Inst Marine &amp; Antarctic Studies, 20 Castray Esplanade, Battery Point, Tas 7004, Australia</t>
  </si>
  <si>
    <t>Tatsumi, M (corresponding author), Univ Tasmania, Inst Marine &amp; Antarctic Studies, 20 Castray Esplanade, Battery Point, Tas 7004, Australia.</t>
  </si>
  <si>
    <t>Masayuki.Tatsumi@utas.edu.au; Cayne.Layton@utas.edu.au; Victor.Shelamoff@utas.edu.au; Craig.Johnson@utas.edu.au; Jeffrey.Wright@utas.edu.au</t>
  </si>
  <si>
    <t>Cameron, Matthew/AAE-2786-2020; Layton, Cayne/J-8443-2013</t>
  </si>
  <si>
    <t>Layton, Cayne/0000-0002-3390-6437</t>
  </si>
  <si>
    <t>Australia Research Council Dis-covery Grant [DP13010113]</t>
  </si>
  <si>
    <t>Australia Research Council Dis-covery Grant(Australian Research Council)</t>
  </si>
  <si>
    <t>We acknowledge funding from the Australia Research Council Dis-covery Grant DP13010113. This study would have not been possible without generous support in the field provided by Martin Filleul and numerous volunteers from University of Tasmania.</t>
  </si>
  <si>
    <t>10.1016/j.marenvres.2021.105450</t>
  </si>
  <si>
    <t>WA3JJ</t>
  </si>
  <si>
    <t>WOS:000702785100008</t>
  </si>
  <si>
    <t>Stober, G; Kuchar, A; Pokhotelov, D; Liu, HX; Liu, HL; Schmidt, H; Jacobi, C; Baumgarten, K; Brown, P; Janches, D; Murphy, D; Kozlovsky, A; Lester, M; Belova, E; Kero, J; Mitchell, N</t>
  </si>
  <si>
    <t>Stober, Gunter; Kuchar, Ales; Pokhotelov, Dimitry; Liu, Huixin; Liu, Han-Li; Schmidt, Hauke; Jacobi, Christoph; Baumgarten, Kathrin; Brown, Peter; Janches, Diego; Murphy, Damian; Kozlovsky, Alexander; Lester, Mark; Belova, Evgenia; Kero, Johan; Mitchell, Nicholas</t>
  </si>
  <si>
    <t>Interhemispheric differences of mesosphere-lower thermosphere winds and tides investigated from three whole-atmosphere models and meteor radar observations</t>
  </si>
  <si>
    <t>EARTH SYSTEM MODEL; GENERAL-CIRCULATION MODEL; IN-SITU GENERATION; GRAVITY-WAVE; MIDDLE ATMOSPHERE; MF RADAR; SEASONAL VARIABILITY; MOMENTUM BUDGET; REANALYSIS DATA; DIURNAL TIDES</t>
  </si>
  <si>
    <t>Long-term and continuous observations of mesospheric-lower thermospheric winds are rare, but they are important to investigate climatological changes at these altitudes on timescales of several years, covering a solar cycle and longer. Such long time series are a natural heritage of the mesosphere-lower thermosphere climate, and they are valuable to compare climate models or long-term runs of general circulation models (GCMs). Here we present a climatological comparison of wind observations from six meteor radars at two conjugate latitudes to validate the corresponding mean winds and atmospheric diurnal and semidiurnal tides from three GCMs, namely the Ground-to-Topside Model of Atmosphere and Ionosphere for Aeronomy (GAIA), the Whole Atmosphere Community Climate Model Extension (Specified Dynamics) (WACCM-X(SD)), and the Upper Atmosphere ICOsahedral Non-hydrostatic (UA-ICON) model. Our results indicate that there are interhemispheric differences in the seasonal characteristics of the diurnal and semidiurnal tide. There are also some differences in the mean wind climatologies of the models and the observations. Our results indicate that GALA shows reasonable agreement with the meteor radar observations during the winter season, whereas WACCM-X(SD) shows better agreement with the radars for the hemispheric zonal summer wind reversal, which is more consistent with the meteor radar observations. The free-running UA-ICON tends to show similar winds and tides compared to WACCM-X(SD).</t>
  </si>
  <si>
    <t>[Stober, Gunter] Univ Bern, Inst Appl Phys, Bern, Switzerland; [Stober, Gunter] Univ Bern, Oeschger Ctr Climate Change Res, Microwave Phys, Bern, Switzerland; [Kuchar, Ales; Jacobi, Christoph] Univ Leipzig, Inst Meteorol, Leipzig, Germany; [Pokhotelov, Dimitry] German Aerosp Ctr DLR, Inst Solar Terr Phys, Neustrelitz, Germany; [Liu, Huixin] Kyushu Univ, Dept Earth &amp; Planetary Sci, Fukuoka, Japan; [Liu, Han-Li] Natl Ctr Atmospher Res, High Altitude Observ, POB 3000, Boulder, CO 80307 USA; [Schmidt, Hauke] Max Planck Inst Meteorol, Hamburg, Germany; [Baumgarten, Kathrin] Fraunhofer Inst Comp Graph Res IGD, Rostock, Germany; [Brown, Peter] Univ Western Ontario, Dept Phys &amp; Astron, London, ON N6A 3K7, Canada; [Brown, Peter] Univ Western Ontario, Western Inst Earth &amp; Space Explorat, London, ON N6A 5B7, Canada; [Janches, Diego] NASA, ITM Phys Lab, Goddard Space Flight Ctr, Mail Code 675, Greenbelt, MD 20771 USA; [Murphy, Damian] Australian Antarctic Div, Kingston, Tas, Australia; [Kozlovsky, Alexander] Univ Oulu, Sodankyla Geophys Observ, Sodankyla, Finland; [Lester, Mark] Univ Leicester, Dept Phys &amp; Astron, Leicester, Leics, England; [Belova, Evgenia; Kero, Johan] Swedish Inst Space Phys, Kiruna, Sweden; [Mitchell, Nicholas] British Antarctic Survey, Cambridge, England; [Mitchell, Nicholas] Univ Bath, Dept Elect &amp; Elect Engn, Bath, Avon, England</t>
  </si>
  <si>
    <t>University of Bern; University of Bern; Leipzig University; Helmholtz Association; German Aerospace Centre (DLR); Kyushu University; National Center Atmospheric Research (NCAR) - USA; Max Planck Society; Fraunhofer Gesellschaft; Western University (University of Western Ontario); Western University (University of Western Ontario); National Aeronautics &amp; Space Administration (NASA); NASA Goddard Space Flight Center; Australian Antarctic Division; University of Oulu; University of Leicester; UK Research &amp; Innovation (UKRI); Natural Environment Research Council (NERC); NERC British Antarctic Survey; University of Bath</t>
  </si>
  <si>
    <t>Janches, Diego/D-4674-2012; Lester, Mark/C-9657-2016; Kuchar, Ales/Q-2505-2017; Liu, Han/HMD-9231-2023; Pokhotelov, Dimitry/AAG-5627-2020; Brown, Peter G/C-8763-2018; Schmidt, Hauke/J-4469-2013; Liu, Han-Li/A-9549-2008; , Huixin/R-8932-2016</t>
  </si>
  <si>
    <t>Liu, Han/0000-0002-5269-8477; Pokhotelov, Dimitry/0000-0002-3712-0597; Kozlovsky, Alexander/0000-0003-1468-7600; Stober, Gunter/0000-0002-7909-6345; Jacobi, Christoph/0000-0002-7878-0110; , Huixin/0000-0001-7073-4366; Brown, Peter/0000-0001-6130-7039</t>
  </si>
  <si>
    <t>Deutsche Forschungsgemeinschaft [JA 836/43-1]; JSPS KAKENHI [18H01270, 18H04446, 17KK0095]; JRPs-LEAD; DFG; NASA [80NSSC20K1323, 80NSSC20K0601, 80NSSC20K0633]; NSF [OPP 1443726]; National Science Foundation [1852977]; Australian Antarctic Science projects [2668, 4025, 4445]; NASA Heliophysics ISFM program; NASA NESC assessment [TI-17-01204]; NASA Meteoroid Environment Office [80NSSC18M0046, 80NSSC21M0073]; Natural Sciences and Engineering Research Council of Canada [RGPIN-2016-04433]; Canada Research Chairs program [950-231930]; NERC [bas0100032] Funding Source: UKRI; STFC [ST/N000749/1] Funding Source: UKRI</t>
  </si>
  <si>
    <t>Deutsche Forschungsgemeinschaft(German Research Foundation (DFG)); JSPS KAKENHI(Ministry of Education, Culture, Sports, Science and Technology, Japan (MEXT)Japan Society for the Promotion of ScienceGrants-in-Aid for Scientific Research (KAKENHI)); JRPs-LEAD; DFG(German Research Foundation (DFG)); NASA(National Aeronautics &amp; Space Administration (NASA)); NSF(National Science Foundation (NSF)); National Science Foundation(National Science Foundation (NSF)); Australian Antarctic Science projects; NASA Heliophysics ISFM program; NASA NESC assessment; NASA Meteoroid Environment Office; Natural Sciences and Engineering Research Council of Canada(Natural Sciences and Engineering Research Council of Canada (NSERC)CGIAR); Canada Research Chairs program(Canada Research Chairs); NERC(UK Research &amp; Innovation (UKRI)Natural Environment Research Council (NERC)); STFC(UK Research &amp; Innovation (UKRI)Science &amp; Technology Facilities Council (STFC))</t>
  </si>
  <si>
    <t>Ales Kuchar and Christoph Jacobi acknowledge support by the Deutsche Forschungsgemeinschaft through grant no. JA 836/43-1. Huixin Liu acknowledges support by JSPS KAKENHI grant nos. 18H01270, 18H04446, 17KK0095, and JRPs-LEAD with DFG. Han-Li Liu's effort is partially supported by NASA (grant nos. 80NSSC20K1323, 80NSSC20K0601, 80NSSC20K0633) and the NSF (grant no. OPP 1443726). The National Center for Atmospheric Research is a major facility sponsored by the National Science Foundation under cooperative agreement no. 1852977. Operation of the Davis meteor radar is supported through Australian Antarctic Science projects 2668, 4025, and 4445. Diego Janches was supported by the NASA Heliophysics ISFM program. TDF's operation is supported by NASA NESC assessment TI-17-01204. This work was supported in part by the NASA Meteoroid Environment Office under cooperative agreement no. 80NSSC18M0046. PGB's operation was supported in part by the NASA Meteoroid Environment Office under cooperative agree-ment no. 80NSSC21M0073. PGB also acknowledges funding support from the Natural Sciences and Engineering Research Council of Canada (RGPIN-2016-04433) and the Canada Research Chairs program (grant no. 950-231930).</t>
  </si>
  <si>
    <t>SEP 17</t>
  </si>
  <si>
    <t>10.5194/acp-21-13855-2021</t>
  </si>
  <si>
    <t>US3GF</t>
  </si>
  <si>
    <t>WOS:000697321200004</t>
  </si>
  <si>
    <t>Yan, YZ; Spaulding, NE; Bender, ML; Brook, EJ; Higgins, JA; Kurbatov, AV; Mayewski, PA</t>
  </si>
  <si>
    <t>Yan, Yuzhen; Spaulding, Nicole E.; Bender, Michael L.; Brook, Edward J.; Higgins, John A.; Kurbatov, Andrei, V; Mayewski, Paul A.</t>
  </si>
  <si>
    <t>Enhanced moisture delivery into Victoria Lard, East Antarctica, during the early Last Interglacial: implications for West Antarctic Ice Sheet stability</t>
  </si>
  <si>
    <t>TAYLOR DOME; ALLAN HILLS; ROSS SEA; MASS-BALANCE; CHRONOLOGY AICC2012; CLIMATE HISTORY; CORE; RECORD; AREA; ACCUMULATION</t>
  </si>
  <si>
    <t>The S27 ice core, drilled in the Allan Hills Blue Ice Area of East Antarctica, is located in southern Victoria Land, similar to 80 km away from the present-day northern edge of the Ross Ice Shelf. Here, we utilize the reconstructed accumulation rate of S27 covering the Last Interglacial (LIG) period between 129 ka and 116 ka (where ka indicates thousands of years before present) to infer moisture transport into the region. The accumulation rate is based on the ice-age-gas-age differences calculated from the ice chronology, which is constrained by the stable water isotopes of the ice, and an improved gas chronology based on measurements of oxygen isotopes of O-2 in the trapped gases. The peak accumulation rate in S27 occurred at 128.2 ka, near the peak LIG warming in Antarctica. Even the most conservative estimate yields an order-of-magnitude increase in the accumulation rate during the LIG maximum, whereas other Antarctic ice cores are typically characterized by a glacial-interglacial difference of a factor of 2 to 3. While part of the increase in S27 accumulation rates must originate from changes in the large-scale atmospheric circulation, additional mechanisms are needed to explain the large changes. We hypothesize that the exceptionally high snow accumulation recorded in S27 reflects open-ocean conditions in the Ross Sea, created by reduced sea ice extent and increased polynya size and perhaps by a southward retreat of the Ross Ice Shelf relative to its present-day position near the onset of the LIG. The proposed ice shelf retreat would also be compatible with a sea-level high stand around 129 ka significantly sourced from West Antarctica. The peak in S27 accumulation rates is transient, suggesting that if the Ross Ice Shelf had indeed retreated during the early LIG, it would have re-advanced by 125 ka.</t>
  </si>
  <si>
    <t>[Yan, Yuzhen; Bender, Michael L.; Higgins, John A.] Princeton Univ, Dept Geosci, Princeton, NJ 08544 USA; [Yan, Yuzhen] Rice Univ, Dept Earth Environm &amp; Planetary Sci, Houston, TX 77005 USA; [Spaulding, Nicole E.; Kurbatov, Andrei, V; Mayewski, Paul A.] Univ Maine, Climate Change Inst, Orono, ME 04469 USA; [Bender, Michael L.] Shanghai Jiao Tong Univ, Sch Oceanog, Shanghai 200240, Peoples R China; [Brook, Edward J.] Oregon State Univ, Coll Earth Ocean &amp; Atmospher Sci, Corvallis, OR 97331 USA</t>
  </si>
  <si>
    <t>Princeton University; Rice University; University of Maine System; University of Maine Orono; Shanghai Jiao Tong University; Oregon State University</t>
  </si>
  <si>
    <t>Yan, YZ (corresponding author), Princeton Univ, Dept Geosci, Princeton, NJ 08544 USA.;Yan, YZ (corresponding author), Rice Univ, Dept Earth Environm &amp; Planetary Sci, Houston, TX 77005 USA.</t>
  </si>
  <si>
    <t>yuzhen.yan@rice.edu</t>
  </si>
  <si>
    <t>Yan, Yuzhen/ABA-9897-2021; Mayewski, Paul Andrew/HRD-6969-2023</t>
  </si>
  <si>
    <t>Yan, Yuzhen/0000-0002-2612-8542; Kurbatov, Andrei/0000-0002-9819-9251</t>
  </si>
  <si>
    <t>National Science Foundation [ANT-1443263, ANT-1443276, ANT-1443306]; Pan Family Postdoctoral Fellowship at Rice University</t>
  </si>
  <si>
    <t>National Science Foundation(National Science Foundation (NSF)); Pan Family Postdoctoral Fellowship at Rice University</t>
  </si>
  <si>
    <t>This research has been supported by the National Science Foundation, Directorate for Geosciences (grant nos. ANT-1443263, ANT-1443276, and ANT-1443306) and a Pan Family Postdoctoral Fellowship at Rice University to Yuzhen Yan.</t>
  </si>
  <si>
    <t>10.5194/cp-17-1841-2021</t>
  </si>
  <si>
    <t>US3GV</t>
  </si>
  <si>
    <t>WOS:000697322800001</t>
  </si>
  <si>
    <t>Cossich, W; Maestri, T; Magurno, D; Martinazzo, M; Di Natale, G; Palchetti, L; Bianchini, G; Del Guasta, M</t>
  </si>
  <si>
    <t>Cossich, William; Maestri, Tiziano; Magurno, Davide; Martinazzo, Michele; Di Natale, Gianluca; Palchetti, Luca; Bianchini, Giovanni; Del Guasta, Massimo</t>
  </si>
  <si>
    <t>Ice and mixed-phase cloud statistics on the Antarctic Plateau</t>
  </si>
  <si>
    <t>SUPERCOOLED LIQUID WATER; RADIATIVE PROPERTIES; POLARIZATION LIDAR; SPECTRAL RADIANCE; VAPOR; IDENTIFICATION</t>
  </si>
  <si>
    <t>Statistics on the occurrence of clear skies, ice clouds, and mixed-phase clouds over Concordia Station, in the Antarctic Plateau, are provided for multiple timescales and analyzed in relation to simultaneous meteorological parameters measured at the surface. Results are obtained by applying a machine learning cloud identification and classification (CIC) code to 4 years of measurements between 2012-2015 of downwelling high-spectral-resolution radiances, measured by the Radiation Explorer in the Far Infrared - Prototype for Applications and Development (REFIR-PAD) spectroradiometer. The CIC algorithm is optimized for Antarctic sky conditions and results in a total hit rate of almost 0.98, where 1.0 is a perfect score, for the identification of the clear-sky, ice cloud, and mixed-phase cloud classes. Scene truth is provided by lidar measurements that are concurrent with REFIR-PAD. The CIC approach demonstrates the key role of far-infrared spectral measurements for clear-cloud discrimination and for cloud phase classification. Mean annual occurrences are 72.3 %, 24.9 %, and 2.7 % for clear sky, ice clouds, and mixed-phase clouds, respectively, with an inter-annual variability of a few percent. The seasonal occurrence of clear sky shows a minimum in winter (66.8 %) and maxima (75 %-76 %) during intermediate seasons. In winter the mean surface temperature is about 9 degrees C colder in clear conditions than when ice clouds are present. Mixed-phase clouds are observed only in the warm season; in summer they amount to more than one-third of total observed clouds. Their occurrence is correlated with warmer surface temperatures. In the austral summer, the mean surface air temperature is about 5 degrees C warmer when clouds are present than in clear-sky conditions. This difference is larger during the night than in daylight hours, likely due to increased solar warming. Monthly mean results are compared to cloud occurrence and fraction derived from gridded (Level 3) satellite products from both passive and active sensors. The differences observed among the considered products and the CIC results are analyzed in terms of footprint sizes and sensors' sensitivities to cloud optical and geometrical features. The comparison highlights the ability of the CIC-REFIR-PAD synergy to identify multiple cloud conditions and study their variability at different timescales.</t>
  </si>
  <si>
    <t>[Cossich, William; Maestri, Tiziano; Magurno, Davide; Martinazzo, Michele] Alma Mater Studiorum Univ Bologna, Phys &amp; Astron Dept, Bologna, Italy; [Di Natale, Gianluca; Palchetti, Luca; Bianchini, Giovanni; Del Guasta, Massimo] CNR, Ist Nazl Ott, Rome, Italy</t>
  </si>
  <si>
    <t>University of Bologna; Consiglio Nazionale delle Ricerche (CNR); Istituto Nazionale di Ottica (INO-CNR)</t>
  </si>
  <si>
    <t>Maestri, T (corresponding author), Alma Mater Studiorum Univ Bologna, Phys &amp; Astron Dept, Bologna, Italy.</t>
  </si>
  <si>
    <t>tiziano.maestri@unibo.it</t>
  </si>
  <si>
    <t>Bianchini, Giovanni/ABD-3585-2020; Maestri, Tiziano/JFK-9151-2023; Cossich, William/AAW-7147-2021</t>
  </si>
  <si>
    <t>Bianchini, Giovanni/0000-0002-5400-7721; Maestri, Tiziano/0000-0001-9582-5029; Cossich, William/0000-0002-0349-1488; Di Natale, Gianluca/0000-0002-9149-7926; Magurno, Davide/0000-0001-5479-5062</t>
  </si>
  <si>
    <t>Italian Space Agency (ASI); European Space Agency (ESA)</t>
  </si>
  <si>
    <t>Italian Space Agency (ASI)(Agenzia Spaziale Italiana (ASI)); European Space Agency (ESA)(European Space Agency)</t>
  </si>
  <si>
    <t>The present work is in preparation of the FORUM mission. FORUM-related studies are supported by projects of the Italian Space Agency (ASI) and of the European Space Agency (ESA). We thank the Italian PNRA (Programma Nazionale di Ricerche in Antartide) and the Institut Polaire Francais Paul Emile Victor (IPEV). More specifically, data were obtained as a part of the subprojects PRANA (Proprieta Radiative dell'Atmosfera e delle Nubi in Antartide), COMPASS (Concordia Multi-Process Atmospheric Studies), FIRCLOUDS (Far Infrared Radiative Closure Experiment For Antarctic Clouds), and DOCTOR (Dome-C Tropospheric Observer). The authors acknowledge the Antarctic Meteo-Climatological Observatory at Concordia for the meteorological data availability as part of the IPEV/PNRA project Routine Meteorological Observation at Station Concordia. We thank the CALIPSO team and the Atmospheric Science Data Center at NASA Langley Research Center for archiving and hosting CALIPSO data. We thank the CloudSat team and the CloudSat Data Processing Center for archiving and hosting CloudSat data. We thank also the MODIS team and the Level 1 and Atmosphere Archive and Distribution System Distributed Active Archive Center (LAADS DAAC) for making the MODIS data available.</t>
  </si>
  <si>
    <t>10.5194/acp-21-13811-2021</t>
  </si>
  <si>
    <t>WOS:000697321200002</t>
  </si>
  <si>
    <t>Ward, DFL; Melbourne-Thomas, J; Johnson, CR; Wotherspoon, SJ</t>
  </si>
  <si>
    <t>Ward, Delphi F. L.; Melbourne-Thomas, Jessica; Johnson, Craig R.; Wotherspoon, Simon J.</t>
  </si>
  <si>
    <t>Trophic mediation and ecosystem stability: An assessment using qualitative network models</t>
  </si>
  <si>
    <t>PHAEOCYSTIS-ANTARCTICA KARSTEN; ALTERNATIVE STABLE STATES; EUPHAUSIA-SUPERBA DANA; DIMETHYL SULFIDE; SOUTHERN-OCEAN; FORAGING CUE; FOOD; KRILL; DIMETHYLSULFONIOPROPIONATE; DIVERSITY</t>
  </si>
  <si>
    <t>Nontrophic interactions can contribute to negative and positive feedbacks within a community, thus affecting likelihood of regime shifts; however, assessing the nature and importance of these effects in a network remains challenging, especially for pelagic ecosystems. Here, we present a qualitative modeling approach for assessing the importance of different effects and resultant feedbacks for community stability, using a Southern Ocean example. A potentially important positive feedback in the Southern Ocean ecosystem involves production of a chemical cue, dimethyl sulfide (DMS), by some phytoplankton. Production of DMS can promote phytoplankton growth by attracting predators of phytoplankton-grazers, and nutrients released as feces from those predators help fertilize the water column. We explored how uncertainties in the nature of this feedback affect community stability in a set of small, community models. We found that stability varied substantially depending on how the community was modeled, but that the interactions most important for determining stability were consistent across all models. Model stability was sensitive to the strength of phytoplankton competition, controls on phytoplankton, DMS production and release, and predator attraction to DMS, suggesting that the community could be destabilized by perturbation affecting these interactions. Incorporating DMS-mediated feedbacks into a larger Southern Ocean network had a moderate impact on stability characteristics and altered the trophic level at which the system would be most vulnerable to perturbation.</t>
  </si>
  <si>
    <t>[Ward, Delphi F. L.; Johnson, Craig R.; Wotherspoon, Simon J.] Univ Tasmania, Inst Marine &amp; Antarctic Studies, Hobart, Tas, Australia; [Melbourne-Thomas, Jessica] CSIRO Oceans &amp; Atmosphere, Hobart, Tas, Australia; [Wotherspoon, Simon J.] Australian Antarctic Div, Dept Environm &amp; Energy, Kingston, Tas, Australia</t>
  </si>
  <si>
    <t>University of Tasmania; Commonwealth Scientific &amp; Industrial Research Organisation (CSIRO); Australian Antarctic Division</t>
  </si>
  <si>
    <t>Ward, DFL (corresponding author), Univ Tasmania, Inst Marine &amp; Antarctic Studies, Hobart, Tas, Australia.</t>
  </si>
  <si>
    <t>delphi.ward@utas.edu.au</t>
  </si>
  <si>
    <t>Ward, Delphi/JCO-1069-2023; Melbourne-Thomas, Jess/N-2437-2019; Johnson, Craig/E-1788-2013</t>
  </si>
  <si>
    <t>Melbourne-Thomas, Jess/0000-0001-6585-876X; Ward, Delphi/0000-0002-1802-2617; Johnson, Craig/0000-0002-9511-905X; Wotherspoon, Simon/0000-0002-6947-4445</t>
  </si>
  <si>
    <t>Australian Government Research Training Program Scholarship, a Quantitative Antarctic Science program top-up scholarship; Holsworth Wildlife Research Endowment</t>
  </si>
  <si>
    <t>We are grateful to J. Dambacher for guidance with the symbolic analyses and to V. Dakos, K. Watermeyer, J. Dambacher and two anonymous reviewers whose thoughtful suggestions have improved the manuscript. D. Ward was supported by an Australian Government Research Training Program Scholarship, a Quantitative Antarctic Science program top-up scholarship and a Holsworth Wildlife Research Endowment.</t>
  </si>
  <si>
    <t>S146</t>
  </si>
  <si>
    <t>S162</t>
  </si>
  <si>
    <t>10.1002/lno.11926</t>
  </si>
  <si>
    <t>0B9CF</t>
  </si>
  <si>
    <t>WOS:000696481800001</t>
  </si>
  <si>
    <t>Le Bourg, B; Kuklinski, P; Balazy, P; Lepoint, G; Michel, LN</t>
  </si>
  <si>
    <t>Le Bourg, Baptiste; Kuklinski, Piotr; Balazy, Piotr; Lepoint, Gilles; Michel, Loic N.</t>
  </si>
  <si>
    <t>Interactive effects of body size and environmental gradient on the trophic ecology of sea stars in an Antarctic fjord</t>
  </si>
  <si>
    <t>Ontogenetic shifts; Resource availability; Trophic interaction; Sea stars; Southern Ocean; Stable isotopes</t>
  </si>
  <si>
    <t>KING GEORGE ISLAND; BENTHIC COMMUNITIES; PARTICLE DYNAMICS; ORGANIC-MATTER; MARINE; FOOD; COEXISTENCE; SHIFTS; DIET; KONGSFJORDEN</t>
  </si>
  <si>
    <t>Antarctic sea stars can occupy different trophic niches and display different trophic levels, but, while the impacts of their body size and environmental features on their trophic niches are potentially important, they are presently understudied. Here we assessed the trophic ecology in relation to the size and habitat of sea stars in a fjord on King George Island (South Shetland Islands) using stable isotope values of carbon (delta C-13), nitrogen (delta N-15), and sulphur (delta S-34). The disc radius influenced delta C-13 and delta N-15 values, whereas more limited changes in delta C-13 or delta S-34 values were related to arm length. Specifically, delta C-13 and delta N-15 values were linked to disc radius in generalist species (Diplasterias brandti and Odontaster validus), which could indicate ontogenetic diet shifts, while this relationship occurred less frequently in more specialised species (Bathybiaster loripes, Notasterias bongraini, and Perknaster sladeni). O. validus had a smaller isotopic niche size in the inner than the outer fjord. The niche overlap between D. brandti and O. validus was low in the inner fjord. Low resource availability within the fjord, linked to higher turbidity, could induce trophic niche constriction and interspecific resource segregation. This could represent a mechanism for competition avoidance in a resource-limited system. Conversely, higher resource availability could allow O. validus to expand and share its isotopic niche with D. brandti in the outer fjord with a limited risk of competition. This trophic plasticity will likely influence how O. validus copes with the present and future modification of environmental conditions induced by climate change.</t>
  </si>
  <si>
    <t>[Le Bourg, Baptiste; Lepoint, Gilles; Michel, Loic N.] Univ Liege, Lab Oceanol, Freshwater &amp; Ocean Sci Unit Res FOCUS, Allee Six Aout 13, B-4000 Liege, Belgium; [Kuklinski, Piotr; Balazy, Piotr] Polish Acad Sci IO PAN, Inst Oceanol, PL-81712 Sopot, Poland; [Le Bourg, Baptiste] Aix Marseille Univ, Campus Univ Luminy,Case 901, F-13288 Marseille, France; [Le Bourg, Baptiste] Univ Toulon &amp; Var, Mediterranean Inst Oceanog MIO, CNRS INSU, IRD,UM 110, Campus Univ Luminy,Case 901, F-13288 Marseille, France; [Michel, Loic N.] IFREMER, Lab Environm Profond, REM EEP, Ctr Bretagne, F-29280 Plouzane, France</t>
  </si>
  <si>
    <t>University of Liege; Polish Academy of Sciences; Institute of Oceanology of the Polish Academy of Sciences; Aix-Marseille Universite; Centre National de la Recherche Scientifique (CNRS); CNRS - National Institute for Earth Sciences &amp; Astronomy (INSU); Universite de Toulon; Aix-Marseille Universite; Institut de Recherche pour le Developpement (IRD); Universite de Bretagne Occidentale; Ifremer</t>
  </si>
  <si>
    <t>Le Bourg, B (corresponding author), Univ Liege, Lab Oceanol, Freshwater &amp; Ocean Sci Unit Res FOCUS, Allee Six Aout 13, B-4000 Liege, Belgium.;Le Bourg, B (corresponding author), Aix Marseille Univ, Campus Univ Luminy,Case 901, F-13288 Marseille, France.;Le Bourg, B (corresponding author), Univ Toulon &amp; Var, Mediterranean Inst Oceanog MIO, CNRS INSU, IRD,UM 110, Campus Univ Luminy,Case 901, F-13288 Marseille, France.</t>
  </si>
  <si>
    <t>lebourg.bapt@gmail.com</t>
  </si>
  <si>
    <t>Balazy, Piotr/D-2949-2018; Lepoint, Gilles/I-1130-2014</t>
  </si>
  <si>
    <t>Balazy, Piotr/0000-0002-1126-3151; Lepoint, Gilles/0000-0003-4375-0357</t>
  </si>
  <si>
    <t>Belgian Science Policy Office (BELSPO) as part of the vERSO; Belgian Science Policy Office (BELSPO) as part of the RECTO project [BR/132/A1/vERSO, BR/154/A1/RECTO]; Belgian Fund for Research Training in Industry and Agriculture (FRIA); [539/N-CAML/2009/0]</t>
  </si>
  <si>
    <t>Belgian Science Policy Office (BELSPO) as part of the vERSO; Belgian Science Policy Office (BELSPO) as part of the RECTO project; Belgian Fund for Research Training in Industry and Agriculture (FRIA)(Fonds de la Recherche Scientifique - FNRS);</t>
  </si>
  <si>
    <t>We thank Tadeusz Stryjek (IO PAN Scientific Diving Team) for his participation in sampling. This research was funded by the Belgian Science Policy Office (BELSPO) as part of the vERSO and RECTO projects (www.rectoversoprojects.be; contract nr. BR/132/A1/vERSO and BR/154/A1/RECTO). Sampling in Ezcurra Inlet was funded via Grant 539/N-CAML/2009/0. B.L.B. received a PhD scholarship from the Belgian Fund for Research Training in Industry and Agriculture (FRIA). G.L. is a Senior Research Associate at the Belgian Fund for Scientific Research (FRS-FNRS). Thanks also to the 2 anonymous referees for their helpful comments.</t>
  </si>
  <si>
    <t>SEP 16</t>
  </si>
  <si>
    <t>10.3354/meps13821</t>
  </si>
  <si>
    <t>WD9ZE</t>
  </si>
  <si>
    <t>WOS:000705289500013</t>
  </si>
  <si>
    <t>Lewandowski, K; Kretschmer, B; Schmidt, KW</t>
  </si>
  <si>
    <t>Lewandowski, K.; Kretschmer, B.; Schmidt, K. W.</t>
  </si>
  <si>
    <t>175 years of anesthesia and narcosis-Towards a human right to unconsciousness</t>
  </si>
  <si>
    <t>ANAESTHESIST</t>
  </si>
  <si>
    <t>German</t>
  </si>
  <si>
    <t>Anniversary; History of anesthesia; Ether; Pain; Unconsciousness</t>
  </si>
  <si>
    <t>MALE CIRCUMCISION; SEXUAL HALLUCINATIONS; ROVENSTINE LECTURE; LETHAL INJECTION; NO ANESTHETIST; HIV PREVENTION; SURGERY; HEALTH; AWARENESS; MEN</t>
  </si>
  <si>
    <t>The Ether Day, a key moment in the history of mankind, commemorates its 175th anniversary on 16 October 2021. On that day the dentist William T. G. Morton successfully gave the first public ether anesthesia in Boston. From then on it was possible to save people from pain with justifiable risk and at the same time to protect them from psychological damage by inducing unconsciousness. The German philosopher Peter Sloterdijk, one of the most renowned and effective philosophers of our times, deduced that from then on humans, to some extent, had a right to unconsciousness when in psychophysical distress. This postulate unfolded from his concept of anthropotechnics developed around 1997, meaning the idea of treating human nature as an object of possible improvements. According to Sloterdijk, in favorable cases a synthesis of man and technology can result in a significant improvement of human capabilities in the sense of enhancement, i.e. an increase, an improvement or even an expansion of intellectual, physical or psychological possibilities, as it were in a transgression of the human (so-called transhumanism). Man should go into vertical tension, i.e. strive for higher aims and exploit his inherent potential, he should not dwell in the horizontal. This is not meant as an appeal but as an imperative: You must change your life!. In this context modern anesthesia may prove helpful: be operated on by others in order to undergo an enhancement. Or, in its most extreme form, the operation in the auto-operational curved space, a person can even operate on himself as has been dramatically demonstrated by Rogozov, a young Russian physician and trainee surgeon who successfully performed a self-appendectomy under local anesthesia at the Novolazarevskaya Antarctic Station in 1961; however, the implementation of this idea is a long way off. On the one hand, many countries lack qualified personnel in sufficiently large numbers to perform even vital operations with patients under anesthesia. On the other hand, over the decades it has become clear that anesthesia is obviously beneficial for mankind in that it offers relief from pain and psychological stress but that it can also often show its dark side: substance abuse, use of anesthetics in torture and in executions. In addition, the role of anesthetics in resuscitation, palliative care, and allaying executions is unclear or controversial. Finally, the necessary formal legal steps to acknowledge a human right to unconsciousness have not yet been implemented.</t>
  </si>
  <si>
    <t>[Lewandowski, K.] Charite Extern, Anasthesiol &amp; Operat Intens Med, Berlin, Germany; [Kretschmer, B.] Justus Liebig Univ, Giessen, Germany; [Schmidt, K. W.] Agaples Markus Krankenhaus, Zentrum Eth Med, Frankfurt, Germany</t>
  </si>
  <si>
    <t>Justus Liebig University Giessen</t>
  </si>
  <si>
    <t>Lewandowski, K (corresponding author), Charite Extern, Anasthesiol &amp; Operat Intens Med, Berlin, Germany.</t>
  </si>
  <si>
    <t>klaus.lewandowski@t-online.de</t>
  </si>
  <si>
    <t>0003-2417</t>
  </si>
  <si>
    <t>1432-055X</t>
  </si>
  <si>
    <t>Anaesthesist</t>
  </si>
  <si>
    <t>10.1007/s00101-021-01043-1</t>
  </si>
  <si>
    <t>Anesthesiology</t>
  </si>
  <si>
    <t>WB9KO</t>
  </si>
  <si>
    <t>WOS:000696438900002</t>
  </si>
  <si>
    <t>Truong, G; Rogers, TL</t>
  </si>
  <si>
    <t>Truong, Gary; Rogers, Tracey L.</t>
  </si>
  <si>
    <t>Seasonal Occurrence of Sympatric Blue Whale Subspecies: the Chilean and Southeast Indian Ocean Pygmy Blue Whales With the Antarctic Blue Whale</t>
  </si>
  <si>
    <t>sympatric populations; long-term data; bioacoustics; subspeciation; blue whales; passive acoustic monitoring</t>
  </si>
  <si>
    <t>BALAENOPTERA-MUSCULUS-INTERMEDIA; ACOUSTIC PRESENCE; SOUTHWEST PACIFIC; CALLS; SONG; SPECIATION; WINTER; SEA; VOCALIZATIONS; HEMISPHERE</t>
  </si>
  <si>
    <t>There are multiple blue whale acoustic populations found across the Southern Hemisphere. The different subspecies of blue whales feed in separate areas, but during their migration to lower-latitude breeding areas each year, Antarctic blue whales become sympatric with pygmy and Chilean blue whales. Few studies have compared the degree of this overlap of the Southern Hemisphere blue whale subspecies across ocean basins during their migration. Using up to 16 years of acoustic data, this study compares the broad seasonal presence of Antarctic blue whales, Chilean blue whales, and Southeast Indian Ocean (SEIO) pygmy blue whales across the Pacific and Indian Oceans. Antarctic blue whales were sympatric with the other two blue whale subspecies during the migrating season of every year. Despite this overlap, Chilean and pygmy blue whale detections peaked earlier during the austral autumn (April-May) while Antarctic blue whale detections peaked later during the austral winter (June). Chilean (Pacific Ocean) and SEIO (Indian Ocean) pygmy blue whales showed similar seasonal patterns in detections despite occurring in different ocean basins. Though we have shown that Antarctic blue whales have the potential to encounter other blue whale subspecies during the breeding season, these distinct groups have remained acoustically stable through time. Further understanding of where these whales migrate will enable a better insight as to how these subspecies continue to remain separate.</t>
  </si>
  <si>
    <t>[Truong, Gary; Rogers, Tracey L.] Univ New South Wales, Evolut &amp; Ecol Res Ctr, Sch Biol Earth &amp; Environm Sci, Sydney, NSW, Australia; [Truong, Gary; Rogers, Tracey L.] Univ New South Wales, Ctr Marine Sci &amp; Innovat, Sch Biol Earth &amp; Environm Sci, Sydney, NSW, Australia</t>
  </si>
  <si>
    <t>Truong, G (corresponding author), Univ New South Wales, Evolut &amp; Ecol Res Ctr, Sch Biol Earth &amp; Environm Sci, Sydney, NSW, Australia.;Truong, G (corresponding author), Univ New South Wales, Ctr Marine Sci &amp; Innovat, Sch Biol Earth &amp; Environm Sci, Sydney, NSW, Australia.</t>
  </si>
  <si>
    <t>g.truong@unsw.edu.au</t>
  </si>
  <si>
    <t>Rogers, Tracey/0000-0002-7141-4177; Truong, Gary/0000-0001-5308-8745</t>
  </si>
  <si>
    <t>Australian Research Training Program Scholarship; Winnifred Scott Foundation</t>
  </si>
  <si>
    <t>GT was funded by an Australian Research Training Program Scholarship and a grant from the Winnifred Scott Foundation</t>
  </si>
  <si>
    <t>10.3389/fmars.2021.671145</t>
  </si>
  <si>
    <t>UZ2MG</t>
  </si>
  <si>
    <t>WOS:000702043700001</t>
  </si>
  <si>
    <t>Varga, T; Fisher, RE; France, JL; Haszpra, L; Jull, AJT; Lowry, D; Major, I; Molnár, M; Nisbet, EG; László, E</t>
  </si>
  <si>
    <t>Varga, T.; Fisher, R. E.; France, J. L.; Haszpra, L.; Jull, A. J. T.; Lowry, D.; Major, I.; Molnar, M.; Nisbet, E. G.; Laszlo, E.</t>
  </si>
  <si>
    <t>Identification of Potential Methane Source Regions in Europe Using δ13CCH4 Measurements and Trajectory Modeling</t>
  </si>
  <si>
    <t>methane; stable carbon isotopes; greenhouse gas; backward trajectory; potential source region; cross-correlation analysis</t>
  </si>
  <si>
    <t>FOSSIL-FUEL COMBUSTION; ATMOSPHERIC METHANE; CARBON-DIOXIDE; ISOTOPIC COMPOSITION; STABLE-ISOTOPE; EMISSIONS; CH4; GAS; ORIGIN; CO2</t>
  </si>
  <si>
    <t>The methane emissions from the Hungarian Pannonian Basin are not well qualified, due to a lack of measurements of CH4 mole fraction and delta C-13(CH4) in the air. This study reports methane measurements in air samples from Hungary, placing them in the context of regional and global background data, to investigate the inputs to the methane burden in Central Europe. CH4 mole fraction and delta C-13(CH4) from the Hungarian tall tower station, Hegyhatsal, and additional data from Mace Head (Ireland) and Zeppelin (Svalbard) are used with back trajectory modeling to identify central European source areas and their seasonal variation between the summer vegetation and winter heating periods. Methane measurements in air masses sampled in the European interior, have significantly higher maxima and seasonal amplitudes than at the Mace Head and Zeppelin European background sites. The mean CH4 mole fraction value is about 80 ppb higher than the comparable marine background, and values above 2,000 ppb were frequently observed between February 2013 and December 2015. The mean delta C-13(CH4) value -47.5 +/- 0.3 parts per thousand (2 sigma) was comparable to values at all three monitoring sites, but specific pollution events were detected at Hegyhatsal. Concentration weighted trajectory modeling, meteorological parameters, stable carbon isotopic composition (delta C-13(CH4)), and Miller-Tans analysis show that the main factors influencing CH4 at the Hegyhatsal, apart from diurnal and seasonal changes in the planetary boundary layer, are emissions from residential heating and industrial CH4 emissions during the winter.</t>
  </si>
  <si>
    <t>[Varga, T.; Jull, A. J. T.; Major, I.; Molnar, M.; Laszlo, E.] Inst Nucl Res ATOMKI, Isotope Climatol &amp; Environm Res Ctr ICER, Debrecen, Hungary; [Varga, T.] Univ Debrecen, Doctoral Sch Phys, Debrecen, Hungary; [Fisher, R. E.; France, J. L.; Lowry, D.; Nisbet, E. G.] Royal Holloway Univ London, Dept Earth Sci, Egham, Surrey, England; [France, J. L.] British Antarctic Survey, Nat Environm Res Council, Cambridge, England; [Haszpra, L.] Res Ctr Astron &amp; Earth Sci, Geodet &amp; Geophys Inst, Sopron, Hungary; [Jull, A. J. T.] Univ Arizona, Dept Geosci, Tucson, AZ 85721 USA; [Jull, A. J. T.] Univ Arizona AMS Lab, Tucson, AZ USA</t>
  </si>
  <si>
    <t>Hungarian Academy of Sciences; Hungarian Research Network; HUN-REN Institute for Nuclear Research; University of Debrecen; University of London; Royal Holloway University London; UK Research &amp; Innovation (UKRI); Natural Environment Research Council (NERC); NERC British Antarctic Survey; Hungarian Research Network; Hungarian Academy of Sciences; HUN-REN Research Centre for Astronomy &amp; Earth Sciences; HUN-REN Institute of Earth Physics &amp; Space Science; University of Arizona</t>
  </si>
  <si>
    <t>Varga, T; László, E (corresponding author), Inst Nucl Res ATOMKI, Isotope Climatol &amp; Environm Res Ctr ICER, Debrecen, Hungary.;Varga, T (corresponding author), Univ Debrecen, Doctoral Sch Phys, Debrecen, Hungary.</t>
  </si>
  <si>
    <t>varga.tamas@atomki.hu; laszlo.elemer@atomki.hu</t>
  </si>
  <si>
    <t>Lowry, David/GXG-1235-2022; Varga, Tamás/HNS-8738-2023; László, Elemér/N-3336-2019; Lowry, David/JCE-0619-2023; Fisher, Rebecca/AAA-5352-2022; France, James L/L-9719-2015</t>
  </si>
  <si>
    <t>László, Elemér/0000-0001-7276-7241; LOWRY, DAVID/0000-0002-8535-0346; Fisher, Rebecca/0000-0002-9262-5467; Varga, Tamas/0000-0002-2735-1375</t>
  </si>
  <si>
    <t>European Union; State of Hungary; European Regional Development Fund [GINOP-2.3.2-15-2016-00009]; European Community [284274]; National Scientific Research Fund OTKA [K129118]; NERC [NE/N016238/1, NE/P019641/]; New National Excellence Program of the Ministry for Innovation and Technology [UNKP-20-3]; EU; NERC [bas0100032] Funding Source: UKRI</t>
  </si>
  <si>
    <t>European Union(European Union (EU)); State of Hungary; European Regional Development Fund(European Union (EU)); European Community; National Scientific Research Fund OTKA(Orszagos Tudomanyos Kutatasi Alapprogramok (OTKA)); NERC(UK Research &amp; Innovation (UKRI)Natural Environment Research Council (NERC)); New National Excellence Program of the Ministry for Innovation and Technology; EU(European Union (EU)); NERC(UK Research &amp; Innovation (UKRI)Natural Environment Research Council (NERC))</t>
  </si>
  <si>
    <t>The research was supported by the European Union and the State of Hungary, co-financed by the European Regional Development Fund in the project of GINOP-2.3.2-15-2016-00009 ICER. The research leading to these results has received funding from the European Community's Seventh Framework Programme (FP7/2007-2013) in the InGOS project under grant agreement no. 284274. The work of Laszlo Haszpra was supported by the National Scientific Research Fund OTKA K129118. RHUL measurement was supported by the EU Geomon and InGOS projects and NERC projects NE/N016238/1 MOYA: The Global Methane Budget and NE/P019641/1, New methodologies for removal of methane from the atmosphere, awarded to E. G. Nisbet, D. Lowry and R. E. Fisher. Supported by the UNKP-20-3 New National Excellence Program of the Ministry for Innovation and Technology from the source of the National Research, Development and Innovation Fund. The authors gratefully acknowledge the NOAA Air Resources Laboratory for the provision of the HYSPLIT transport and dispersion model and/or READY website (http://www.ready.noaa.gov) used in this publication.</t>
  </si>
  <si>
    <t>e2020JD033963</t>
  </si>
  <si>
    <t>10.1029/2020JD033963</t>
  </si>
  <si>
    <t>UO4NL</t>
  </si>
  <si>
    <t>WOS:000694671900031</t>
  </si>
  <si>
    <t>Yue, FE; Xie, ZQ; Yan, JP; Zhang, YX; Jiang, B</t>
  </si>
  <si>
    <t>Yue, Fange; Xie, Zhouqing; Yan, Jinpei; Zhang, Yanxu; Jiang, Bei</t>
  </si>
  <si>
    <t>Spatial Distribution of Atmospheric Mercury Species in the Southern Ocean</t>
  </si>
  <si>
    <t>Antarctica; gaseous oxidized mercury (GOM); spatial distribution; sea-ice; marine boundary layer (MBL)</t>
  </si>
  <si>
    <t>MARINE BOUNDARY-LAYER; GASEOUS ELEMENTAL MERCURY; BROMINE MONOXIDE BRO; OXIDIZED MERCURY; SEA-ICE; SPRINGTIME DEPLETION; COASTAL; OZONE; SPECIATION; OXIDATION</t>
  </si>
  <si>
    <t>Antarctica and the surrounding Southern Ocean act as an important sink in the global mercury cycle; however, corresponding studies of atmospheric mercury species in these regions are still scarce. Here, we report large-scale observations of atmospheric gaseous elemental mercury (GEM) and gaseous oxidized mercury (GOM) in the Antarctic marine boundary layer (MBL) taken during a summer cruise. There is large variability in the spatial distribution of GOM, which is likely attributable to the diverse land surface types, including coastal Antarctica, sea-ice region, and oceanic region, along the cruise route. In coastal Antarctica, the highest GOM level (56.23 +/- 47.74 pg center dot m(-3)) might be attributed to the significant in-situ oxidation there. Significant in-situ oxidation of GEM could also occur in the sea-ice region, causing the significant increase of GOM (up to 87.01 pg center dot m(-3)), while the uptake of the high content of sea-salt aerosols in sea-ice regions might efficiently eliminate GOM in the air, resulting in generally lower content of GOM (13.10 +/- 14.48 pg center dot m(-3)) in the sea-ice region. In the oceanic region, the lowest level of GOM (3.95 +/- 4.69 pg center dot m(-3)) is due to both the uptake of sea-salt aerosols and the seasonal melting of first-year sea-ice. This study provides insight to understand the mechanisms of the atmospheric mercury cycle in various land surface types in the Antarctic MBL.</t>
  </si>
  <si>
    <t>[Yue, Fange; Xie, Zhouqing; Jiang, Bei] Univ Sci &amp; Technol China, Inst Polar Environm, Dept Environm Sci &amp; Engn, Hefei, Peoples R China; [Yue, Fange; Xie, Zhouqing; Jiang, Bei] Univ Sci &amp; Technol China, Anhui Key Lab Polar Environm &amp; Global Change, Dept Environm Sci &amp; Engn, Hefei, Peoples R China; [Xie, Zhouqing] Chinese Acad Sci, Inst Urban Environm, Ctr Excellence Urban Atmospher Environm, Xiamen, Peoples R China; [Yan, Jinpei] Minist Nat Resource, Key Lab Global Change &amp; Marine Atmospher Chem, Xiamen, Peoples R China; [Yan, Jinpei] Minist Nat Resource, Inst Oceanog 3, Xiamen, Peoples R China; [Zhang, Yanxu] Nanjing Univ, Sch Atmospher Sci, Nanjing, Peoples R China</t>
  </si>
  <si>
    <t>Chinese Academy of Sciences; University of Science &amp; Technology of China, CAS; Chinese Academy of Sciences; University of Science &amp; Technology of China, CAS; Chinese Academy of Sciences; Institute of Urban Environment, CAS; Third Institute of Oceanography, Ministry of Natural Resources; Nanjing University</t>
  </si>
  <si>
    <t>Xie, ZQ (corresponding author), Univ Sci &amp; Technol China, Inst Polar Environm, Dept Environm Sci &amp; Engn, Hefei, Peoples R China.;Xie, ZQ (corresponding author), Univ Sci &amp; Technol China, Anhui Key Lab Polar Environm &amp; Global Change, Dept Environm Sci &amp; Engn, Hefei, Peoples R China.;Xie, ZQ (corresponding author), Chinese Acad Sci, Inst Urban Environm, Ctr Excellence Urban Atmospher Environm, Xiamen, Peoples R China.</t>
  </si>
  <si>
    <t>Jiang, Bei/JDC-9899-2023; Zhang, Yanxu/H-6165-2016</t>
  </si>
  <si>
    <t>Jiang, Bei/0000-0001-5223-6742; Yan, Jin Pei/0000-0002-1273-9422; Zhang, Yanxu/0000-0001-7770-3466</t>
  </si>
  <si>
    <t>National Natural Science Foundation of China [41676173, 41930532]; Ministry of Natural Resources of the People's Republic of China [IRASCC2020-2022-No.01-01-02E]</t>
  </si>
  <si>
    <t>National Natural Science Foundation of China(National Natural Science Foundation of China (NSFC)); Ministry of Natural Resources of the People's Republic of China</t>
  </si>
  <si>
    <t>This work was supported by the National Natural Science Foundation of China (grant no. 41676173, 41930532), and the Ministry of Natural Resources of the People's Republic of China (IRASCC2020-2022-No.01-01-02E). We thank China Arctic and Antarctic Administration for fieldwork support. We thank Prof. Feiyue Wang at Univ of Minitoba, and Xuewu Fu at the Institute of Geochemistry, Chinese Academy of Sciences for helpful discussion and improving English expression. The authors acknowledge the NOAA Air Resources Laboratory (ARL) for developing the HYSPLIT transport and dispersion model available on the Internet (https://www.ready.noaa.gov/HYSPLIT.php).</t>
  </si>
  <si>
    <t>e2021JD034651</t>
  </si>
  <si>
    <t>10.1029/2021JD034651</t>
  </si>
  <si>
    <t>WOS:000694671900024</t>
  </si>
  <si>
    <t>Zhu, WZ; Ge, YM; Gao, HM; Dai, J; Zhang, XL; Yang, Q</t>
  </si>
  <si>
    <t>Zhu, Wen-Zhuo; Ge, Ya-Ming; Gao, Hui-Min; Dai, Jun; Zhang, Xiao-Ling; Yang, Qiao</t>
  </si>
  <si>
    <t>Gephyromycinifex aptenodytis gen. nov., sp. nov., isolated from gut of Antarctic emperor penguin Aptenodytes forsteri</t>
  </si>
  <si>
    <t>Antarctic actinobacteria; Gephyromycinifex aptenodytis gen. nov., sp. nov; Gut microbiota; Antarctic emperor penguin; Taxogenomic; Gephyromycin analogues</t>
  </si>
  <si>
    <t>DINOFLAGELLATE; ANGUCYCLINONE; UPDATE</t>
  </si>
  <si>
    <t>A novel actinobacterium NJES-13(T) was isolated from the gut of Antarctic emperor penguin Aptenodytes forsteri. The new isolate produces bioactive gephyromycin metabolites and exopolysaccharides (EPS). Cells were Gram-negative, motile with the peritrichous flagella, and with a faint layer of extracellular slime. Colonies were yellow when grown on marine agar, ISP1, 2, 4 and TSA media. The strain developed clusters of coccoid, and divided by binary fission in the early phase of growth. The cell clusters were gradually disrupted during the stationary phase and formed short rod-shape cells which were interconnected by viscous EPS showing a three-dimensional net-like morphology, and contained polyhydroxyalkanoates (PHA) granules inside the cells. Growth of strain NJES-13(T) was observed at 15-45 degrees C, at pH 6.0-9.0 with 0.5-9.0% (w/v) NaCl. The complete genomic size of strain NJES-13(T) was 3.45 Mb with a DNA G + C content of 67.0 mol%. The combined polyphasic taxonomic characterizations presented in this study unequivocally separated strain NJES-13(T) from all known genera in the family Dermatophilaceae. Thus, strain NJES-13(T) represents a novel species of a new genus, for which the name Gephyromycinifex aptenodytis gen. nov., and sp. nov. is proposed. The type strain is NJES-13(T) (= CCTCC 2019007(T) = KCTC 49281(T)). Genetic prediction of secondary metabolite biosynthesis revealed a 44.5 kb-long biosynthetic gene cluster (BGC) of type III polyketide synthase (PKS) as well as four other BGCs, indicating its great potential to produce novel bioactive metabolites derived from the gut microbiota of animals living in the extreme habitats in the Antarctica.</t>
  </si>
  <si>
    <t>[Zhu, Wen-Zhuo; Gao, Hui-Min; Zhang, Xiao-Ling] Zhejiang Ocean Univ, Coll Marine Sci &amp; Technol, Dept Marine Chem, Zhoushan 316022, Peoples R China; [Ge, Ya-Ming] Natl Engn Res Ctr Marine Aquaculture, Zhoushan 316021, Peoples R China; [Dai, Jun; Zhang, Xiao-Ling; Yang, Qiao] Hubei Univ Technol, Coll Bioengn, Nat Ctr Cellular Regulat &amp; Mol Pharmaceut 111, Key Lab Fermentat Engn,Minist Educ, Wuhan 430068, Peoples R China; [Zhang, Xiao-Ling; Yang, Qiao] Zhejiang Ocean Univ, ABI Grp, Zhoushan 316022, Peoples R China; [Yang, Qiao] Zhejiang Ocean Univ, Dept Environm Sci &amp; Engn, Zhoushan 316022, Peoples R China</t>
  </si>
  <si>
    <t>Zhejiang Ocean University; Hubei University of Technology; Zhejiang Ocean University; Zhejiang Ocean University</t>
  </si>
  <si>
    <t>Zhang, XL (corresponding author), Zhejiang Ocean Univ, Coll Marine Sci &amp; Technol, Dept Marine Chem, Zhoushan 316022, Peoples R China.;Yang, Q (corresponding author), Hubei Univ Technol, Coll Bioengn, Nat Ctr Cellular Regulat &amp; Mol Pharmaceut 111, Key Lab Fermentat Engn,Minist Educ, Wuhan 430068, Peoples R China.</t>
  </si>
  <si>
    <t>zhangxiaoling@zjou.edu.cn; qiaoyang1979@whu.edu.cn</t>
  </si>
  <si>
    <t>Li, Binxu/KDO-3273-2024; Lin, Kuan-Yu/JXM-6653-2024; Gao, Huimin/I-8253-2012</t>
  </si>
  <si>
    <t>Yang, Qiao/0000-0002-7770-5389</t>
  </si>
  <si>
    <t>Fundamental Research Funds for Zhejiang Provincial Universities and Research Institutes [2021J020]; National Natural Science Foundation of China [41876114]; Scientific Research Startup Foundation of Zhejiang Ocean University [11104150319/001]</t>
  </si>
  <si>
    <t>Fundamental Research Funds for Zhejiang Provincial Universities and Research Institutes; National Natural Science Foundation of China(National Natural Science Foundation of China (NSFC)); Scientific Research Startup Foundation of Zhejiang Ocean University</t>
  </si>
  <si>
    <t>This work was supported by the Fundamental Research Funds for Zhejiang Provincial Universities and Research Institutes (Grant No. 2021J020), the National Natural Science Foundation of China (Grant No. 41876114), and the Scientific Research Startup Foundation of Zhejiang Ocean University (Grant No. 11104150319/001).</t>
  </si>
  <si>
    <t>10.1007/s10482-021-01657-w</t>
  </si>
  <si>
    <t>WOS:000696492400002</t>
  </si>
  <si>
    <t>Tang, WY; Llort, J; Weis, J; Perron, MMG; Basart, S; Li, ZC; Sathyendranath, S; Jackson, T; Rodriguez, ES; Proemse, BC; Bowie, AR; Schallenberg, C; Strutton, PG; Matear, R; Cassar, N</t>
  </si>
  <si>
    <t>Tang, Weiyi; Llort, Joan; Weis, Jakob; Perron, Morgane M. G.; Basart, Sara; Li, Zuchuan; Sathyendranath, Shubha; Jackson, Thomas; Rodriguez, Estrella Sanz; Proemse, Bernadette C.; Bowie, Andrew R.; Schallenberg, Christina; Strutton, Peter G.; Matear, Richard; Cassar, Nicolas</t>
  </si>
  <si>
    <t>Widespread phytoplankton blooms triggered by 2019-2020 Australian wildfires</t>
  </si>
  <si>
    <t>FIRE EMISSIONS; IRON; CLIMATE; IMPACTS; DUST; SENSITIVITY; SOLUBILITY; REANALYSIS; INJECTION; EVENTS</t>
  </si>
  <si>
    <t>Droughts and climate-change-driven warming are leading to more frequent and intense wildfires(1-3), arguably contributing to the severe 2019-2020 Australian wildfires(4). The environmental and ecological impacts of the fires include loss of habitats and the emission of substantial amounts of atmospheric aerosols(5-7). Aerosol emissions from wildfires can lead to the atmospheric transport of macronutrients and bio-essential trace metals such as nitrogen and iron, respectively(8-10). It has been suggested that the oceanic deposition of wildfire aerosols can relieve nutrient limitations and, consequently, enhance marine productivity(11,12), but direct observations are lacking. Here we use satellite and autonomous biogeochemical Argo float data to evaluate the effect of 2019-2020 Australian wildfire aerosol deposition on phytoplankton productivity. We find anomalously widespread phytoplankton blooms from December 2019 to March 2020 in the Southern Ocean downwind of Australia. Aerosol samples originating from the Australian wildfires contained a high iron content and atmospheric trajectories show that these aerosols were likely to be transported to the bloom regions, suggesting that the blooms resulted from the fertilization of the iron-limited waters of the Southern Ocean. Climate models project more frequent and severe wildfires in many regions(1-3). A greater appreciation of the links between wildfires, pyrogenic aerosols(13), nutrient cycling and marine photosynthesis could improve our understanding of the contemporary and glacial-interglacial cycling of atmospheric CO2 and the global climate system. Oceanic deposition of wildfire aerosols can enhance marine productivity, as supported here by satellite and in situ profiling floats data showing that emissions from the 2019-2020 Australian wildfires fuelled phytoplankton blooms in the Southern Ocean.</t>
  </si>
  <si>
    <t>[Tang, Weiyi; Li, Zuchuan; Cassar, Nicolas] Duke Univ, Nicholas Sch Environm, Div Earth &amp; Climate Sci, Durham, NC 27708 USA; [Llort, Joan; Weis, Jakob; Perron, Morgane M. G.; Proemse, Bernadette C.; Bowie, Andrew R.; Schallenberg, Christina; Strutton, Peter G.] Univ Tasmania, Inst Marine &amp; Antarctic Studies, Hobart, Tas, Australia; [Llort, Joan; Basart, Sara] Barcelona Supercomp Ctr, Barcelona, Spain; [Weis, Jakob; Strutton, Peter G.] Univ Tasmania, Australian Res Council Ctr Excellence Climate Ext, Hobart, Tas, Australia; [Li, Zuchuan] Woods Hole Oceanog Inst, Appl Ocean Phys &amp; Engn, Woods Hole, MA USA; [Sathyendranath, Shubha; Jackson, Thomas] Plymouth Marine Lab, Plymouth, Devon, England; [Rodriguez, Estrella Sanz] Univ Tasmania, Australian Ctr Res Separat Sci ACROSS, Sch Nat Sci, Hobart, Tas, Australia; [Bowie, Andrew R.; Schallenberg, Christina] Univ Tasmania, Australian Antarctic Program Partnership, Hobart, Tas, Australia; [Matear, Richard] CSIRO Oceans &amp; Atmosphere, Hobart, Tas, Australia; [Cassar, Nicolas] Univ Brest, LEMAR, IFREMER, CNRS,IRD, Plouzane, France; [Tang, Weiyi] Princeton Univ, Dept Geosci, Princeton, NJ USA</t>
  </si>
  <si>
    <t>Duke University; University of Tasmania; Universitat Politecnica de Catalunya; Barcelona Supercomputer Center (BSC-CNS); University of Tasmania; Woods Hole Oceanographic Institution; Plymouth Marine Laboratory; University of Tasmania; University of Tasmania; Commonwealth Scientific &amp; Industrial Research Organisation (CSIRO); Centre National de la Recherche Scientifique (CNRS); Ifremer; Institut de Recherche pour le Developpement (IRD); Universite de Bretagne Occidentale; Princeton University</t>
  </si>
  <si>
    <t>Cassar, N (corresponding author), Duke Univ, Nicholas Sch Environm, Div Earth &amp; Climate Sci, Durham, NC 27708 USA.;Matear, R (corresponding author), CSIRO Oceans &amp; Atmosphere, Hobart, Tas, Australia.;Cassar, N (corresponding author), Univ Brest, LEMAR, IFREMER, CNRS,IRD, Plouzane, France.</t>
  </si>
  <si>
    <t>richard.matear@csiro.au; nicolas.cassar@duke.edu</t>
  </si>
  <si>
    <t>Perron, Morgane/HHS-1241-2022; Schallenberg, Christina/N-4187-2017; Cassar, Nicolas/B-4260-2011; matear, richard J/C-5133-2011; Strutton, Peter/C-4466-2011; Llort, Joan/O-2162-2017; Bowie, Andrew/C-8677-2013</t>
  </si>
  <si>
    <t>Schallenberg, Christina/0000-0002-3073-7500; Perron, Morgane/0000-0001-5424-7138; Sathyendranath, Shubha/0000-0003-3586-192X; Strutton, Peter/0000-0002-2395-9471; Llort, Joan/0000-0003-1490-4521; Basart, Sara/0000-0002-9821-8504; Tang, Weiyi/0000-0002-5334-3993; Bowie, Andrew/0000-0002-5144-7799; Weis, Jakob/0000-0002-9493-4888</t>
  </si>
  <si>
    <t>10.1038/s41586-021-03805-8</t>
  </si>
  <si>
    <t>UQ8UQ</t>
  </si>
  <si>
    <t>WOS:000696334600012</t>
  </si>
  <si>
    <t>Freese, LM; Cronin, TW</t>
  </si>
  <si>
    <t>Freese, Lyssa M.; Cronin, Timothy W.</t>
  </si>
  <si>
    <t>Antarctic Radiative and Temperature Responses to a Doubling of CO2</t>
  </si>
  <si>
    <t>Antarctic; radiation; climate; GHG; temperature</t>
  </si>
  <si>
    <t>THERMAL-EQUILIBRIUM; OZONE HOLE; ATMOSPHERE; MODEL; INCREASE; CLOUDS</t>
  </si>
  <si>
    <t>Greenhouse gases (GHGs), including carbon dioxide (CO2), impact global and local outgoing longwave radiation (OLR). The Antarctic is known for its near-surface temperature inversion, where the addition of GHGs can lead to increased OLR during all but the winter months. These changes in OLR, however, are unable to explain modeled surface warming due to changes in GHGs across central Antarctica. Here we develop a simple explanation showing why adding CO2 always warms the surface, and allowing an estimation of the change in surface temperature due to a change in CO2 concentration based on the initial surface temperature. We develop a radiative-advective-turbulent single-column model based on observed temperatures for explicit comparisons between our estimations and model equilibrium behavior. We confirm that Antarctic surface temperatures warm as GHG concentrations increase, and find that this response is best explained through the surface greenhouse effect rather than that of the top of atmosphere (TOA).</t>
  </si>
  <si>
    <t>[Freese, Lyssa M.; Cronin, Timothy W.] MIT, Dept Earth Atmosphere &amp; Planetary Sci, 77 Massachusetts Ave, Cambridge, MA 02139 USA</t>
  </si>
  <si>
    <t>Massachusetts Institute of Technology (MIT)</t>
  </si>
  <si>
    <t>Freese, LM (corresponding author), MIT, Dept Earth Atmosphere &amp; Planetary Sci, 77 Massachusetts Ave, Cambridge, MA 02139 USA.</t>
  </si>
  <si>
    <t>lyssamfreese@gmail.com</t>
  </si>
  <si>
    <t>Keyes, Dennis/AAZ-9285-2021</t>
  </si>
  <si>
    <t>Cronin, Timothy/0000-0002-7807-2878; Freese, Lyssa/0000-0003-0944-2182</t>
  </si>
  <si>
    <t>MIT's Earth, Atmosphere and Planetary Science Department's Norman C. Rasmussen Fellowship</t>
  </si>
  <si>
    <t>We thank Daniel Koll, Susan Solomon, and two anonymous reviewers for their feedback on this work. Lyssa Freese was partially supported by MIT's Earth, Atmosphere and Planetary Science Department's Norman C. Rasmussen Fellowship.</t>
  </si>
  <si>
    <t>e2021GL093676</t>
  </si>
  <si>
    <t>10.1029/2021GL093676</t>
  </si>
  <si>
    <t>UO4GI</t>
  </si>
  <si>
    <t>WOS:000694653200001</t>
  </si>
  <si>
    <t>Golledge, NR; Clark, PU; He, F; Dutton, A; Turney, CSM; Fogwill, CJ; Naish, TR; Levy, RH; McKay, RM; Lowry, DP; Bertler, NAN; Dunbar, GB; Carlson, AE</t>
  </si>
  <si>
    <t>Golledge, N. R.; Clark, P. U.; He, F.; Dutton, A.; Turney, C. S. M.; Fogwill, C. J.; Naish, T. R.; Levy, R. H.; McKay, R. M.; Lowry, D. P.; Bertler, N. A. N.; Dunbar, G. B.; Carlson, A. E.</t>
  </si>
  <si>
    <t>Retreat of the Antarctic Ice Sheet During the Last Interglaciation and Implications for Future Change</t>
  </si>
  <si>
    <t>palaeoclimate; sea-level rise; climate change</t>
  </si>
  <si>
    <t>SEA-LEVEL; GREENLAND; PLIOCENE; CLIMATE; MODEL; BASIN; WARM; CONSTRAINTS; DISCHARGE; PENINSULA</t>
  </si>
  <si>
    <t>The Antarctic Ice Sheet (AIS) response to past warming consistent with the 1.5-2 degrees C safe limit of the United Nations Paris Agreement is currently not well known. Empirical evidence from the most recent comparable period, the Last Interglaciation, is sparse, and transient ice-sheet experiments are few and inconsistent. Here, we present new, transient, GCM-forced ice-sheet simulations validated against proxy reconstructions. This is the first time such an evaluation has been attempted. Our empirically constrained simulations indicate that the AIS contributed 4 m to global mean sea level by 126 ka BP, with ice lost primarily from the Amundsen, but not Ross or Weddell Sea, sectors. We resolve the conflict between previous work and show that the AIS thinned in the Wilkes Subglacial Basin but did not retreat. We also find that the West AIS may be predisposed to future collapse even in the absence of further environmental change, consistent with previous studies.</t>
  </si>
  <si>
    <t>[Golledge, N. R.; Naish, T. R.; Levy, R. H.; McKay, R. M.; Bertler, N. A. N.; Dunbar, G. B.] Victoria Univ, Antarctic Res Ctr, Wellington, New Zealand; [Clark, P. U.] Oregon State Univ, Coll Earth Ocean &amp; Atmospher Sci, Corvallis, OR 97331 USA; [Clark, P. U.] Univ Ulster, Sch Geog &amp; Environm Sci, Coleraine, Londonderry, North Ireland; [He, F.] Univ Wisconsin, Ctr Climat Res, Nelson Inst Environm Studies, Madison, WI USA; [Dutton, A.] Univ Wisconsin, Dept Geosci, Madison, WI USA; [Turney, C. S. M.; Fogwill, C. J.] Univ New South Wales, Sch Biol Earth &amp; Environm Sci, Earth &amp; Sustainabil Sci Res Ctr, Kensington, NSW, Australia; [Turney, C. S. M.] Univ New South Wales, Sch Biol Earth &amp; Environm Sci, Australian Res Council, Ctr Excellence Australian &amp; Biodivers &amp; Heritage, Kensington, NSW, Australia; [Turney, C. S. M.] Univ South Wales, Chronos 14 Carbon Cycle Facil, Sydney, NSW, Australia; [Fogwill, C. J.] Keele Univ, Sch Geog Geol &amp; Environm, Keele, Staffs, England; [Fogwill, C. J.] Cranfield Univ, Sch Water Energy &amp; Environm, Cranfield, Beds, England; [Levy, R. H.; Lowry, D. P.; Bertler, N. A. N.] GNS Sci, Lower Hutt, New Zealand; [Carlson, A. E.] Oregon Glaciers Inst, Corvallis, OR USA</t>
  </si>
  <si>
    <t>Victoria University Wellington; Oregon State University; Ulster University; University of Wisconsin System; University of Wisconsin Madison; University of Wisconsin System; University of Wisconsin Madison; University of New South Wales Sydney; University of New South Wales Sydney; University of South Wales; University of New South Wales Sydney; Keele University; Cranfield University; GNS Science - New Zealand</t>
  </si>
  <si>
    <t>Golledge, NR (corresponding author), Victoria Univ, Antarctic Res Ctr, Wellington, New Zealand.</t>
  </si>
  <si>
    <t>nicholas.golledge@vuw.ac.nz</t>
  </si>
  <si>
    <t>He, Feng/B-3583-2008; he, feng/HOF-1989-2023; Fogwill, Christopher/HPF-1150-2023; Dutton, Andrea/A-2506-2008; Turney, Chris/P-8701-2018</t>
  </si>
  <si>
    <t>Fogwill, Christopher/0000-0002-6471-1106; McKay, Robert/0000-0002-5602-6985; He, Feng/0000-0002-3355-6406; Golledge, Nicholas/0000-0001-7676-8970; Dutton, Andrea/0000-0002-3836-119X; Turney, Chris/0000-0001-6733-0993</t>
  </si>
  <si>
    <t>Royal Society of New Zealand [VUW-1501]; US National Science Foundation (NSF) [AGS-1503032, AGS-1502990, 1559040, OPP-1443437]; NOAA Climate and Global Change Postdoctoral Fellowship program; NSF; Office of Science of the US Department of Energy [DE-AC05-00OR22725]; U.S. Fulbright Scholar Program; Australian Research Council (ARC) [LP120200724, DP210103621]; Antarctic Logistics and Expeditions; Ministry for Business, Innovation and Employment [RTUV1705, ANTA1801]; NASA [NNX13AM16G, NNX13AK27G]; Australian Research Council [LP120200724] Funding Source: Australian Research Council; Division Of Ocean Sciences; Directorate For Geosciences [1559040] Funding Source: National Science Foundation; New Zealand Ministry of Business, Innovation &amp; Employment (MBIE) [ANTA1801] Funding Source: New Zealand Ministry of Business, Innovation &amp; Employment (MBIE)</t>
  </si>
  <si>
    <t>Royal Society of New Zealand(Royal Society of New Zealand); US National Science Foundation (NSF)(National Science Foundation (NSF)); NOAA Climate and Global Change Postdoctoral Fellowship program(National Oceanic Atmospheric Admin (NOAA) - USA); NSF(National Science Foundation (NSF)); Office of Science of the US Department of Energy(United States Department of Energy (DOE)); U.S. Fulbright Scholar Program; Australian Research Council (ARC)(Australian Research Council); Antarctic Logistics and Expeditions; Ministry for Business, Innovation and Employment(New Zealand Ministry of Business, Innovation and Employment (MBIE)); NASA(National Aeronautics &amp; Space Administration (NASA)); Australian Research Council(Australian Research Council); Division Of Ocean Sciences; Directorate For Geosciences(National Science Foundation (NSF)NSF - Directorate for Geosciences (GEO)); New Zealand Ministry of Business, Innovation &amp; Employment (MBIE)(New Zealand Ministry of Business, Innovation and Employment (MBIE))</t>
  </si>
  <si>
    <t>NRG acknowledges funding from Royal Society of New Zealand contract VUW-1501. Simulations on which this work is based were funded by US National Science Foundation (NSF) through grant numbers AGS-1503032 (to PUC and AEC), AGS-1502990 (to FH), 1559040 (to AD), and OPP-1443437 (to AEC). FH gratefully acknowledges the NOAA Climate and Global Change Postdoctoral Fellowship program, administered by the University Corporation for Atmospheric Research. High-performance computing support from Yellowstone () and Cheyenne () was provided by NCAR's Computational and Information Systems Laboratory, sponsored by the NSF. This research used resources of the Oak Ridge Leadership Computing Facility at the Oak Ridge National Laboratory, which is supported by the Office of Science of the US Department of Energy under contract number DE-AC05-00OR22725. AD gratefully acknowledges the U.S. Fulbright Scholar Program. CSMT and CJF acknowledge support from the Australian Research Council (ARC), including Linkage Project (LP120200724) and Discovery Project DP210103621, supported by Antarctic Logistics and Expeditions. NRG, TRN, RHL, RMM, DPL, NANB, and GBD acknowledge support from Ministry for Business, Innovation and Employment contracts RTUV1705 (NZSeaRise) and ANTA1801 (Antarctic Science Platform). PISM is supported by NASA grant numbers NNX13AM16G and NNX13AK27G.</t>
  </si>
  <si>
    <t>e2021GL094513</t>
  </si>
  <si>
    <t>10.1029/2021GL094513</t>
  </si>
  <si>
    <t>WOS:000694653200007</t>
  </si>
  <si>
    <t>Maclennan, ML; Lenaerts, JTM</t>
  </si>
  <si>
    <t>Maclennan, Michelle L.; Lenaerts, Jan T. M.</t>
  </si>
  <si>
    <t>Large-Scale Atmospheric Drivers of Snowfall Over Thwaites Glacier, Antarctica</t>
  </si>
  <si>
    <t>Thwaites Glacier; surface mass balance; snowfall; West Antarctica; Amundsen Sea Low</t>
  </si>
  <si>
    <t>SURFACE MASS-BALANCE; WEST ANTARCTICA; PINE ISLAND; ICE-SHELF; VARIABILITY; AMUNDSEN; CLIMATE; OCEAN; ACCUMULATION; CIRCULATION</t>
  </si>
  <si>
    <t>High snowfall events on Thwaites Glacier (TG, West Antarctica) are a key influencer of its mass balance, and can act to mitigate sea level rise due to ocean warming-induced ice loss. We use the output of a high-resolution regional climate model, RACMO2, in conjunction with MERRA-2 and ERA5 atmospheric reanalyses for the period 1980-2015 and show that there is a pronounced seasonal cycle in snowfall over TG, driven by the Amundsen Sea Low (ASL). We find that the total annual snowfall does not correlate significantly with the Southern Annular Mode or El Nino Southern Oscillation, but it does relate to the zonal wave three pattern over Antarctica through the coupling of the ASL with a blocking high over the Antarctic Peninsula during high snowfall events. Our results highlight that atmospheric circulation and consequent high snowfall events on TG are highly variable, and recognizing their future change will aid to improve predictions of mass balance. Plain Language Summary Thwaites Glacier (TG) is a large glacier in West Antarctica that is rapidly losing mass. Snowfall can help to replenish mass lost by adding mass to the surface of the glacier. In this study, we use three climate reanalyses to examine snowfall on TG and how pressure patterns in the atmosphere can lead to a large amount of snowfall in a short period of time. Climate reanalyses are computer models that combine physics equations with observations to re-create daily atmospheric conditions from 1979 to 2015. We find that a large, low-pressure system called the Amundsen Sea Low (ASL) drives snowfall on Thwaites by circulating warm and moist air masses from the ocean onto the glacier. It snows a lot on Thwaites in the austral fall, winter, and spring, and half of the total snowfall comes from high snowfall events. On high snowfall days on Thwaites, the ASL is joined by a high-pressure system over the Antarctic Peninsula. The combination of these two pressure systems is representative of a zonal wave three pressure pattern, which enables deep circulation from the Southern Ocean onto the Antarctic Ice Sheet.</t>
  </si>
  <si>
    <t>[Maclennan, Michelle L.; Lenaerts, Jan T. M.] Univ Colorado, Dept Atmospher &amp; Ocean Sci, Boulder, CO 80309 USA</t>
  </si>
  <si>
    <t>University of Colorado System; University of Colorado Boulder</t>
  </si>
  <si>
    <t>Maclennan, ML (corresponding author), Univ Colorado, Dept Atmospher &amp; Ocean Sci, Boulder, CO 80309 USA.</t>
  </si>
  <si>
    <t>michelle.maclennan@colorado.edu</t>
  </si>
  <si>
    <t>; Lenaerts, Jan/D-9423-2012</t>
  </si>
  <si>
    <t>Maclennan, Michelle L./0000-0002-7591-2704; Lenaerts, Jan/0000-0003-4309-4011</t>
  </si>
  <si>
    <t>National Science Foundation (NSF) [1929991]; Natural Environment Research Council (NERC) [NE/S006419/1]; University of Colorado Boulder; NERC [NE/S006419/1] Funding Source: UKRI</t>
  </si>
  <si>
    <t>National Science Foundation (NSF)(National Science Foundation (NSF)); Natural Environment Research Council (NERC)(UK Research &amp; Innovation (UKRI)Natural Environment Research Council (NERC)); University of Colorado Boulder; NERC(UK Research &amp; Innovation (UKRI)Natural Environment Research Council (NERC))</t>
  </si>
  <si>
    <t>This work is from the TARSAN project, a component of the International Thwaites Glacier Collaboration (ITGC). Support from National Science Foundation (NSF: Grant 1929991) and Natural Environment Research Council (NERC: Grant NE/S006419/1). Logistics provided by NSF-U.S. Antarctic Program and NERC-British Antarctic Survey. ITGC Contribution No. ITGC-053. We also acknowledge financial support of the University of Colorado Boulder for this study.</t>
  </si>
  <si>
    <t>e2021GL093644</t>
  </si>
  <si>
    <t>10.1029/2021GL093644</t>
  </si>
  <si>
    <t>WOS:000694653200027</t>
  </si>
  <si>
    <t>Nakayama, Y; Greene, CA; Paolo, FS; Mensah, V; Zhang, H; Kashiwase, H; Simizu, D; Greenbaum, JS; Blankenship, DD; Abe-Ouchi, A; Aoki, S</t>
  </si>
  <si>
    <t>Nakayama, Yoshihiro; Greene, Chad A.; Paolo, Fernando S.; Mensah, Vigan; Zhang, Hong; Kashiwase, Haruhiko; Simizu, Daisuke; Greenbaum, Jamin S.; Blankenship, Donald D.; Abe-Ouchi, Ayako; Aoki, Shigeru</t>
  </si>
  <si>
    <t>Antarctic Slope Current Modulates Ocean Heat Intrusions Towards Totten Glacier</t>
  </si>
  <si>
    <t>Southern Ocean; ice shelf; ocean heat intrusions; Antarctic slope current; ocean modeling; ice shelf-ocean interaction</t>
  </si>
  <si>
    <t>CIRCUMPOLAR DEEP-WATER; DENSE SHELF WATER; BOTTOM WATER; PINE ISLAND; SEASONAL VARIABILITY; CONTINENTAL-SHELF; ICE SHELVES; MELT RATES; MASS-LOSS; CIRCULATION</t>
  </si>
  <si>
    <t>The Totten ice shelf (TIS) in East Antarctica has received increasing attention in recent years due to high basal melt rates, which have been linked to a presence of warm modified Circumpolar Deep Water (mCDW) observed at the ice front. We show that mCDW on-shelf intrusions towards the TIS strengthen when the Antarctic Slope Current (ASC) weakens. This demonstrates that the ASC has a blocking effect and ASC weakening leads to on-shelf intrusions, as proposed by previous observational studies. The interannual variability of the ASC is controlled primarily by atmospheric and oceanic conditions beyond our regional model domain. We further show that heat intrusions onto the continental shelf off the TIS are not influenced by off-shelf warming but are enhanced with coastal freshening, suggesting positive feedback whereby ice melt and freshening upstream could start a chain reaction, leading to increased melt, and further coastal freshening.</t>
  </si>
  <si>
    <t>[Nakayama, Yoshihiro; Mensah, Vigan; Aoki, Shigeru] Hokkaido Univ, Inst Low Temp Sci, Sapporo, Hokkaido, Japan; [Greene, Chad A.; Paolo, Fernando S.; Zhang, Hong] CALTECH, Jet Prop Lab, Pasadena, CA USA; [Kashiwase, Haruhiko; Simizu, Daisuke] Natl Inst Polar Res, Tachikawa, Tokyo, Japan; [Greenbaum, Jamin S.] Univ Calif San Diego, Scripps Inst Oceanog, La Jolla, CA 92093 USA; [Blankenship, Donald D.] Inst Geophys Univ Texas Austin, Austin, TX USA; [Abe-Ouchi, Ayako] Univ Tokyo, Atmosphere &amp; Ocean Res Inst, Kashiwa, Chiba, Japan</t>
  </si>
  <si>
    <t>Hokkaido University; National Aeronautics &amp; Space Administration (NASA); NASA Jet Propulsion Laboratory (JPL); California Institute of Technology; Research Organization of Information &amp; Systems (ROIS); National Institute of Polar Research (NIPR) - Japan; University of California System; University of California San Diego; Scripps Institution of Oceanography; University of Tokyo</t>
  </si>
  <si>
    <t>Nakayama, Y (corresponding author), Hokkaido Univ, Inst Low Temp Sci, Sapporo, Hokkaido, Japan.</t>
  </si>
  <si>
    <t>Yoshihiro.Nakayama@lowtem.hokudai.ac.jp</t>
  </si>
  <si>
    <t>Abe-Ouchi, Ayako A/M-6359-2013; Nakayama, Yoshihiro/R-4325-2019; Paolo, Fernando/AGQ-9348-2022; Blankenship, Donald D./G-5935-2010; Greene, Chad/HTQ-9931-2023</t>
  </si>
  <si>
    <t>Abe-Ouchi, Ayako A/0000-0003-1745-5952; Nakayama, Yoshihiro/0000-0001-6543-529X; Paolo, Fernando/0000-0002-6439-2918; Greene, Chad/0000-0001-6710-6297; SIMIZU, Daisuke/0000-0003-4214-6756</t>
  </si>
  <si>
    <t>Ministry of Education, Culture, Sports, Science, and Technology in Japan [19K23447, 21K13989, 17H01615, 17H06322, 17H06104, 21H04918, 21H01201]; MEXT KAKENHI [17H06323]; NSF [OPP-2114454]; G. Unger Vetlesen Foundation; Grants-in-Aid for Scientific Research [17H01615, 19K23447, 21H04918, 21H01201, 21K13989, 17H06322, 17H06104] Funding Source: KAKEN</t>
  </si>
  <si>
    <t>Ministry of Education, Culture, Sports, Science, and Technology in Japan(Ministry of Education, Culture, Sports, Science and Technology, Japan (MEXT)); MEXT KAKENHI(Ministry of Education, Culture, Sports, Science and Technology, Japan (MEXT)Japan Society for the Promotion of ScienceGrants-in-Aid for Scientific Research (KAKENHI)); NSF(National Science Foundation (NSF)); G. Unger Vetlesen Foundation; Grants-in-Aid for Scientific Research(Ministry of Education, Culture, Sports, Science and Technology, Japan (MEXT)Japan Society for the Promotion of ScienceGrants-in-Aid for Scientific Research (KAKENHI))</t>
  </si>
  <si>
    <t>Simulations were carried out at the University of Tokyo Supercomputing facilities. We thank Kaihe Yamazaki, Alessandro Silvano, Daisuke Hirano, Xichen Li, and Kay I. Ohshima for their useful comments and suggestions. We also thank the officers, crew, and scientists on board Aurora Australis (2015) and Icebreaker Shirase (JARE58 and 59). This work was supported by Grants-in-Aids for Scientific Research (19K23447, 21K13989, 17H01615, 17H06322, 17H06104, 21H04918, and 21H01201) from the Ministry of Education, Culture, Sports, Science, and Technology in Japan. The authors also acknowledge funding from MEXT KAKENHI grant 17H06323; J.S.G. was supported by NSF OPP-2114454; D.D.B. was supported by the G. Unger Vetlesen Foundation. Insightful comments from the two anonymous reviewers were very helpful for improvement of the manuscript.</t>
  </si>
  <si>
    <t>e2021GL094149</t>
  </si>
  <si>
    <t>10.1029/2021GL094149</t>
  </si>
  <si>
    <t>WOS:000694653200021</t>
  </si>
  <si>
    <t>Pelle, T; Morlighem, M; Nakayama, Y; Seroussi, H</t>
  </si>
  <si>
    <t>Pelle, Tyler; Morlighem, Mathieu; Nakayama, Yoshihiro; Seroussi, Helene</t>
  </si>
  <si>
    <t>Widespread Grounding Line Retreat of Totten Glacier, East Antarctica, Over the 21st Century</t>
  </si>
  <si>
    <t>Totten Glacier; ice sheet modeling; model coupling; ocean modeling; ice-ocean interactions; climate change</t>
  </si>
  <si>
    <t>ICE-SHEET; MASS-LOSS; MODEL; FLOW; PARAMETERIZATION; SENSITIVITY; DYNAMICS; STREAM; PHASE; BASIN</t>
  </si>
  <si>
    <t>Totten Glacier (TG), the primary ice discharger of East Antarctica, contains 3.85 m sea level rise equivalent (SLRe) ice mass and has displayed ocean-driven dynamic change since at least the early 2000s. We project TG's evolution through 2100 in an asynchronously coupled ice-ocean model, forced at the ocean boundaries with anomalies in CMIP6 projected temperature, salinity, and velocity. Consistent with previous studies, the Antarctic Slope Current continues to modulate warm water inflow toward TG in future simulations. Warm water (-0.5 - 1 degrees C) accesses TG's sub-ice shelf cavity through depressions along the eastern ice front, driving sustained retreat of TG's eastern grounding zone that cannot be captured in uncoupled models. In high emission scenarios, warm water overcomes topographic barriers and dislodges TG's southern grounding zone around 2070, increasing the rate of grounded ice loss 3.5-fold (10-35 Gt/yr) and resulting in a total 4.20 mm SLRe loss by 2100.</t>
  </si>
  <si>
    <t>[Pelle, Tyler; Morlighem, Mathieu] Univ Calif Irvine, Dept Earth Syst Sci, Irvine, CA 92697 USA; [Morlighem, Mathieu] Dartmouth Coll, Dept Earth Sci, Hanover, NH 03755 USA; [Nakayama, Yoshihiro] Hokkaido Univ, Inst Low Temp Sci, Sapporo, Hokkaido, Japan; [Seroussi, Helene] Dartmouth Coll, Thayer Sch Engn, Hanover, NH 03755 USA; [Seroussi, Helene] CALTECH, Jet Prop Lab, Pasadena, CA USA</t>
  </si>
  <si>
    <t>University of California System; University of California Irvine; Dartmouth College; Hokkaido University; Dartmouth College; California Institute of Technology; National Aeronautics &amp; Space Administration (NASA); NASA Jet Propulsion Laboratory (JPL)</t>
  </si>
  <si>
    <t>Pelle, T (corresponding author), Univ Calif Irvine, Dept Earth Syst Sci, Irvine, CA 92697 USA.</t>
  </si>
  <si>
    <t>tpelle@uci.edu</t>
  </si>
  <si>
    <t>Morlighem, Mathieu/O-9942-2014; Nakayama, Yoshihiro/R-4325-2019</t>
  </si>
  <si>
    <t>Morlighem, Mathieu/0000-0001-5219-1310; Nakayama, Yoshihiro/0000-0001-6543-529X; Pelle, Tyler/0000-0002-9772-1730; Seroussi, Helene/0000-0001-9201-1644</t>
  </si>
  <si>
    <t>U.S. National Science Foundation (NSF); U.K. Natural Environment Research Council's (NERC) PROPHET program [1739031]; Modeling, Analysis, and Prediction (MAP) Program</t>
  </si>
  <si>
    <t>U.S. National Science Foundation (NSF)(National Science Foundation (NSF)); U.K. Natural Environment Research Council's (NERC) PROPHET program; Modeling, Analysis, and Prediction (MAP) Program</t>
  </si>
  <si>
    <t>This work was performed at the University of California, Irvine under a contract with the U.S. National Science Foundation (NSF) and U.K. Natural Environment Research Council's (NERC) PROPHET program (#1739031). Dr. Helene Seroussi carried out research at the Jet Propulsion Laboratory, California Institute of Technology, under a contract with NASA with support from the Modeling, Analysis, and Prediction (MAP) Program. High-end computing resources were provided by the NASA Advanced Supercomputing (NAS) Division at the Ames Research Center. The authors acknowledge the World Climate Research Programme, which, through its Working Group on Coupled Modelling, coordinated and promoted CMIP6. The authors thank the climate modeling groups for producing and making available their model output, the Earth System Grid Federation (ESGF) for archiving the data and providing access, and the multiple funding agencies who support CMIP6 and ESGF.</t>
  </si>
  <si>
    <t>e2021GL093213</t>
  </si>
  <si>
    <t>10.1029/2021GL093213</t>
  </si>
  <si>
    <t>WOS:000694653200019</t>
  </si>
  <si>
    <t>Stewart, AL; Chi, XY; Solodoch, A; Hogg, AM</t>
  </si>
  <si>
    <t>Stewart, Andrew L.; Chi, Xiaoyang; Solodoch, Aviv; Hogg, Andrew McC</t>
  </si>
  <si>
    <t>High-Frequency Fluctuations in Antarctic Bottom Water Transport Driven by Southern Ocean Winds</t>
  </si>
  <si>
    <t>momentum balance; overturning circulation; Southern Ocean; wind variability</t>
  </si>
  <si>
    <t>MERIDIONAL OVERTURNING CIRCULATION; SEA-LEVEL RISE; FORM STRESS; CIRCUMPOLAR CURRENT; GLOBAL HEAT; PART I; BALANCE; VENTILATION; MOMENTUM; PACIFIC</t>
  </si>
  <si>
    <t>Northward flow of Antarctic Bottom Water (AABW) across the Southern Ocean comprises a key component of the global overturning circulation. Yet AABW transport remains poorly constrained by observations and state estimates, and there is presently no means of directly monitoring any component of the Southern Ocean overturning. However, AABW flow is dynamically linked to Southern Ocean surface circulation via the zonal momentum balance, offering potential routes to indirect monitoring of the transport. Exploiting this dynamical link, this study shows that wind stress (WS) fluctuations drive large AABW transport fluctuations on time scales shorter than similar to 2 years, which comprise almost all of the transport variance. This connection occurs due to differing time scales on which topographic and interfacial form stresses respond to wind variability, likely associated with differences in barotropic versus baroclinic Rossby wave propagation. These findings imply that AABW transport variability can largely be reconstructed from the surface WS alone.</t>
  </si>
  <si>
    <t>[Stewart, Andrew L.; Chi, Xiaoyang; Solodoch, Aviv] Univ Calif Los Angeles, Dept Atmospher &amp; Ocean Sci, Los Angeles, CA 90095 USA; [Hogg, Andrew McC] Australian Natl Univ, Res Sch Earth Sci, Canberra, ACT, Australia; [Hogg, Andrew McC] Australian Natl Univ, Australian Res Council, Ctr Excellence Climate Extremes, Canberra, ACT, Australia</t>
  </si>
  <si>
    <t>University of California System; University of California Los Angeles; Australian National University; Australian National University</t>
  </si>
  <si>
    <t>Stewart, AL (corresponding author), Univ Calif Los Angeles, Dept Atmospher &amp; Ocean Sci, Los Angeles, CA 90095 USA.</t>
  </si>
  <si>
    <t>astewart@atmos.ucla.edu</t>
  </si>
  <si>
    <t>Solodoch, Aviv/GYD-8603-2022; Hogg, Andy/AAZ-8733-2021; Hogg, Andy McC./A-7553-2011</t>
  </si>
  <si>
    <t>Hogg, Andy/0000-0001-5898-7635; Hogg, Andy McC./0000-0001-5898-7635; Stewart, Andrew/0000-0001-5861-4070; Solodoch, Aviv/0000-0003-0701-5937</t>
  </si>
  <si>
    <t>National Science Foundation [OPP-2023244]; National Aeronautics and Space Administration ROSES Physical Oceanography program [80NSSC19K1192]</t>
  </si>
  <si>
    <t>National Science Foundation(National Science Foundation (NSF)); National Aeronautics and Space Administration ROSES Physical Oceanography program</t>
  </si>
  <si>
    <t>This material is based in part upon work supported by the National Science Foundation under Grant Number OPP-2023244, and by the National Aeronautics and Space Administration ROSES Physical Oceanography program under grant number 80NSSC19K1192. Without implying endorsement, the authors thank Andrew Thompson for useful discussions related to this study. The authors thank two anonymous reviewers for constructive suggestions that improved the submitted manuscript.</t>
  </si>
  <si>
    <t>e2021GL094569</t>
  </si>
  <si>
    <t>10.1029/2021GL094569</t>
  </si>
  <si>
    <t>Green Submitted, Bronze, Green Published</t>
  </si>
  <si>
    <t>WOS:000694653200043</t>
  </si>
  <si>
    <t>Stewart, KD; Hogg, AM; England, MH; Waugh, DW; Kiss, AE</t>
  </si>
  <si>
    <t>Stewart, K. D.; Hogg, A. McC; England, M. H.; Waugh, D. W.; Kiss, A. E.</t>
  </si>
  <si>
    <t>The Ekman Streamfunction and the Eulerian and Residual Overturning Circulations of the Southern Ocean</t>
  </si>
  <si>
    <t>Ekman pumping; overturning circulation; Southern Ocean</t>
  </si>
  <si>
    <t>ANTARCTIC CIRCUMPOLAR CURRENT; SEA-ICE MODEL; TRENDS</t>
  </si>
  <si>
    <t>The Ekman streamfunction is a wind-derived metric that can be used to infer the Southern Ocean overturning circulations (SOOCs) in both latitude-depth and latitude-potential density spaces. The Ekman streamfunction integrates the Ekman pumping zonally and northwards from Antarctica, either to a given latitude or potential density. Here, we evaluate the relationship between the Ekman streamfunction and SOOCs in a global 0.1 degrees ocean-sea-ice model driven by interannual forcing (1958-2018). In certain regions of the Southern Ocean, strong correlations (r&gt;0.9) exist between the Ekman streamfunction and the Eulerian and residual SOOCs on monthly and annual timescales. Regression analysis identifies regions where Ekman streamfunction variability coincides with &gt;4 Sv changes in the overturning; one such location is where the wind stress curl changes sign and the Ekman pumping is highly variable.</t>
  </si>
  <si>
    <t>[Stewart, K. D.; Hogg, A. McC; Kiss, A. E.] Australian Natl Univ, Res Sch Earth Sci, Canberra, ACT, Australia; [Hogg, A. McC; England, M. H.] Australian Res Council, Ctr Excellence Climate Extremes, Sydney, NSW, Australia; [England, M. H.] Univ New South Wales, Climate Change Res Ctr, Sydney, NSW, Australia; [Waugh, D. W.] Johns Hopkins Univ, Dept Earth &amp; Planetary Sci, Baltimore, MD 21218 USA; [Waugh, D. W.] Univ New South Wales, Sch Math &amp; Stat, Sydney, NSW, Australia</t>
  </si>
  <si>
    <t>Australian National University; University of New South Wales Sydney; Johns Hopkins University; University of New South Wales Sydney</t>
  </si>
  <si>
    <t>Stewart, KD (corresponding author), Australian Natl Univ, Res Sch Earth Sci, Canberra, ACT, Australia.</t>
  </si>
  <si>
    <t>kial.stewart@anu.edu.au</t>
  </si>
  <si>
    <t>Kiss, Andrew E/E-7733-2016; Hogg, Andy/AAZ-8733-2021; Hogg, Andy McC./A-7553-2011; England, Matthew/A-7539-2011; Stewart, Kial/P-6684-2016; Waugh, Darryn/K-3688-2016</t>
  </si>
  <si>
    <t>Kiss, Andrew E/0000-0001-8960-9557; Hogg, Andy/0000-0001-5898-7635; Hogg, Andy McC./0000-0001-5898-7635; England, Matthew/0000-0001-9696-2930; Stewart, Kial/0000-0002-9947-1958; Waugh, Darryn/0000-0001-7692-2798</t>
  </si>
  <si>
    <t>Earth Systems and Climate Change Hub - Australian Government's National Environmental Science Program (NESP)</t>
  </si>
  <si>
    <t>The authors acknowledge the support of this work from the Earth Systems and Climate Change Hub funded by the Australian Government's National Environmental Science Program (NESP). Many thanks to N. Constantinou, R. Holmes, and A. Morrison for very helpful discussions, and to COSIMA (http://www.cosima.org.au) for making available the ACCESS-OM2 suite of models. The numerical simulations and analysis were performed with the Gadi Supercomputer and Virtual Desktop Infrastructure resources of the National Computational Infrastructure (NCI Australia, 2013, 2019). The authors also thank Y. Kostov and J. Zika for their valuable reviews and suggestions which substantially improved our manuscript.</t>
  </si>
  <si>
    <t>e2021GL093438</t>
  </si>
  <si>
    <t>10.1029/2021GL093438</t>
  </si>
  <si>
    <t>WOS:000694653200059</t>
  </si>
  <si>
    <t>De Mahiques, MM; Violante, R; Franco-Fraguas, P; Burone, L; Rocha, CB; Ortega, L; Dos Santos, RF; Kim, BSM; Figueira, RCL; Bícego, MC</t>
  </si>
  <si>
    <t>de Mahiques, Michel Michaelovitch; Violante, Roberto; Franco-Fraguas, Paula; Burone, Leticia; Rocha, Cesar Barbedo; Ortega, Leonardo; dos Santos, Rosangela Felicio; Kim, Bianca Sung Mi; Lopes Figueira, Rubens Cesar; Bicego, Marcia Caruso</t>
  </si>
  <si>
    <t>Control of oceanic circulation on sediment distribution in the southwestern Atlantic margin (23 to 55° S)</t>
  </si>
  <si>
    <t>ANTARCTIC INTERMEDIATE WATER; CONTOURITE DEPOSITIONAL SYSTEM; URUGUAYAN CONTINENTAL-MARGIN; WESTERN BOUNDARY CURRENT; SUBTROPICAL SHELF FRONT; SOUTH-AMERICAN; BRAZIL CURRENT; MALVINAS CONFLUENCE; ISOTOPE SIGNATURES; NEODYMIUM ISOTOPES</t>
  </si>
  <si>
    <t>In this study, we interpret the role played by ocean circulation in sediment distribution on the southwestern Atlantic margin using radiogenic Nd and Pb isotopes. The latitudinal trends for Pb and Nd isotopes reflect the different current systems acting on the margin. The utilization of the sediment fingerprinting method allowed us to associate the isotopic signatures with the main oceanographic features in the area. We recognized differences between Nd and Pb sources to the Argentinean shelf (carried by the flow of Subantarctic Shelf Water) and slopes (transported by deeper flows). Sediments from Antarctica extend up to the Uruguayan margin, carried by the Upper and Lower Circumpolar Deep Water. Our data confirm that, for shelf and intermediate areas (the upper 1200 m), the transfer of sediments from the Argentinean margin to the north of 35 degrees S is limited by the Subtropical Shelf Front and the basin-wide recirculated Antarctic Intermediate Water. On the southern Brazilian inner and middle shelf, it is possible to recognize the northward influence of the Rio de la Plata sediments carried by the Plata Plume Water. Another flow responsible for sediment transport and deposition on the outer shelf and slope is the southward flow of the Brazil Current. Finally, we propose that the Brazil-Malvinas Confluence and the Santos Bifurcation act as boundaries of geochemical provinces in the area. A conceptual model of sediment sources and transport is provided for the southwestern Atlantic margin.</t>
  </si>
  <si>
    <t>[de Mahiques, Michel Michaelovitch; dos Santos, Rosangela Felicio; Kim, Bianca Sung Mi; Lopes Figueira, Rubens Cesar; Bicego, Marcia Caruso] Univ Sao Paulo, Oceanog Inst, BR-05508120 Sao Paulo, Brazil; [de Mahiques, Michel Michaelovitch] Univ Sao Paulo, Inst Energy &amp; Environm, BR-05508010 Sao Paulo, Brazil; [Violante, Roberto] Serv Hidrog Naval, C1270ABV, Buenos Aires, DF, Argentina; [Franco-Fraguas, Paula; Burone, Leticia] Univ Republica, Fac Ciencias, Montevideo 11400, Uruguay; [Rocha, Cesar Barbedo] Univ Connecticut, Dept Marine Sci, Groton, CT 06340 USA; [Ortega, Leonardo] Direcc Nacl Recursos Acuat, Dept Biol Pesquera, Montevideo 11200, Uruguay</t>
  </si>
  <si>
    <t>Universidade de Sao Paulo; Universidade de Sao Paulo; Servicio de Hidrografia Naval; Universidad de la Republica, Uruguay; University of Connecticut</t>
  </si>
  <si>
    <t>De Mahiques, MM (corresponding author), Univ Sao Paulo, Oceanog Inst, BR-05508120 Sao Paulo, Brazil.;De Mahiques, MM (corresponding author), Univ Sao Paulo, Inst Energy &amp; Environm, BR-05508010 Sao Paulo, Brazil.</t>
  </si>
  <si>
    <t>mahiques@usp.br</t>
  </si>
  <si>
    <t>Figueira, Rubens/AAC-1045-2022; Rocha, Cesar B/AAH-9720-2019; Kim, Bianca Sung Mi/I-5253-2015</t>
  </si>
  <si>
    <t>Figueira, Rubens/0000-0001-8945-4540; Rocha, Cesar B/0000-0003-4063-5468; Kim, Bianca Sung Mi/0000-0003-2186-3764</t>
  </si>
  <si>
    <t>Sao Paulo Science Foundation (FAPESP) [2010/061475, 2014/08266-2, 2015/17763-2, 2016/22194-0, 2019/00256-1]; Brazilian Council of Scientific Research (CNPq) [300962/2018-5]</t>
  </si>
  <si>
    <t>Sao Paulo Science Foundation (FAPESP)(Fundacao de Amparo a Pesquisa do Estado de Sao Paulo (FAPESP)); Brazilian Council of Scientific Research (CNPq)(Conselho Nacional de Desenvolvimento Cientifico e Tecnologico (CNPQ))</t>
  </si>
  <si>
    <t>This work was financially supported by the Sao Paulo Science Foundation (FAPESP) by grants 2010/061475, 2014/08266-2, 2015/17763-2, 2016/22194-0, and 2019/00256-1. In addition, Michel Michaelovitch de Mahiques acknowledges the Brazilian Council of Scientific Research (CNPq) for research grant 300962/2018-5.</t>
  </si>
  <si>
    <t>SEP 15</t>
  </si>
  <si>
    <t>10.5194/os-17-1213-2021</t>
  </si>
  <si>
    <t>UR0VP</t>
  </si>
  <si>
    <t>WOS:000696475900001</t>
  </si>
  <si>
    <t>Mao, FY; Liang, ZX; Pan, ZX; Gong, W; Sun, J; Zhang, TH; Huang, X; Zang, L; Lu, X; Hong, J</t>
  </si>
  <si>
    <t>Mao, Feiyue; Liang, Zhenxing; Pan, Zengxin; Gong, Wei; Sun, Jia; Zhang, Tianhao; Huang, Xin; Zang, Lin; Lu, Xin; Hong, Jia</t>
  </si>
  <si>
    <t>A simple multiscale layer detection algorithm for CALIPSO measurements</t>
  </si>
  <si>
    <t>CALIOP; Aerosol and cloud; Layer detection; Multiscale</t>
  </si>
  <si>
    <t>AUTOMATED DETECTION; BOUNDARY-LAYER; LIDAR; AEROSOL; CLOUD; IMPACT; PROFILES; RETURNS; MISSION</t>
  </si>
  <si>
    <t>The Cloud-Aerosol Lidar and Infrared Pathfinder Satellite Observations (CALIPSO) is unique in its ability to perform profiling measurements of aerosol and cloud layers globally. Detecting the layer boundaries of aerosols and clouds is a crucial step in CALIPSO data retrieval. The CALIPSO team uses the selective iterated boundary location (SIBYL) algorithm based on threshold arrays to find aerosol and cloud layers at different horizontal resolutions. However, threshold arrays could obstruct the detection of optically tenuous layers at a high resolution and may cause overestimation when averaging signals of layer and clear air at a low resolution. Here, a multiscale algorithm using a series of sliding window sizes without threshold setting is proposed based on a pre-defined probability. The results over land and marine areas show that the multiscale algorithm detected 37.41% and 16.36% more layer area than the SIBYL at 1-80 km resolutions at daytime and 1-5 km resolutions at night time, respectively. This indicates that the multiscale algorithm does not need a threshold array, allowing more tenuous layers to be detected, especially at low signal to noise ratios (SNRs). In contrast, the SIBYL detects 4.40% more layer area than the multiscale algorithm at 1-80 km resolutions at nighttime, mainly caused by the large proportion of layer area detected by SIBYL at 20 and 80 km resolutions. This implies possible noteworthy overestimation by the SIBYL at low resolutions. Additionally, the evaluation using the depolarization ratio of ice clouds shows that the extra detected layers by the multiscale algorithm are reliable. Besides, simulation tests show that the multiscale and SIBYL algorithms achieve a 100% true detection rate when SNR is approximately 2 and 4, respectively. The new multiscale algorithm could upgrade the resolution and accuracy of the layer detection of space lidars and reduce the underestimation of layer optical depth due to missing layers.</t>
  </si>
  <si>
    <t>[Mao, Feiyue; Huang, Xin] Wuhan Univ, Sch Remote Sensing &amp; Informat Engn, Wuhan 430079, Peoples R China; [Mao, Feiyue; Liang, Zhenxing; Gong, Wei; Zhang, Tianhao; Lu, Xin; Hong, Jia] Wuhan Univ, State Key Lab Informat Engn Surveying Mapping &amp; R, Wuhan 430079, Peoples R China; [Pan, Zengxin] Hebrew Univ Jerusalem, Inst Earth Sci, IL-91904 Jerusalem, Israel; [Gong, Wei] Wuhan Univ, Elect Informat Sch, Wuhan 430079, Peoples R China; [Sun, Jia] Chinese Univ Geosci, Sch Geog &amp; Informat Engn, Wuhan 430079, Peoples R China; [Zang, Lin] Wuhan Univ, Chinese Antarctic Ctr Surveying &amp; Mapping, Wuhan 430079, Peoples R China</t>
  </si>
  <si>
    <t>Wuhan University; Wuhan University; Hebrew University of Jerusalem; Wuhan University; China University of Geosciences; Wuhan University</t>
  </si>
  <si>
    <t>Liang, ZX (corresponding author), Wuhan Univ, State Key Lab Informat Engn Surveying Mapping &amp; R, Wuhan 430079, Peoples R China.</t>
  </si>
  <si>
    <t>liangzhenxing@whu.edu.cn</t>
  </si>
  <si>
    <t>Zhang, Tianhao/JQV-6157-2023; Huang, Xin/C-8355-2014</t>
  </si>
  <si>
    <t>Zhang, Tianhao/0000-0003-3456-8262; Liang, Zhenxing/0000-0002-5400-3405</t>
  </si>
  <si>
    <t>National Natural Science Foundation of China [41971285, 41627804, 41701381]; National Key Research and Development Program of China [2016YFC0200900]</t>
  </si>
  <si>
    <t>National Natural Science Foundation of China(National Natural Science Foundation of China (NSFC)); National Key Research and Development Program of China</t>
  </si>
  <si>
    <t>This work was supported by the National Natural Science Foundation of China (grant nos. 41971285, 41627804, and 41701381) and the National Key Research and Development Program of China (grant no. 2016YFC0200900). The CALIPSO dataset was obtained from the NASA Langley Research Centre and Atmospheric Sciences Data Centre (eoswe b.larc.nasa.gov). We would like to deeply thank one of the reviewers named Mark Vaughan from NASA. He thinks this study proposed a very interesting and cool method that may become an important contribution to the community, and strongly supports the publication of this paper.</t>
  </si>
  <si>
    <t>10.1016/j.rse.2021.112687</t>
  </si>
  <si>
    <t>WC5HS</t>
  </si>
  <si>
    <t>WOS:000704288300003</t>
  </si>
  <si>
    <t>Passchier, S; Hansen, MA; Rosenberg, J</t>
  </si>
  <si>
    <t>Passchier, Sandra; Hansen, Melissa A.; Rosenberg, Jessica</t>
  </si>
  <si>
    <t>Quartz grain microtextures illuminate Pliocene periglacial sand fluxes on the Antarctic continental margin</t>
  </si>
  <si>
    <t>DEPOSITIONAL RECORD</t>
  </si>
  <si>
    <t>Antarctica; eolian; IRD; microtexture</t>
  </si>
  <si>
    <t>SCANNING-ELECTRON-MICROSCOPE; SURFACE TEXTURAL ANALYSIS; WILKES LAND MARGIN; ICE-SHEET; SEA-ICE; EAST-ANTARCTICA; BIOGENIC SILICA; PARTICLE-SIZE; SEDIMENT; SOUTHERN</t>
  </si>
  <si>
    <t>On high-latitude continental margins sediment is supplied from land to the deep sea through a variety of processes, including iceberg and sea-ice rafting, and bottom current transport. The accurate reconstruction of sediment fluxes from these sources through time is important in palaeoclimate reconstructions. The goal of this study was to assess a shift in the intensity of glacial processes, iceberg and sea-ice rafting during the Pliocene through an investigation of coarse sediment deposited at the AND-2A site in the Ross Sea and at International Ocean Discovery Program Site U1359 on the Antarctic continental rise. Terrigenous particle-size distributions and suites of quartz grain microtextures in the sand fraction of the deep-sea sediments were compared to those from Antarctic glaciomarine diamictites as a baseline for proximal glacial sediment in its source area. Using images acquired through Scanning Electron Microscopy, and following a quantitative approach, fewer immature and potentially glacially transported grains were found in Pliocene deep-sea sand fractions than in ice-contact sediments. Specifically, in the lower Pliocene interval silt and fine sand percentages are elevated, and microtextures in at least half of the sand fraction are inconsistent with a primary glacial origin. Larger numbers of chemically altered and abraded grains in the deep-sea sand fraction, along with microtextures that are diagnostic of periglacial environments, suggest a role for eolian sediment transport. These results highlight the anomalous nature of high-latitude sediment fluxes during prolonged periods of ice retreat. Furthermore, the identification of a significant offshore sediment flux during Antarctic deglaciation has implications for estimated nutrient supply to the Southern Ocean and the potential for high-latitude climate feedbacks under warmer climate states.</t>
  </si>
  <si>
    <t>[Passchier, Sandra; Hansen, Melissa A.; Rosenberg, Jessica] Montclair State Univ, Dept Earth &amp; Environm Studies, 1 Normal Ave, Montclair, NJ 07043 USA; [Rosenberg, Jessica] GEI Consultants, 3065 Akers Mill Rd,Ste 235, Atlanta, GA 30339 USA</t>
  </si>
  <si>
    <t>Montclair State University</t>
  </si>
  <si>
    <t>Passchier, S (corresponding author), Montclair State Univ, Dept Earth &amp; Environm Studies, 1 Normal Ave, Montclair, NJ 07043 USA.</t>
  </si>
  <si>
    <t>passchiers@montclair.edu</t>
  </si>
  <si>
    <t>Passchier, Sandra/GYU-2381-2022; Passchier, Sandra/B-1993-2008</t>
  </si>
  <si>
    <t>Passchier, Sandra/0000-0001-7204-7025</t>
  </si>
  <si>
    <t>Division of Polar Programs [ANT 0838842, ANT 1743643]; Division of Ocean Sciences [OCE 1060080]</t>
  </si>
  <si>
    <t>Division of Polar Programs(National Science Foundation (NSF)NSF - Directorate for Geosciences (GEO)); Division of Ocean Sciences(National Science Foundation (NSF)NSF - Directorate for Geosciences (GEO))</t>
  </si>
  <si>
    <t>Division of Polar Programs, Grant/Award Number: ANT 0838842 and ANT 1743643; Division of Ocean Sciences, Grant/Award Number: OCE 1060080</t>
  </si>
  <si>
    <t>2055-4877</t>
  </si>
  <si>
    <t>DEPOS REC</t>
  </si>
  <si>
    <t>Depos. Rec.</t>
  </si>
  <si>
    <t>10.1002/dep2.157</t>
  </si>
  <si>
    <t>UX2KU</t>
  </si>
  <si>
    <t>WOS:000695630900001</t>
  </si>
  <si>
    <t>Maturana, CS; Rosenfeld, S; Biersma, EM; Segovia, N; González-Wevar, CA; Díaz, A; Naretto, J; Duggan, IC; Hogg, ID; Poulin, E; Convey, P; Jackson, JA</t>
  </si>
  <si>
    <t>Maturana, Claudia S.; Rosenfeld, Sebastian; Biersma, Elisabeth M.; Segovia, Nicolas, I; Gonzalez-Wevar, Claudio A.; Diaz, Angie; Naretto, Javier; Duggan, Ian C.; Hogg, Ian D.; Poulin, Elie; Convey, Peter; Jackson, Jennifer A.</t>
  </si>
  <si>
    <t>Historical biogeography of the Gondwanan freshwater genus Boeckella (Crustacea): Timing and modes of speciation in the Southern Hemisphere</t>
  </si>
  <si>
    <t>28S rRNA; Antarctica; Australasia; biogeography; cox1; DNA barcoding; Gondwana; ITS; South America</t>
  </si>
  <si>
    <t>COPEPODA-CALANOIDA; RESTING EGGS; CENTROPAGIDAE; EVOLUTIONARY; DISPERSAL; SOFTWARE; PATTERNS; BIODIVERSITY; SEQUENCE; DNA</t>
  </si>
  <si>
    <t>Aim We investigated evolutionary relationships and biogeographical patterns within the genus Boeckella to evaluate (1) whether its current widespread distribution in the Southern Hemisphere is due to recent long-distance dispersal or long-term diversification; and (2) the age and origin of sub-Antarctic and Antarctic Boeckella species, with particular focus on the most widely distributed species: Boeckella poppei. Location South America, sub-Antarctic islands, maritime Antarctica, continental Antarctica and Australasia. Methods To reconstruct phylogenetic patterns of Boeckella, we used molecular sequence data collected from 12 regions and applied Bayesian and Maximum Likelihood analyses using multiple loci. We also estimated divergence times and reconstructed ancestral ranges using two different models of species evolution. Results Phylogenetic analyses and divergence time estimates suggested that Boeckella originated on the Gondwanan supercontinent and initially split into two main clades during the late Cretaceous (ca. 80 Ma). The first clade diversified in Australasia, and the second clade is currently distributed in South America, various sub-Antarctic islands and Antarctica. Dispersal from South America to the Kerguelen and Crozet archipelagos occurred during the Eocene/Oligocene (B. vallentini) and in the late Pliocene (B. brevicaudata), while South Georgia and the maritime Antarctic were likely colonized during the late Pleistocene (B. poppei). Main conclusions Boeckella has a Gondwanan origin, with further diversifications after the physical separation of the continental landmasses. Extant populations of Boeckella from the Scotia Arc islands and Antarctic Peninsula originated from South America during the Pleistocene, suggesting that original Antarctic Gondwanan lineages did not survive repeated glacial cycles during the Quaternary ice ages. A continuous decline in the species accumulation rate is apparent within the genus as the early Eocene, suggesting that Boeckella diversification may have decreased due to progressive cooling throughout the Cenozoic era.</t>
  </si>
  <si>
    <t>[Maturana, Claudia S.; Rosenfeld, Sebastian; Naretto, Javier; Poulin, Elie] Univ Chile, Fac Ciencias, Dept Ciencias Ecol, Lab Ecol Mol, Nunoa, Chile; [Maturana, Claudia S.; Rosenfeld, Sebastian; Segovia, Nicolas, I; Gonzalez-Wevar, Claudio A.; Diaz, Angie; Poulin, Elie] Inst Ecol &amp; Biodiversidad IEB, Nunoa, Chile; [Maturana, Claudia S.; Biersma, Elisabeth M.; Convey, Peter; Jackson, Jennifer A.] NERC, British Antarctic Survey BAS, Cambridge, England; [Rosenfeld, Sebastian] Univ Magallanes, Lab Ecosistemas Marinos Antart &amp; Subantart, Punta Arenas, Chile; [Biersma, Elisabeth M.] Univ Copenhagen, Nat Hist Museum Denmark, Copenhagen, Denmark; [Segovia, Nicolas, I] Univ Catolica Norte, Fac Ciencias Mar, Dept Biol Marina, Lab Diversidad Mol, Coquimbo, Chile; [Gonzalez-Wevar, Claudio A.] Univ Austral Chile, Fac Ciencias, Inst Ciencias Marinas &amp; Limnol ICML, Valdivia, Chile; [Gonzalez-Wevar, Claudio A.] Univ Austral Chile, Ctr FONDAP Invest Dinam Ecosistemas Marinos Altas, Valdivia, Chile; [Diaz, Angie] Univ Concepcion, Dept Zool, Lab Ecol Mol Marina, Concepcion, Chile; [Naretto, Javier] Costa Humboldt, Penalolen, Chile; [Duggan, Ian C.; Hogg, Ian D.] Univ Waikato, Sch Sci, Hamilton, New Zealand; [Hogg, Ian D.] Polar Knowledge Canada, Canadian High Arctic Res Stn, Cambridge Bay, NU, Canada</t>
  </si>
  <si>
    <t>Universidad de Chile; UK Research &amp; Innovation (UKRI); Natural Environment Research Council (NERC); NERC British Antarctic Survey; Universidad de Magallanes; University of Copenhagen; Universidad Catolica del Norte; Universidad Austral de Chile; Universidad Austral de Chile; Universidad de Concepcion; University of Waikato</t>
  </si>
  <si>
    <t>Maturana, CS (corresponding author), Univ Chile, Fac Ciencias, Dept Ciencias Ecol, Lab Ecol Mol, Las Palmeras 3425, Santiago, Chile.</t>
  </si>
  <si>
    <t>claudiamaturana@uchile.cl</t>
  </si>
  <si>
    <t>Jackson, Jennifer A/E-7997-2013; Hogg, Ian D./HNS-7393-2023; Poulin, Elie/C-2654-2012; Biersma, Elisabeth Machteld/AAL-9818-2020; Duggan, Ian C/G-2275-2012; Convey, Peter/AAV-5728-2020; Maturana, Claudia/JOK-7975-2023; Biersma, Elisabeth Machteld/JKI-1084-2023; Diaz, Angie/I-8033-2016</t>
  </si>
  <si>
    <t>Hogg, Ian D./0000-0002-6685-0089; Poulin, Elie/0000-0001-7736-0969; Biersma, Elisabeth Machteld/0000-0002-9877-2177; Duggan, Ian C/0000-0002-6037-9759; Convey, Peter/0000-0001-8497-9903; Maturana, Claudia/0000-0002-4427-8093; Jackson, Jennifer/0000-0003-4158-1924; Diaz, Angie/0000-0003-4944-588X; Rosenfeld, Sebastian/0000-0002-4363-8018</t>
  </si>
  <si>
    <t>British Antarctic Survey; Comision Nacional de Investigacion Cientifica y Tecnologica [NE/P003079/1, 21140632, 21150317, PIA APOYO CCTE AFB170008, PIA CONICYT ACT172065]; Universidad de Magallanes [PR-06-CRN-18]; Carlsbergfondet [CF18-0267]; Institut chilien de l'Antarctique [DG_03-16, DT_04-16]; NERC [bas0100035, bas0100036] Funding Source: UKRI</t>
  </si>
  <si>
    <t>British Antarctic Survey; Comision Nacional de Investigacion Cientifica y Tecnologica; Universidad de Magallanes; Carlsbergfondet(Carlsberg Foundation); Institut chilien de l'Antarctique; NERC(UK Research &amp; Innovation (UKRI)Natural Environment Research Council (NERC))</t>
  </si>
  <si>
    <t>British Antarctic Survey; Comision Nacional de Investigacion Cientifica y Tecnologica, Grant/Award Number: NERC-CONICYT grant NE/P003079/1, PIA APOYO CCTE AFB170008, PIA CONICYT ACT172065, Ph.D. Grant 21140632 and Ph.D. Grant 21150317; Universidad de Magallanes, Grant/Award Number: Program PR-06-CRN-18; Carlsbergfondet, Grant/Award Number: CF18-0267; Institut chilien de l'Antarctique, Grant/Award Number: DG_03-16 and DT_04-16</t>
  </si>
  <si>
    <t>10.1111/ddi.13405</t>
  </si>
  <si>
    <t>XD3GY</t>
  </si>
  <si>
    <t>WOS:000695579100001</t>
  </si>
  <si>
    <t>Dang, NL; Chu, WL; Yap, KSI; Kok, YY; Phang, SM; Chan, KK; Convey, P</t>
  </si>
  <si>
    <t>Dang, Nguk-Ling; Chu, Wan-Loy; Yap, Kok-Seng Ivan; Kok, Yih-Yih; Phang, Siew-Moi; Chan, Kok-Keong; Convey, Peter</t>
  </si>
  <si>
    <t>Influence of heavy metals on the occurrence of Antarctic soil microalgae</t>
  </si>
  <si>
    <t>animal impacts; contamination; human impacts; ICP-MS; pollutants; terrestrial environment</t>
  </si>
  <si>
    <t>KING-GEORGE-ISLAND; SEASONAL PERIODICITY; SURFACE SEDIMENTS; HUMAN IMPACTS; SIGNY ISLAND; CONTAMINATION; DIVERSITY; POLLUTION; ALGAE; WATER</t>
  </si>
  <si>
    <t>Human- and animal-impacted sites in Antarctica can be contaminated with heavy metals, as well as areas influenced by underlying geology and naturally occurring minerals. The present study examined the relationship between heavy metal presence and soil microalgal occurrence across a range of human-impacted and undisturbed locations on Signy Island. Microalgae were identified based on cultures that developed after inoculation into an enriched medium. Twenty-nine microalgae representing Cyanobacteria, Bacillariophyta, Chlorophyta and Tribophyta were identified. High levels of As, Ca, Cd, Cu and Zn were detected in Gourlay Peninsula and North Point, both locations hosting dense penguin rookeries. Samples from Berntsen Point, the location of most intense human activity both today and historically, contained high levels of Pb. The contamination factor and pollution load index confirmed that the former locations were polluted by Cd, Cu and Zn, with these being of marine biogenic origin. Variation in the microalgal community was significantly correlated with concentrations of Mn, Ca, Mg, Fe, Zn, Cd, Co, Cr and Cu. However, the overall proportion of the total variation contributed by all metals was low (16.11%). Other factors not measured in this study are likely to underlie the majority of the observed variation in microalgal community composition between sampling locations.</t>
  </si>
  <si>
    <t>[Dang, Nguk-Ling; Chu, Wan-Loy] Int Med Univ, Sch Postgrad Studies, Inst Res Dev &amp; Innovat IRDI, Kuala Lumpur 57000, Malaysia; [Chu, Wan-Loy] Univ Malaya, Natl Antarctic Res Ctr, Kuala Lumpur 50603, Malaysia; [Yap, Kok-Seng Ivan] Sarawak Res &amp; Dev Council, 11th Floor LCDA Tower, Sarawak 93050, Malaysia; [Kok, Yih-Yih] Int Med Univ, Div Appl Biomed Sci &amp; Biotechnol, Kuala Lumpur 57000, Malaysia; [Phang, Siew-Moi] Univ Malaya, Inst Ocean &amp; Earth Sci, Kuala Lumpur 50603, Malaysia; [Phang, Siew-Moi] UCSI Univ, Fac Appl Sci, Kuala Lumpur 56000, Malaysia; [Chan, Kok-Keong] Int Med Univ, Div Human Biol, Kuala Lumpur 57000, Malaysia; [Convey, Peter] NERC, British Antarctic Survey, Madingley Rd, Cambridge CB3 0ET, England; [Convey, Peter] Univ Johannesburg, Dept Zool, POB 524, ZA-2006 Auckland Pk, South Africa</t>
  </si>
  <si>
    <t>International Medical University Malaysia; Universiti Malaya; International Medical University Malaysia; Universiti Malaya; UCSI University; International Medical University Malaysia; UK Research &amp; Innovation (UKRI); Natural Environment Research Council (NERC); NERC British Antarctic Survey; University of Johannesburg</t>
  </si>
  <si>
    <t>Dang, NL (corresponding author), Int Med Univ, Sch Postgrad Studies, Inst Res Dev &amp; Innovat IRDI, Kuala Lumpur 57000, Malaysia.</t>
  </si>
  <si>
    <t>dododangnl@yahoo.com</t>
  </si>
  <si>
    <t>Convey, Peter/AAV-5728-2020; Phang, Siew Moi/A-7653-2008; kok, yih yih/D-7860-2016</t>
  </si>
  <si>
    <t>Convey, Peter/0000-0001-8497-9903; Kok, Yih Yih/0000-0002-4999-7126; Dang, Nguk-Ling/0000-0001-6687-0840</t>
  </si>
  <si>
    <t>Ministry of Science, Technology and Innovation (MOSTI), Malaysia, under the Antarctica Flagship Programme [FP1213E036]; NERC; Public Service Department (JPA) of Malaysia</t>
  </si>
  <si>
    <t>Ministry of Science, Technology and Innovation (MOSTI), Malaysia, under the Antarctica Flagship Programme; NERC(UK Research &amp; Innovation (UKRI)Natural Environment Research Council (NERC)); Public Service Department (JPA) of Malaysia</t>
  </si>
  <si>
    <t>The funding support from the Ministry of Science, Technology and Innovation (MOSTI), Malaysia, under the Antarctica Flagship Programme (Sub-Project 4: FP1213E036), is gratefully acknowledged. Peter Convey is supported by NERC core funding to the BAS 'Biodiversity, Evolution and Adaptation' Team. NgukLing Dang is a scholarship recipient of the Public Service Department (JPA) of Malaysia.</t>
  </si>
  <si>
    <t>PII S0954102021000390</t>
  </si>
  <si>
    <t>10.1017/S0954102021000390</t>
  </si>
  <si>
    <t>WOS:000737582200001</t>
  </si>
  <si>
    <t>Eizenberg, YH; Fromant, A; Lec'hvien, A; Arnould, JPY</t>
  </si>
  <si>
    <t>Eizenberg, Yonina H.; Fromant, Aymeric; Lec'hvien, Arnaud; Arnould, John P. Y.</t>
  </si>
  <si>
    <t>Contrasting impacts of environmental variability on the breeding biology of two sympatric small procellariiform seabirds in south-eastern Australia</t>
  </si>
  <si>
    <t>PETRELS PELECANOIDES-URINATRIX; DIVING PETRELS; CLIMATE-CHANGE; BASS STRAIT; REPRODUCTIVE-PERFORMANCE; INTERANNUAL VARIABILITY; PACHYPTILA-DESOLATA; MARINE CONSERVATION; FOOD AVAILABILITY; ANTARCTIC PRION</t>
  </si>
  <si>
    <t>Seabirds play a vital role in marine ecosystems and the long-term study of their responses to environmental variations can be used to monitor the effects of climate change on marine fauna. However, slight differences in similar seabird species result in a range of responses which complicates our understanding of the effects of environmental changes to marine ecosystems. The present study investigated inter-annual differences in the breeding biology (breeding phenology, chick growth rates and breeding success) and environmental conditions (seasonal sea surface temperatures) of important foraging areas in two sympatric small Procellariiform species, the fairy prion (Pachyptila turtur) and the common diving petrel (Pelecanoides urinatrix), over four reproductive seasons (2017-2020) in Bass Strait, south-eastern Australia. Marine heatwaves occurred during the years of 2018/19 and 2019/20 and coincided with years of delayed laying dates, slower chick growth and reduced breeding success, in both species. While fairy prions maintained a relatively high breeding success and broadly constant breeding phenology, common diving petrels delayed the start of the breeding season by up to 50 days and experienced dramatic collapses in breeding success in years of high marine heat wave occurrence. The difference in foraging ecology and physiological capacity (largely in the production of stomach oils and fasting abilities of adults and chicks) between both species are likely to influence the variability and phenology in the observed breeding seasons.</t>
  </si>
  <si>
    <t>[Eizenberg, Yonina H.; Fromant, Aymeric; Lec'hvien, Arnaud; Arnould, John P. Y.] Deakin Univ, Sch Life &amp; Environm Sci, Burwood, Vic, Australia; [Eizenberg, Yonina H.; Fromant, Aymeric] La Rochelle Univ, Ctr Etud Biol Chize CEBC, CNRS, UMR 7372, Villiers En Bois, France</t>
  </si>
  <si>
    <t>Deakin University; Centre National de la Recherche Scientifique (CNRS); CNRS - Institute of Ecology &amp; Environment (INEE)</t>
  </si>
  <si>
    <t>Eizenberg, YH (corresponding author), Deakin Univ, Sch Life &amp; Environm Sci, Burwood, Vic, Australia.;Eizenberg, YH (corresponding author), La Rochelle Univ, Ctr Etud Biol Chize CEBC, CNRS, UMR 7372, Villiers En Bois, France.</t>
  </si>
  <si>
    <t>yeizenberg@deakin.edu.au</t>
  </si>
  <si>
    <t>Arnould, John/E-8386-2011</t>
  </si>
  <si>
    <t>Arnould, John/0000-0003-1124-9330; Eizenberg, Yonina/0000-0001-6080-5650; Fromant, Aymeric/0000-0002-3024-7659</t>
  </si>
  <si>
    <t>Birdlife Australia; Sea World Research and Rescue Foundation Inc.</t>
  </si>
  <si>
    <t>This study was supported logistically and financially by Sea World Research and Rescue Foundation Inc., and Birdlife Australia. The funders had no role in study design, data collection and analysis, decision to publish, or preparation of the manuscript.</t>
  </si>
  <si>
    <t>SEP 13</t>
  </si>
  <si>
    <t>e0250916</t>
  </si>
  <si>
    <t>10.1371/journal.pone.0250916</t>
  </si>
  <si>
    <t>WG6OR</t>
  </si>
  <si>
    <t>WOS:000707114200002</t>
  </si>
  <si>
    <t>Ren, DD; Hu, AX</t>
  </si>
  <si>
    <t>Ren, Diandong; Hu, Aixue</t>
  </si>
  <si>
    <t>Using GRACE Data to Estimate Climate Change Impacts on the Earth's Moment of Inertia</t>
  </si>
  <si>
    <t>MOI change finger printing; earth nontidal MOI; enhanced hydrological cycle; GRACE measurements; climate warming; cryosphere and climate change; climate warming increases Earth's Moment of Inertia</t>
  </si>
  <si>
    <t>SEA-LEVEL; GREENLAND; REANALYSIS; FEEDBACK; SPACE</t>
  </si>
  <si>
    <t>The widely used 15-year Gravity Recovery and Climate Experiment (GRACE) measured mass redistribution shows an increasing trend in the nontidal Earth's moment of inertia (MOI). Various contributing components are independently evaluated using five high-quality atmospheric reanalysis datasets and a novelty numerical modeling system. We found a steady, statistically robust (passed a two-tailed t-test at p = 0.04 for dof = 15) rate of MOI increase reaching similar to 11.0 x 10(27) kg m(2)/yr, equivalent to a 11.45 s mu /yr increase in the length of day, during 2002-2017. Further analysis suggests that the Antarctic ice sheet contributes the most, followed by the Greenland ice sheet, the precipitation-driven land hydrological cycle, mountain glaciers, and the fluctuation of atmosphere, in this order. Short-term MOI spikes from the GRACE measurements are mostly associated with major low/mid-latitude earthquakes, fitting closely with the MOI variations from the hydrological cycle. Atmospheric fluctuation contributes the least but has a steady trend of 0.5 s mu /yr, with horizontal mass distribution contributing twice as much as the vertical expansion and associated lift of the atmosphere's center of mass. The latter is a previously overlooked term affecting MOI fluctuation. The contribution to the observed MOI trend from a warming climate likely will persist in the future, largely due to the continuous mass loss from the Earth's ice sheets.</t>
  </si>
  <si>
    <t>[Ren, Diandong] Curtin Univ, Sch Elect Engn Comp &amp; Math Sci, Perth, WA, Australia; [Hu, Aixue] CGD NCAR, Boulder, CO USA</t>
  </si>
  <si>
    <t>Curtin University; National Center Atmospheric Research (NCAR) - USA</t>
  </si>
  <si>
    <t>Ren, DD (corresponding author), Curtin Univ, Sch Elect Engn Comp &amp; Math Sci, Perth, WA, Australia.</t>
  </si>
  <si>
    <t>Diandong.Ren@curtin.edu.au</t>
  </si>
  <si>
    <t>Hu, Aixue/E-1063-2013; Ren, Diandong/C-8870-2013</t>
  </si>
  <si>
    <t>Hu, Aixue/0000-0002-1337-287X; Ren, Diandong/0000-0002-5757-7527</t>
  </si>
  <si>
    <t>Regional and Global Model Analysis (RGMA) component of the Earth and Environmental System Modeling Program of the U.S. Department of Energy's Office of Biological and Environmental Research (BER) via National Science Foundation [IA 1844590]; National Science Foundation of the United States</t>
  </si>
  <si>
    <t>Regional and Global Model Analysis (RGMA) component of the Earth and Environmental System Modeling Program of the U.S. Department of Energy's Office of Biological and Environmental Research (BER) via National Science Foundation; National Science Foundation of the United States(National Science Foundation (NSF))</t>
  </si>
  <si>
    <t>Portions of this study were supported by the Regional and Global Model Analysis (RGMA) component of the Earth and Environmental System Modeling Program of the U.S. Department of Energy's Office of Biological and Environmental Research (BER) via National Science Foundation IA 1844590. The National Center for Atmospheric Research is sponsored by the National Science Foundation of the United States.</t>
  </si>
  <si>
    <t>10.3389/feart.2021.640304</t>
  </si>
  <si>
    <t>WB6EX</t>
  </si>
  <si>
    <t>WOS:000703664300001</t>
  </si>
  <si>
    <t>Billups, K; Eichler, P; Rodrigues, AR</t>
  </si>
  <si>
    <t>Billups, Katharina; Eichler, Patricia; Rodrigues, Andre Rosch</t>
  </si>
  <si>
    <t>Investigating the stable isotopic composition of Globocassidulina biora as a potential tracer of (paleo)environmental conditions near the Antarctic Peninsula</t>
  </si>
  <si>
    <t>Globocassidulina biora; Paleoceanography; Oxygen isotopes; Carbon isotopes; Admiralty Bay; King George Island</t>
  </si>
  <si>
    <t>KING GEORGE ISLAND; BENTHIC FORAMINIFERA; PLANKTONIC-FORAMINIFERA; LIVING FORAMINIFERA; OXYGEN; HOLOCENE; CARBON; SEA; WEST; BAY</t>
  </si>
  <si>
    <t>We measured the stable isotopic composition of Globocassidulina biora from 17 surface sediments in Admiralty Bay, King George Island, taken during four consecutive austral summers (2002/2003-2006) spanning 44-80 m water depth. This species is widespread in relatively shallow, nearshore environments, and we test its applicability to paleoclimatic reconstructions. Results indicate that the majority of the delta O-18 values in the surface sediment samples fall within a narrow range between 3.8 and 3.4 per mil in good agreement with the delta O-18 of equilibrium calcite. Averaged over the four sampling seasons, the absolute differences between G. biora delta O-18 values and equilibrium calcite is 0.02 per mil. Similar to the delta O-18 of equilibrium calcite and modern water mass parameters, there are no spatial, or water depth, differences in G. biora delta O-18 values across the study sites. These observations suggest that this species would be a suitable tracer for paleoenvimnmental conditions. However, maximum G. biora delta O-18 values of similar to 4.9 per mil in down-core Holocene samples from this region are higher than maximum surface sediment delta O-18 values of 3.88 per mil. Values &gt;4.5 per mil cannot be reconciled with water temperature and delta O-18 of seawater in the Antarctic Circumpolar region suggesting that other effects, such as perhaps linked to pore water pH, might be dominating the signal at times. The lack of a high delta O-18 analogue in the surface sediment calibration data suggests caution when using G. biora for paleoceanographic and paleoclimatic reconstructions.</t>
  </si>
  <si>
    <t>[Billups, Katharina] Univ Delaware, Sch Marine Sci &amp; Policy, Pilottown Rd 700, Lewes, DE 19958 USA; [Eichler, Patricia] Univ Fed Rio Grande do Norte UFRN, Campus Univ, BR-59072970 Natal, RN, Brazil; [Rodrigues, Andre Rosch] Univ Fed Espirito Santo, Dept Oceanog &amp; Ecol, Av Fernando Ferrari,514,Campus Goiabeiras, BR-29075910 Vitoria, ES, Brazil</t>
  </si>
  <si>
    <t>University of Delaware; Universidade Federal do Rio Grande do Norte; Universidade Federal do Espirito Santo</t>
  </si>
  <si>
    <t>Billups, K (corresponding author), Univ Delaware, Sch Marine Sci &amp; Policy, Pilottown Rd 700, Lewes, DE 19958 USA.</t>
  </si>
  <si>
    <t>kbillups@udel.edu</t>
  </si>
  <si>
    <t>CNPq (Conselho Nacional de Pesquisa) [550349/2002-2, 558472/2005-2]; PROANTAR (Brazilian Antarctic Program); Brazilian Navy; CAPES scholarship (Coordenadoria de aperfeicoamento ao pessoal de Nivel Superior)</t>
  </si>
  <si>
    <t>CNPq (Conselho Nacional de Pesquisa)(Conselho Nacional de Desenvolvimento Cientifico e Tecnologico (CNPQ)); PROANTAR (Brazilian Antarctic Program); Brazilian Navy; CAPES scholarship (Coordenadoria de aperfeicoamento ao pessoal de Nivel Superior)(Coordenacao de Aperfeicoamento de Pessoal de Nivel Superior (CAPES))</t>
  </si>
  <si>
    <t>We thank the editor Valeria Luciani well as Mimi Katz and Antonio Caruso for their time and constructive feedback that has helped us greatly in revising an earlier version of this manuscript. The field and laboratory work was financially supported by CNPq (Conselho Nacional de Pesquisa, 550349/2002-2 and 558472/2005-2), PROANTAR (Brazilian Antarctic Program) and the Brazilian Navy. Special thanks are due to the crew of the Skua boat for help with the fieldwork. The authors are especially grateful to Adriana R. Perretti, Katia S. Jaworski, Jo ~ao C. C. Maluf, and Valquiria M. de C. Aguiar for help in the collection of the samples. The research reported in this paper was a part of the third author's PhD thesis (Rodrigues, 2008), which was funded by a CAPES scholarship (Coordenadoria de aperfeicoamento ao pessoal de Nivel Superior).</t>
  </si>
  <si>
    <t>10.1016/j.marmicro.2021.102052</t>
  </si>
  <si>
    <t>US9HN</t>
  </si>
  <si>
    <t>WOS:000697736200007</t>
  </si>
  <si>
    <t>Dong, YT; Zhao, J; Floricioiu, D; Krieger, L; Fritz, T; Eineder, M</t>
  </si>
  <si>
    <t>Dong, Yuting; Zhao, Ji; Floricioiu, Dana; Krieger, Lukas; Fritz, Thomas; Eineder, Michael</t>
  </si>
  <si>
    <t>High-resolution topography of the Antarctic Peninsula combining the TanDEM-X DEM and Reference Elevation Model of Antarctica (REMA) mosaic</t>
  </si>
  <si>
    <t>ICE-SHEET; LASER DATA; MASS-LOSS; RADAR; OCEAN; CALIBRATION; VALIDATION; GENERATION; GLACIERS; FUSION</t>
  </si>
  <si>
    <t>The Antarctic Peninsula (AP) is one of the widely studied polar regions because of its sensitivity to climate change and potential contribution of its glaciers to global sea level rise. Precise digital elevation models (DEMs) at a high spatial resolution are much demanded for investigating the complex glacier system of the AP at fine scales. However, the two most recent circum-Antarctic DEMs, the 12m TanDEM-X DEM (TDM DEM) from bistatic interferometric synthetic aperture radar (InSAR) data acquired between 2013 and 2014 and the Reference Elevation Model of Antarctica mosaic (REMA mosaic) at an 8m spatial resolution derived from optical data acquired between 2011 and 2017 have specific individual limitations in this area. The TDM DEM has the advantage of good data consistency and few data voids (approx. 0.85 %), but there exist residual systematic elevation errors such as phase-unwrapping errors in the non-edited DEM version. The REMA mosaic has high absolute vertical accuracy, but on the AP it suffers from extended areas with data voids (approx. 8 %). To generate a consistent, gapless and high-resolution topography product of the AP, we fill the data voids in the TDM DEM with newly processed TDM raw DEM data acquired in austral winters of 2013 and 2014 and detect and correct the residual systematic elevation errors (i.e., elevation biases) in the TDM DEM with the support of the accurately calibrated REMA mosaic. Instead of a pixelwise replacement with REMA mosaic elevations, these provide reference values to correct the TDM elevation biases over entire regions detected through a path propagation algorithm. The procedure is applied iteratively to gradually correct the errors in the TDM DEM from a large to small scale. The proposed method maintains the characteristics of an InSAR-generated DEM and is minimally influenced by temporal or penetration differences between the TDM DEM and REMA mosaic. The performance of the correction is evaluated with laser altimetry data from Operation IceBridge and ICESat-2 missions. The overall root mean square error (RMSE) of the corrected TDM DEM has been reduced from more than 30m to about 10m which together with the improved absolute elevation accuracy indicates comparable values to the REMA mosaic. The generated high-resolution DEM depicts the up-to-date topography of the AP in detail and can be widely used for interferometric applications as well as for glaciological studies on individual glaciers or at regional scales.</t>
  </si>
  <si>
    <t>[Dong, Yuting] China Univ Geosci, Sch Geog &amp; Informat Engn, Wuhan, Peoples R China; [Dong, Yuting; Floricioiu, Dana; Krieger, Lukas; Fritz, Thomas; Eineder, Michael] German Aerosp Ctr DLR, Remote Sensing Technol Inst IMF, Oberpfaffenhofen, Germany; [Zhao, Ji] China Univ Geosci, Sch Comp Sci, Wuhan, Peoples R China</t>
  </si>
  <si>
    <t>China University of Geosciences; Helmholtz Association; German Aerospace Centre (DLR); China University of Geosciences</t>
  </si>
  <si>
    <t>Zhao, J (corresponding author), China Univ Geosci, Sch Comp Sci, Wuhan, Peoples R China.</t>
  </si>
  <si>
    <t>zhaoji@cug.edu.cn</t>
  </si>
  <si>
    <t>Floricioiu, Dana/0000-0002-1647-7191; Krieger, Lukas/0000-0002-2464-3102; Dong, Yuting/0000-0002-8894-4318</t>
  </si>
  <si>
    <t>National Natural Science Foundation of China [41901413]; Sino-German (CSC-DAAD) Postdoc Scholarship Program; DLR project Polar Monitor</t>
  </si>
  <si>
    <t>National Natural Science Foundation of China(National Natural Science Foundation of China (NSFC)); Sino-German (CSC-DAAD) Postdoc Scholarship Program; DLR project Polar Monitor</t>
  </si>
  <si>
    <t>This work was supported by the National Natural Science Foundation of China (grant no. 41901413) and by the DLR project Polar Monitor. Furthermore, the first author received scientific research funding from the Sino-German (CSC-DAAD) Postdoc Scholarship Program.</t>
  </si>
  <si>
    <t>10.5194/tc-15-4421-2021</t>
  </si>
  <si>
    <t>UP8VI</t>
  </si>
  <si>
    <t>WOS:000695651000002</t>
  </si>
  <si>
    <t>Litchman, E; Edwards, KF; Boyd, PW</t>
  </si>
  <si>
    <t>Litchman, Elena; Edwards, Kyle F.; Boyd, Philip W.</t>
  </si>
  <si>
    <t>Toward trait-based food webs: Universal traits and trait matching in planktonic predator-prey and host-parasite relationships</t>
  </si>
  <si>
    <t>3-WAY TRADE-OFF; FUNCTIONAL TRAITS; PHYTOPLANKTON GROWTH; CELL-SIZE; COMMUNITY COMPOSITION; BACTERIOPHAGE-LAMBDA; DIVERSITY PATTERNS; EMILIANIA-HUXLEYI; VIRAL IMPACTS; PLANT TRAITS</t>
  </si>
  <si>
    <t>There is a growing consensus that traits offer a powerful way to examine the relationship between the environment, organismal strategies, species interactions, and ecological success. To date, trait-based research has largely been focusing on individual trophic levels and not on cross-level interactions. Looking at traits not only within but across trophic levels and identifying traits that together define trophic interactions holds a great potential for understanding the mechanisms of interactions. Here, we outline the conceptual foundation for cross-trophic trait-based frameworks, using planktonic food webs as an example. First, we compile a list of traits important within different individual trophic levels and show that there are traits that are common across trophic levels (universal traits), as well as trophic level-specific traits. Next, we focus on traits that characterize interactions across trophic levels, focusing on two types of interaction-grazer-primary producer and host-parasite, identifying the similarities and differences between these interactions. We outline the trait hierarchies that define possible and realized intertrophic interactions and their strengths. We then highlight the importance of trade-offs among those traits in shaping interactions and explaining general patterns in the structure and function of food webs. Finally, we discuss the environmental influences on traits, their eco-evolutionary responses to changing conditions and how those responses may alter trophic interactions. The extension of trait-based approaches from individual trophic levels to food webs and different trophic interactions should stimulate further conceptual development, enrich the field of aquatic sciences, and provide a framework to better predict global change effects on ecosystems.</t>
  </si>
  <si>
    <t>[Litchman, Elena] Michigan State Univ, Kellogg Biol Stn, Hickory Corners, MI 49060 USA; [Litchman, Elena] Michigan State Univ, Ecol Evolut &amp; Behav Program, E Lansing, MI 48824 USA; [Litchman, Elena] Michigan State Univ, Dept Integrat Biol, E Lansing, MI 48824 USA; [Edwards, Kyle F.] Univ Hawaii Manoa, Dept Oceanog, Honolulu, HI 96822 USA; [Boyd, Philip W.] Univ Tasmania, Inst Marine &amp; Antarctic Studies, Hobart, Tas, Australia; [Boyd, Philip W.] Univ Tasmania, Inst Marine &amp; Antarctic Studies, Australian Antarctic Programme Partnership, Hobart, Tas, Australia</t>
  </si>
  <si>
    <t>Michigan State University; Michigan State University; Michigan State University; University of Hawaii System; University of Hawaii Manoa; University of Tasmania; University of Tasmania</t>
  </si>
  <si>
    <t>Litchman, E (corresponding author), Michigan State Univ, Kellogg Biol Stn, Hickory Corners, MI 49060 USA.;Litchman, E (corresponding author), Michigan State Univ, Ecol Evolut &amp; Behav Program, E Lansing, MI 48824 USA.;Litchman, E (corresponding author), Michigan State Univ, Dept Integrat Biol, E Lansing, MI 48824 USA.</t>
  </si>
  <si>
    <t>litchman@msu.edu</t>
  </si>
  <si>
    <t>Boyd, Philip/0000-0001-7850-1911; Litchman, Elena/0000-0001-7736-6332</t>
  </si>
  <si>
    <t>NSF [OCE-1638958, DEB-1754250]; Simons Foundation Investigator Award in Marine Microbial Ecology and Evolution; Australian Government; NSF grant RII Track-2 [FEC 1736030]</t>
  </si>
  <si>
    <t>NSF(National Science Foundation (NSF)); Simons Foundation Investigator Award in Marine Microbial Ecology and Evolution; Australian Government(Australian Government); NSF grant RII Track-2</t>
  </si>
  <si>
    <t>EL acknowledges the support of the NSF grants OCE-1638958 and DEB-1754250. KFE acknowledges the support of NSF grant RII Track-2 FEC 1736030 and a Simons Foundation Investigator Award in Marine Microbial Ecology and Evolution. PWB was supported through grant funding from the Australian Government as part of the Antarctic Science Collaboration Initiative Programme. We thank the reviewers for helpful comments and A. Klausmeier and L. Bell for help with Fig. 1. This is Kellogg Biological Station contribution number 2291.</t>
  </si>
  <si>
    <t>10.1002/lno.11924</t>
  </si>
  <si>
    <t>WU2NP</t>
  </si>
  <si>
    <t>WOS:000695168500001</t>
  </si>
  <si>
    <t>Carroll, EL; Dunshea, G; Ott, PH; Valenzuela, LO; Baker, CS; Childerhouse, SJ; Gaggiotti, OE; Flores, PAC; Groch, K; Gröcke, DR; Hindell, MA; Lundquist, D; Oliveira, LR; Rowntree, V; Sironi, M; Newsome, SD</t>
  </si>
  <si>
    <t>Carroll, Emma L.; Dunshea, Glenn; Ott, Paulo H.; Valenzuela, Luciano O.; Baker, C. Scott; Childerhouse, Simon J.; Gaggiotti, Oscar E.; Flores, Paulo A. C.; Groch, Karina; Grocke, Darren R.; Hindell, Mark A.; Lundquist, David; Oliveira, Larissa R.; Rowntree, Victoria; Sironi, Mariano; Newsome, Seth D.</t>
  </si>
  <si>
    <t>Variation in δ13C and δ15N values of mothers and their calves across southern right whale nursery grounds: The effects of nutritional stress?</t>
  </si>
  <si>
    <t>capital breeder; Eubalaena australis; maternal investment; physiology; southern right whale; stable isotope</t>
  </si>
  <si>
    <t>NITROGEN ISOTOPE VALUES; EUBALAENA-AUSTRALIS; STABLE-ISOTOPES; DIETARY-PROTEIN; CARBON; DISCRIMINATION; MOVEMENTS; POPULATION; SECRETION; BALANCE</t>
  </si>
  <si>
    <t>Southern right whales (SRW) are capital breeders that use stored energy reserves to sustain themselves and their calves on nursery areas. With successful calving events declining in some SRW populations, it has been hypothesized that nutritional stress in adult females causes reproductive failure or death of calves shortly after birth. Here we compared offsets in carbon and nitrogen isotope values of mothers and their offspring (Delta C-13(calf-cow) and Delta N-15(calf-cow)) among three SRW populations. SRW from Aotearoa New Zealand, with high population growth rates and body conditions scores, have negative Delta C-13(calf-cow) suggesting calves are utilizing C-13-depleted lipid carbon in milk to fuel the synthesis of nonessential amino acids used to build new tissues and rapidly grow. In contrast, a significantly positive Delta C-13(calf-cow) offset previously reported for SRW from Argentina during a mass die-off event was hypothesized to be due to calves consuming milk with low lipid content. Patterns in Delta N-15(calf-cow) were more difficult to interpret and highlight the complexity in nitrogen transfer between mother and offspring. When combined with similar data collected from Brazil and during a low mortality year in Argentina, we hypothesize this approach provides a way to retrospectively compare nutritional condition of breeding adult female SRW across nursery areas.</t>
  </si>
  <si>
    <t>[Carroll, Emma L.] Univ Auckland Waipapa Taumata Rau, Sch Biol Sci, Te Kura Matauranga Koiora, Auckland, New Zealand; [Carroll, Emma L.; Gaggiotti, Oscar E.] Univ St Andrews, Sch Biol, St Andrews, Fife, Scotland; [Carroll, Emma L.; Gaggiotti, Oscar E.] Univ St Andrews, Sea Mammal Res Unit, St Andrews, Fife, Scotland; [Dunshea, Glenn] Ecol Marine Serv Pty Ltd, Bundaberg, Qld, Australia; [Dunshea, Glenn] Norwegian Univ Sci &amp; Technol, NTNU Univ Museum, Trondheim, Norway; [Ott, Paulo H.; Oliveira, Larissa R.] Grp Estudos Mamiferos Aquat Rio Grande Sul, Torres, RS, Brazil; [Ott, Paulo H.] Univ Estadual Rio Grande do Sul, Osorio, RS, Brazil; [Valenzuela, Luciano O.] Univ Utah, Sch Biol Sci, Salt Lake City, UT USA; [Valenzuela, Luciano O.] UNCPBA, CONICET, Consejo Nacl Invest Cient &amp; Tecn, Fac Ciencias Sociales,Lab Ecol Evolut Humana, Tandil, Buenos Aires, Argentina; [Valenzuela, Luciano O.; Rowntree, Victoria; Sironi, Mariano] Inst Conservac Ballenas, Buenos Aires, DF, Argentina; [Baker, C. Scott] Oregon State Univ, Marine Mammal Inst, Corvallis, OR 97331 USA; [Baker, C. Scott] Oregon State Univ, Dept Fisheries Wildlife &amp; Conservat Sci, Corvallis, OR 97331 USA; [Childerhouse, Simon J.] Cawthron Inst, Nelson, New Zealand; [Flores, Paulo A. C.] Nucleo Gestao Integrada Florianopolis, ICMBio MMA, Florianopolis, SC, Brazil; [Groch, Karina] Inst Australis, Imbituba, SC, Brazil; [Grocke, Darren R.] Univ Durham, Dept Earth Sci, Stable Isotope Biogeochem Lab, Durham, England; [Hindell, Mark A.] Univ Tasmania, Inst Marine &amp; Antarctic Studies, Hobart, Tas, Australia; [Lundquist, David] New Zealand Dept Conservat, Wellington, New Zealand; [Oliveira, Larissa R.] Univ Vale Rio dos Sinos, Lab Ecol Mamiferos, Sao Leopoldo, RS, Brazil; [Sironi, Mariano] Univ Nacl Cordoba, Diversidad Biol 4, Cordoba, Argentina; [Newsome, Seth D.] Univ New Mexico, Dept Biol, Albuquerque, NM 87131 USA</t>
  </si>
  <si>
    <t>University of St Andrews; University of St Andrews; Norwegian University of Science &amp; Technology (NTNU); Universidade Estadual do Rio Grande do Sul (UERGS); Utah System of Higher Education; University of Utah; Consejo Nacional de Investigaciones Cientificas y Tecnicas (CONICET); Oregon State University; Oregon State University; Cawthron Institute; Durham University; University of Tasmania; Universidade do Vale do Rio dos Sinos (Unisinos); National University of Cordoba; University of New Mexico</t>
  </si>
  <si>
    <t>Carroll, EL (corresponding author), Univ Auckland, Auckland Mail Ctr, Sch Biol Sci, Private Bag 92019, Auckland 1142, New Zealand.</t>
  </si>
  <si>
    <t>carrollemz@gmail.com</t>
  </si>
  <si>
    <t>Hindell, Mark A/K-1131-2013; Carroll, Emma/U-9133-2019; Gaggiotti, Oscar E/G-2459-2010; Ott, Paulo Henrique/IWE-1400-2023; Oliveira, Larissa Rosa de/I-5640-2012; Grocke, Darren R./F-4799-2015</t>
  </si>
  <si>
    <t>Carroll, Emma/0000-0003-3193-7288; Gaggiotti, Oscar E/0000-0003-1827-1493; Oliveira, Larissa Rosa de/0000-0002-5735-3697; Grocke, Darren R./0000-0003-2296-7530</t>
  </si>
  <si>
    <t>Australian Antarctic Division; Australian Marine Mammal Centre; Blue Planet Marine NZ Ltd; Brazilian National Research Council [144064/98-7]; Brian Skerry Photography; EU Horizons 2020; Holsworth Wildlife Research Endowment; Marine Conservation Action Fund; National Geographic Society; New Zealand Department of Conservation; New Zealand Ministry of Foreign Affairs; Royal Society of New Zealand; South Pacific Whale Research Consortium; Winifred Violet Scott Estate Research Grant Fund</t>
  </si>
  <si>
    <t>Australian Antarctic Division; Australian Marine Mammal Centre; Blue Planet Marine NZ Ltd; Brazilian National Research Council(Conselho Nacional de Desenvolvimento Cientifico e Tecnologico (CNPQ)); Brian Skerry Photography; EU Horizons 2020; Holsworth Wildlife Research Endowment; Marine Conservation Action Fund; National Geographic Society(National Geographic Society); New Zealand Department of Conservation; New Zealand Ministry of Foreign Affairs; Royal Society of New Zealand(Royal Society of New Zealand); South Pacific Whale Research Consortium; Winifred Violet Scott Estate Research Grant Fund</t>
  </si>
  <si>
    <t>Australian Antarctic Division; Australian Marine Mammal Centre; Blue Planet Marine NZ Ltd; Brazilian National Research Council, Grant/Award Number: CNPq proc. no 144064/98-7; Brian Skerry Photography; EU Horizons 2020, Grant/Award Number: Marie Curie Fellowship; Holsworth Wildlife Research Endowment; Marine Conservation Action Fund; National Geographic Society; New Zealand Department of Conservation; New Zealand Ministry of Foreign Affairs; Royal Society of New Zealand, Grant/Award Number: Rutherford Discovery Fellowship; South Pacific Whale Research Consortium; Winifred Violet Scott Estate Research Grant Fund</t>
  </si>
  <si>
    <t>10.1111/mms.12871</t>
  </si>
  <si>
    <t>WOS:000695160000001</t>
  </si>
  <si>
    <t>Rott, H; Scheiblauer, S; Wuite, J; Krieger, L; Floricioiu, D; Rizzoli, P; Libert, L; Nagler, T</t>
  </si>
  <si>
    <t>Rott, Helmut; Scheiblauer, Stefan; Wuite, Jan; Krieger, Lukas; Floricioiu, Dana; Rizzoli, Paola; Libert, Ludivine; Nagler, Thomas</t>
  </si>
  <si>
    <t>Penetration of interferometric radar signals in Antarctic snow</t>
  </si>
  <si>
    <t>TANDEM-X; UNION GLACIER; DENSE MEDIA; ELLSWORTH MOUNTAINS; ELEVATION MODEL; MASS-BALANCE; ICE; SCATTERING; SURFACE; BIAS</t>
  </si>
  <si>
    <t>Synthetic aperture radar interferometry (InSAR) is an efficient technique for mapping the surface elevation and its temporal change over glaciers and ice sheets. However, due to the penetration of the SAR signal into snow and ice, the apparent elevation in uncorrected InSAR digital elevation models (DEMs) is displaced versus the actual surface. We studied relations between interferometric radar signals and physical snow properties and tested procedures for correcting the elevation bias. The work is based on satellite and in situ data over Union Glacier in the Ellsworth Mountains, West Antarctica, including interferometric data of the TanDEM-X mission, topographic data from optical satellite sensors and field measurements on snow structure, and stratigraphy undertaken in December 2016. The study area comprises ice-free surfaces, bare ice, dry snow and firn with a variety of structural features related to local differences in wind exposure and snow accumulation. Time series of laser measurements of NASA's Ice, Cloud and land Elevation Satellite (ICESat) and ICESat-2 show steady-state surface topography. For area-wide elevation reference we use the Reference Elevation Model of Antarctica (REMA). The different elevation data are vertically co-registered on a blue ice area that is not affected by radar signal penetration. Backscatter simulations with a multilayer radiative transfer model show large variations for scattering of individual snow layers, but the vertical backscatter distribution can be approximated by an exponential function representing uniform absorption and scattering properties. We obtain estimates of the elevation bias by inverting the interferometric volume correlation coefficient (coherence), applying a uniform volume model for describing the vertical loss function. Whereas the mean values of the computed elevation bias and the elevation difference between the TanDEM-X DEMs and the REMA show good agreement, a trend towards overestimation of penetration is evident for heavily wind-exposed areas with low accumulation and towards underestimation for areas with higher accumulation rates. In both cases deviations from the uniform volume structure are the main reason. In the first case the dense sequence of horizontal structures related to internal wind crust, ice layers and density stratification causes increased scattering in near-surface layers. In the second case the small grain size of the top snow layers causes a downward shift in the scattering phase centre.</t>
  </si>
  <si>
    <t>[Rott, Helmut; Scheiblauer, Stefan; Wuite, Jan; Libert, Ludivine; Nagler, Thomas] ENVEO IT GmbH, Innsbruck, Austria; [Rott, Helmut] Univ Innsbruck, Dept Atmospher &amp; Cryospher Sci, Innsbruck, Austria; [Krieger, Lukas; Floricioiu, Dana] DLR, Remote Sensing Technol Inst, Oberpfaffenhofen, Germany; [Rizzoli, Paola] DLR, Microwaves &amp; Radar Inst, Oberpfaffenhofen, Germany</t>
  </si>
  <si>
    <t>University of Innsbruck; Helmholtz Association; German Aerospace Centre (DLR); Helmholtz Association; German Aerospace Centre (DLR)</t>
  </si>
  <si>
    <t>Rott, H (corresponding author), ENVEO IT GmbH, Innsbruck, Austria.;Rott, H (corresponding author), Univ Innsbruck, Dept Atmospher &amp; Cryospher Sci, Innsbruck, Austria.</t>
  </si>
  <si>
    <t>helmut.rott@enveo.at</t>
  </si>
  <si>
    <t>Rizzoli, Paola/ABF-8621-2021</t>
  </si>
  <si>
    <t>Krieger, Lukas/0000-0002-2464-3102; Rott, Helmut/0000-0003-4719-7376; Scheiblauer, Stefan/0000-0002-5614-8296; Rizzoli, Paola/0000-0001-9118-2732; Floricioiu, Dana/0000-0002-1647-7191; Wuite, Jan/0000-0001-9333-1586</t>
  </si>
  <si>
    <t>10.5194/tc-15-4399-2021</t>
  </si>
  <si>
    <t>WOS:000695651000001</t>
  </si>
  <si>
    <t>Mercier, G; Yoccoz, NG; Descamps, S</t>
  </si>
  <si>
    <t>Mercier, Guillaume; Yoccoz, Nigel G.; Descamps, Sebastien</t>
  </si>
  <si>
    <t>Influence of reproductive output on divorce rates in polar seabirds</t>
  </si>
  <si>
    <t>Antarctica; breeding status; divorce; partner fidelity; Svalbard</t>
  </si>
  <si>
    <t>EXTRA-PAIR PATERNITY; SKUA CATHARACTA-MACCORMICKI; MATE FIDELITY; RISSA-TRIDACTYLA; SOCIAL MONOGAMY; BREEDING PERFORMANCE; ARCTIC SEABIRD; CHICK GROWTH; NEST-SITE; SURVIVAL</t>
  </si>
  <si>
    <t>The high occurrence of social monogamy in birds has led to questions about partner fidelity, or the perennial nature of monogamy from one breeding season to another. Despite the evolutionary advantages of partner fidelity, divorce occurs among 95% of bird species. We aimed to describe patterns of divorce and partner fidelity in five seabird species breeding in Arctic and Antarctic regions and investigated the influence of breeding status on pair bond maintenance. For four out of the five species considered, we observed low divorce rates (respectively 1.9%, 3.3%, 2.5%, and 0.0% for Brunnich's guillemot, glaucous gull, Antarctic petrel, and south polar skua), while the divorce rate was much higher (19.1%) for the black-legged kittiwake. For kittiwakes, the divorce rate was lower for pairs that managed to raise their chick to 15 days of age, while the effect of breeding success on divorce in the four other species could not be tested due to the rareness of divorce events. Our results emphasize the potentially large temporal (interannual) variations that should be taken into account in understanding divorce and partner fidelity in seabirds.</t>
  </si>
  <si>
    <t>[Mercier, Guillaume; Descamps, Sebastien] Norwegian Polar Res Inst, Fram Ctr, N-9296 Tromso, Norway; [Mercier, Guillaume; Yoccoz, Nigel G.] UiT Arctic Univ Norway, Dept Arctic &amp; Marine Biol, Tromso, Norway</t>
  </si>
  <si>
    <t>Norwegian Polar Institute; UiT The Arctic University of Tromso</t>
  </si>
  <si>
    <t>Descamps, S (corresponding author), Norwegian Polar Res Inst, Fram Ctr, N-9296 Tromso, Norway.</t>
  </si>
  <si>
    <t>sebastien.descamps@npolar.no</t>
  </si>
  <si>
    <t>Yoccoz, Nigel/C-8561-2014</t>
  </si>
  <si>
    <t>Yoccoz, Nigel/0000-0003-2192-1039</t>
  </si>
  <si>
    <t>MOSJ; SEAPOP</t>
  </si>
  <si>
    <t>SEAPOP; MOSJ</t>
  </si>
  <si>
    <t>10.1002/ece3.7775</t>
  </si>
  <si>
    <t>WC5VO</t>
  </si>
  <si>
    <t>WOS:000695010800001</t>
  </si>
  <si>
    <t>Kokubun, N; Tanabe, Y; Hirano, D; Mensah, V; Tamura, T; Aoki, S; Takahashi, A</t>
  </si>
  <si>
    <t>Kokubun, Nobuo; Tanabe, Yukiko; Hirano, Daisuke; Mensah, Vigan; Tamura, Takeshi; Aoki, Shigeru; Takahashi, Akinori</t>
  </si>
  <si>
    <t>Shoreward intrusion of oceanic surface waters alters physical and biological ocean structures on the Antarctic continental shelf during winter: Observations from instrumented seals</t>
  </si>
  <si>
    <t>CIRCUMPOLAR DEEP-WATER; LUTZOW-HOLM BAY; WEDDELL SEALS; SOUTHERN-OCEAN; FORAGING BEHAVIOR; LEPTONYCHOTES-WEDDELLII; EUPHAUSIA-SUPERBA; EAST ANTARCTICA; INDIAN SECTOR; ICE FORMATION</t>
  </si>
  <si>
    <t>Ocean circulation plays a key role in structuring marine ecosystems in the Southern Ocean. However, the seasonal dynamics of ocean circulation are poorly understood in the ice-covered continental shelves due to difficulties in conducting observations. We, therefore, investigated spatial and temporal variations in oceanographic conditions and their biological effects on the continental shelf off East Antarctica (35 degrees E-50 degrees E) by deploying conductivity-temperature-depth (CTD) tags on Weddell seals. The seals moved up to 633 km east from the tagging location. We successfully obtained 1254 CTD casts from seven seals. Winter Water (WW) was most prevalent (77.4% of the total data), followed by Supercooled Water (14.2%), Antarctic Surface Water (AASW: 7.4%), Modified Circumpolar Deep Water (mCDW; 0.9%), and Modified Shelf Water (0.1%). During our study period, landfast ice broke up extensively, and the easterly wind was most prevalent during autumn. AASW was observed in the subsurface layer over the shelf in autumn, suggesting that AASW intruded from the surface of off-shelf areas through Ekman transport. Particular water masses (mCDW, AASW, and WW below the AASW) had positive effects on the seals' foraging behavior. These results highlight the importance of easterly wind-driven shoreward intrusion of oceanic surface waters onto the shelf in autumn. This physical process may enhance transport and accumulation of additional prey and increase local prey availability during winter. Such a process may play important roles in the Antarctic coastal marine ecosystems that are influenced by landfast ice.</t>
  </si>
  <si>
    <t>[Kokubun, Nobuo; Tanabe, Yukiko; Hirano, Daisuke; Tamura, Takeshi; Takahashi, Akinori] Natl Inst Polar Res, Tachikawa, Tokyo, Japan; [Kokubun, Nobuo; Tanabe, Yukiko; Tamura, Takeshi; Takahashi, Akinori] SOKENDAI Grad Univ Adv Studies, Sch Multidisciplinary Sci, Dept Polar Sci, Tachikawa, Tokyo, Japan; [Hirano, Daisuke; Mensah, Vigan; Aoki, Shigeru] Hokkaido Univ, Inst Low Temp Sci, Sapporo, Hokkaido, Japan; [Hirano, Daisuke] Hokkaido Univ, Arctic Res Ctr, Sapporo, Hokkaido, Japan</t>
  </si>
  <si>
    <t>Research Organization of Information &amp; Systems (ROIS); National Institute of Polar Research (NIPR) - Japan; Graduate University for Advanced Studies - Japan; Hokkaido University; Hokkaido University</t>
  </si>
  <si>
    <t>Kokubun, N (corresponding author), Natl Inst Polar Res, Tachikawa, Tokyo, Japan.;Kokubun, N (corresponding author), SOKENDAI Grad Univ Adv Studies, Sch Multidisciplinary Sci, Dept Polar Sci, Tachikawa, Tokyo, Japan.</t>
  </si>
  <si>
    <t>kokubun@nipr.ac.jp</t>
  </si>
  <si>
    <t>Hirano, Daisuke/P-3963-2019</t>
  </si>
  <si>
    <t>National Institute of Polar Research [AP0922, KP 309, KP 303]; JSPS KAKENHI - Japan Ministry of Education, Culture, Sports, Science, and Technology [16K16185, 17K12811, 20K12132]; Grants-in-Aid for Scientific Research [20K12132, 16K16185, 17K12811, 21H04918, 20H04961, 21H04931] Funding Source: KAKEN</t>
  </si>
  <si>
    <t>National Institute of Polar Research(National Institute of Polar Research (NIPR) - Japan); JSPS KAKENHI - Japan Ministry of Education, Culture, Sports, Science, and Technology; Grants-in-Aid for Scientific Research(Ministry of Education, Culture, Sports, Science and Technology, Japan (MEXT)Japan Society for the Promotion of ScienceGrants-in-Aid for Scientific Research (KAKENHI))</t>
  </si>
  <si>
    <t>We would like to thank all of the members of the Japanese Antarctic Research Expedition (JARE) 58/59 who assisted in the fieldwork. This study was supported by Prioritized Project ROBOTICA, Research Projects AP0922, KP 309, and KP 303, funded by the National Institute of Polar Research. This study was also supported by JSPS KAKENHI Grant Number 16K16185, 17K12811, and 20K12132, funded by the Japan Ministry of Education, Culture, Sports, Science, and Technology. An NIPR publication subsidy supported the publication of this paper.</t>
  </si>
  <si>
    <t>10.1002/lno.11914</t>
  </si>
  <si>
    <t>WE4QR</t>
  </si>
  <si>
    <t>WOS:000695008500001</t>
  </si>
  <si>
    <t>Baylis, AMM; De Lecea, AM; Tierney, M; Orben, RA; Ratcliffe, N; Wakefield, E; Catry, P; Campioni, L; Costa, M; Boersma, PD; Galimberti, F; Granadeiro, JP; Masello, JF; Puetz, K; Quillfeldt, P; Rebstock, GA; Sanvito, S; Staniland, IJ; Brickle, P</t>
  </si>
  <si>
    <t>Baylis, Alastair M. M.; De Lecea, Ander M.; Tierney, Megan; Orben, Rachael A.; Ratcliffe, Norman; Wakefield, Ewan; Catry, Paulo; Campioni, Letizia; Costa, Marina; Boersma, P. Dee; Galimberti, Filippo; Granadeiro, Jose P.; Masello, Juan F.; Puetz, Klemens; Quillfeldt, Petra; Rebstock, Ginger A.; Sanvito, Simona; Staniland, Iain J.; Brickle, Paul</t>
  </si>
  <si>
    <t>Overlap between marine predators and proposed Marine Managed Areas on the Patagonian Shelf</t>
  </si>
  <si>
    <t>ECOLOGICAL APPLICATIONS</t>
  </si>
  <si>
    <t>important bird and biodiversity areas; IUCN key biodiversity areas; marine protected areas</t>
  </si>
  <si>
    <t>MAGELLANIC PENGUINS; BIODIVERSITY AREAS; DYNAMIC OCEAN; HOME-RANGE; SCALE; ESTIMATORS</t>
  </si>
  <si>
    <t>Static (fixed-boundary) protected areas are key ocean conservation strategies, and marine higher predator distribution data can play a leading role toward identifying areas for conservation action. The Falkland Islands are a globally significant site for colonial breeding marine higher predators (i.e., seabirds and pinnipeds). However, overlap between marine predators and Falkland Islands proposed Marine Managed Areas (MMAs) has not been quantified. Hence, to provide information required to make informed decisions regarding the implementation of proposed MMAs, our aims were to objectively assess how the proposed MMA network overlaps with contemporary estimates of marine predator distribution. We collated tracking data (1999-2019) and used a combination of kernel density estimation and model-based predictions of spatial usage to quantify overlap between colonial breeding marine predators and proposed Falkland Islands MMAs. We also identified potential IUCN Key Biodiversity Areas (pKBAs) using (1) kernel density based methods originally designed to identify Important Bird and Biodiversity Areas (IBAs) and (2) habitat preference models. The proposed inshore MMA, which extends three nautical miles from the Falkland Islands, overlapped extensively with areas used by colonial breeding marine predators. This reflects breeding colonies being distributed throughout the Falklands archipelago, and use being high adjacent to colonies due to central-place foraging constraints. Up to 45% of pKBAs identified via kernel density estimation were located within the proposed MMAs. In particular, the proposed Jason Islands Group MMA overlapped with pKBAs for three marine predator species, suggesting it is a KBA hot spot. However, tracking data coverage was incomplete, which biased pKBAs identified using kernel density methods, to colonies tracked. Moreover, delineation of pKBA boundaries were sensitive to the choice of smoothing parameter used in kernel density estimation. Delineation based on habitat model predictions for both sampled and unsampled colonies provided less biased estimates, and revealed 72% of the Falkland Islands Conservation Zone was likely a KBA. However, it may not be practical to consider such a large area for fixed-boundary management. In the context of wide-ranging marine predators, emerging approaches such as dynamic ocean management could complement static management frameworks such as MMAs, and provide protection at relevant spatiotemporal scales.</t>
  </si>
  <si>
    <t>[Baylis, Alastair M. M.; De Lecea, Ander M.; Tierney, Megan; Costa, Marina; Brickle, Paul] South Atlantic Environm Res Inst, Stanley FIQQ 1ZZ, Falkland Island; [Baylis, Alastair M. M.] Macquarie Univ, Dept Biol Sci, Sydney, NSW 2109, Australia; [De Lecea, Ander M.] Univ South Africa, Coll Agr Ulture &amp; Environm Sci, Dept Environm Sci, Pretoria, South Africa; [Tierney, Megan] Joint Nat Conservat Comm, Peterborough PE1 1JY, England; [Orben, Rachael A.] Oregon State Univ, Hatfield Marine Sci Ctr, Marine Mammal Inst, Dept Fisheries Wildlife &amp; Conservat Sci, Newport, OR 97365 USA; [Ratcliffe, Norman; Staniland, Iain J.] British Antarctic Survey, Cambridge CB3 0ET, England; [Wakefield, Ewan] Univ Glasgow, Inst Biodivers Anim Hlth &amp; Comparat Med, Graham Kerr Bldg, Glasgow G12 8QQ, Lanark, Scotland; [Catry, Paulo; Campioni, Letizia] ISPA Inst Univ, MARE Marine &amp; Environm Sci Ctr, Lisbon, Portugal; [Boersma, P. Dee; Rebstock, Ginger A.] Univ Washington, Ctr Ecosyst Sentinels, Dept Biol, Seattle, WA 98195 USA; [Galimberti, Filippo; Sanvito, Simona] Elephant Seal Res Grp, Stanley FIQQ 1ZZ, Falkland Island; [Granadeiro, Jose P.] Univ Lisbon, Fac Ciencias, Dept Biol Anim, Ctr Environm &amp; Marine Studies, Lisbon, Portugal; [Masello, Juan F.; Quillfeldt, Petra] Justus Liebig Univ, Dept Anim Ecol &amp; Systemat, Giessen, Germany; [Puetz, Klemens] Antarctic Res Trust, Stanley, Falkland Island; [Brickle, Paul] Univ Aberdeen, Sch Biol Sci Zool, Tillydrone Ave, Aberdeen AB24 2TZ, Scotland</t>
  </si>
  <si>
    <t>Macquarie University; University of South Africa; Oregon State University; UK Research &amp; Innovation (UKRI); Natural Environment Research Council (NERC); NERC British Antarctic Survey; University of Glasgow; Instituto Superior Psicologia Aplicada (ISPA); University of Washington; University of Washington Seattle; Universidade de Lisboa; Justus Liebig University Giessen; University of Aberdeen</t>
  </si>
  <si>
    <t>Baylis, AMM (corresponding author), South Atlantic Environm Res Inst, Stanley FIQQ 1ZZ, Falkland Island.;Baylis, AMM (corresponding author), Macquarie Univ, Dept Biol Sci, Sydney, NSW 2109, Australia.</t>
  </si>
  <si>
    <t>al_baylis@yahoo.com.au</t>
  </si>
  <si>
    <t>Baylis, Alastair/H-9471-2019; Granadeiro, José Pedro/E-8060-2011; campioni, letizia/AAZ-2888-2020; Staniland, Iain/I-4725-2012; Orben, Rachael A./H-9460-2019; Masello, Juan Francisco/C-7133-2009; Quillfeldt, Petra/A-9549-2009; Catry, Paulo/I-5408-2013</t>
  </si>
  <si>
    <t>Baylis, Alastair/0000-0002-5167-0472; Granadeiro, José Pedro/0000-0002-7207-3474; campioni, letizia/0000-0002-6319-6931; Staniland, Iain/0000-0003-2736-9134; Orben, Rachael A./0000-0002-0802-407X; Masello, Juan Francisco/0000-0002-6826-4016; M. de Lecea, Ander/0000-0002-3909-1371; Quillfeldt, Petra/0000-0002-4450-8688; Catry, Paulo/0000-0003-3000-0522</t>
  </si>
  <si>
    <t>Darwin Initiative project [DPLUS071, DPLUS139]; Falkland Islands Government ESB budget; UK Natural Environmental Research Council (NERC) grant [NE/M017990/1]; FCT-Portugal [UIDB/04292/2020+UIDP/04292/2020, UIDP/50017/2020+UIDB/50017/2020]; NERC [bas0100035, NE/M017990/1] Funding Source: UKRI</t>
  </si>
  <si>
    <t>Darwin Initiative project; Falkland Islands Government ESB budget; UK Natural Environmental Research Council (NERC) grant; FCT-Portugal(Fundacao para a Ciencia e a Tecnologia (FCT)); NERC(UK Research &amp; Innovation (UKRI)Natural Environment Research Council (NERC))</t>
  </si>
  <si>
    <t>This work forms part of the Darwin Initiative project DPLUS071 and DPLUS139 and was co-funded by the Falkland Islands Government ESB budget. J. F. Masello, P. Quillfeldt, P. Catry, and P. D. Boersma thank I. Strange (deceased) and the New Island Conservation Trust for permission to work on New Island. J. F. Masello and P. Quilfeldt thank Martin Wikelski (Max Planck Institute of Animal Behaviour) for providing GPS data loggers. A. M. M. Baylis thanks S. Crofts, who contributed tracking data. E. Wakefield was funded by the UK Natural Environmental Research Council (NERC) grant NE/M017990/1. J. Grandadeiro and P. Catry thank FCT-Portugal through projects: (UIDB/04292/2020+UIDP/04292/2020) and (UIDP/50017/2020+UIDB/50017/2020), granted to MARE and CESAM, respectively. A. M. M. Baylis and P. Brickle conceived the study. A. M. M. Baylis analyzed the data with contributions from R. A. Orben, E. Wakefield, and N. Ratcliffe. A. M. M. Baylis compiled the first manuscript draft, with input from R. A. Orben, E. Wakefield, P. Brickle, and N. Ratcliffe. All authors substantially contributed to revisions and provided data. There are no conflicts of interest to declare.</t>
  </si>
  <si>
    <t>1051-0761</t>
  </si>
  <si>
    <t>1939-5582</t>
  </si>
  <si>
    <t>ECOL APPL</t>
  </si>
  <si>
    <t>Ecol. Appl.</t>
  </si>
  <si>
    <t>e02426</t>
  </si>
  <si>
    <t>10.1002/eap.2426</t>
  </si>
  <si>
    <t>XF7IO</t>
  </si>
  <si>
    <t>WOS:000695107800001</t>
  </si>
  <si>
    <t>Cleary, AC; Hoffman, JI; Forcada, J; Lydersen, C; Lowther, AD; Kovacs, KM</t>
  </si>
  <si>
    <t>Cleary, Alison C.; Hoffman, Joseph, I; Forcada, Jaume; Lydersen, Christian; Lowther, Andrew D.; Kovacs, Kit M.</t>
  </si>
  <si>
    <t>50,000 years of ice and seals: Impacts of the Last Glacial Maximum on Antarctic fur seals</t>
  </si>
  <si>
    <t>Arctocephalus gazella; demographic history; glacial refugia; single nucleotide polymorphisms</t>
  </si>
  <si>
    <t>ARCTOCEPHALUS-GAZELLA; POPULATIONS; OCEAN; VARIABILITY; INFERENCES; GENOME</t>
  </si>
  <si>
    <t>Ice is one of the most important drivers of population dynamics in polar organisms, influencing the locations, sizes, and connectivity of populations. Antarctic fur seals, Arctocephalus gazella, are particularly interesting in this regard, as they are concomitantly reliant on both ice-associated prey and ice-free coastal breeding areas. We reconstructed the history of this species through the Last Glacial Maximum (LGM) using genomic sequence data from seals across their range. Population size trends and divergence events were investigated using continuous-time size estimation analysis and divergence time estimation models. The combined results indicated that a panmictic population present prior to the LGM split into two small refugial populations during peak ice extent. Following ice decline, the western refugial population founded colonies at the South Shetlands, South Georgia, and Bouvetoya, while the eastern refugial population founded the colony on Iles Kerguelen. Postglacial population divergence times closely match geological estimates of when these coastal breeding areas became ice free. Given the predictions regarding continued future warming in polar oceans, these responses of Antarctic fur seals to past climate variation suggest it may be worthwhile giving conservation consideration to potential future breeding locations, such as areas further south along the Antarctic Peninsula, in addition to present colony areas.</t>
  </si>
  <si>
    <t>[Cleary, Alison C.] Univ Agder, Dept Nat Sci, Kristiansand, Norway; [Cleary, Alison C.; Lydersen, Christian; Lowther, Andrew D.; Kovacs, Kit M.] Norwegian Polar Res Inst, Fram Ctr, Tromso, Norway; [Hoffman, Joseph, I] Univ Bielefeld, Dept Anim Behav, Bielefeld, Germany; [Forcada, Jaume] British Antarctic Survey, Madingley Rd, Cambridge CB3 0ET, England</t>
  </si>
  <si>
    <t>University of Agder; Norwegian Polar Institute; University of Bielefeld; UK Research &amp; Innovation (UKRI); Natural Environment Research Council (NERC); NERC British Antarctic Survey</t>
  </si>
  <si>
    <t>Cleary, AC (corresponding author), British Antarctic Survey, Madingley Rd, Cambridge CB3 0ET, England.</t>
  </si>
  <si>
    <t>alison_cleary@my.urledu</t>
  </si>
  <si>
    <t>Forcada, Jaume/GYU-0677-2022; Hoffman, Joseph/K-7725-2012</t>
  </si>
  <si>
    <t>Lowther, Andrew/0000-0003-4294-3157; Hoffman, Joseph/0000-0001-5895-8949; Lydersen, Christian/0000-0003-3868-2345</t>
  </si>
  <si>
    <t>UNINETT Sigma2 [NN915K]; NERC [bas0100035] Funding Source: UKRI</t>
  </si>
  <si>
    <t>UNINETT Sigma2; NERC(UK Research &amp; Innovation (UKRI)Natural Environment Research Council (NERC))</t>
  </si>
  <si>
    <t>UNINETT Sigma2, Grant/Award Number: NN915K</t>
  </si>
  <si>
    <t>10.1002/ece3.8104</t>
  </si>
  <si>
    <t>WI7FQ</t>
  </si>
  <si>
    <t>WOS:000694977200001</t>
  </si>
  <si>
    <t>Janssen, DJ; Rickli, J; Abbott, AN; Ellwood, MJ; Twining, BS; Ohnemus, DC; Nasemann, P; Gilliard, D; Jaccard, SL</t>
  </si>
  <si>
    <t>Janssen, David J.; Rickli, Jorg; Abbott, April N.; Ellwood, Michael J.; Twining, Benjamin S.; Ohnemus, Daniel C.; Nasemann, Philipp; Gilliard, Delphine; Jaccard, Samuel L.</t>
  </si>
  <si>
    <t>Release from biogenic particles, benthic fluxes, and deep water circulation control Cr and δ53Cr distributions in the ocean interior</t>
  </si>
  <si>
    <t>chromium; chromium isotopes; GEOTRACES; paleoproxy; biogeochemical cycling; benthic flux</t>
  </si>
  <si>
    <t>ANTARCTIC INTERMEDIATE WATER; DISSOLVED CHROMIUM; PACIFIC; ATLANTIC; SEAWATER; SOUTH; SPECIATION; PHYTOPLANKTON; SUCCESSION; REDUCTION</t>
  </si>
  <si>
    <t>Chromium (Cr) has shown promise as a paleoceanographic proxy due to the redox-driven control of dissolved Cr concentrations ([Cr]) and stable isotope composition (delta Cr-53). To improve the mechanistic understanding of Cr cycling in the modern ocean and strengthen its potential proxy applications, we present new data from regeneration incubations, bottom and sediment pore waters, and a compilation of intermediate and deep water data. While Cr removal and biological export from the surface ocean is associated with organic carbon export, the deep water release of dissolved Cr from sinking particles is not directly dependent on organic carbon respiration, as indicated by differing trends between Cr, oxygen utilization and the regeneration of organic-associated macronutrients (e.g. N, P). Pore water and bottom water data demonstrate that benthic Cr fluxes are locally important and may be significant globally. The pore water dissolved Cr flux at our CaCO3-rich site is likely driven by the re-release of Cr scavenged from the water column by sinking particles, with minor contributions from lithogenic phases. We argue this is consistent with the highest open ocean [Cr] to date being found in the water column below oxygen minimum zones, likely reflecting the release of scavenged Cr in deep waters or surface sediments. Chromium released from suspended particles and surface sediments follows the global delta Cr-53-[Cr] array, supporting the proposed role of biological export and regeneration in shaping global Cr and delta Cr-53 distributions. Global intermediate and deep water [Cr], delta Cr-53 and Cr:macronutrient relationships are thus shaped by a synergy of circulation patterns, water mass mixing, a deep Cr regeneration cycle, and benthic Cr sources. A biogenic control on global Cr distributions indicates that sedimentary Cr records may reflect biogenic as well as O-2-dependent processes, while more research is needed to assess sediment Cr record fidelity based on an active diagenetic cycle. (c) 2021 The Author(s). Published by Elsevier B.V.</t>
  </si>
  <si>
    <t>[Janssen, David J.; Rickli, Jorg; Nasemann, Philipp; Gilliard, Delphine; Jaccard, Samuel L.] Univ Bern, Inst Geol Sci, Baltzerstr 1-3, CH-3012 Bern, Switzerland; [Janssen, David J.; Rickli, Jorg; Nasemann, Philipp; Gilliard, Delphine; Jaccard, Samuel L.] Oeschger Ctr Climate Change Res, Baltzerstr 1-3, CH-3012 Bern, Switzerland; [Rickli, Jorg] Swiss Fed Inst Technol, Inst Geochem &amp; Petrol, Zurich, Switzerland; [Abbott, April N.] Macquarie Univ, Dept Earth &amp; Environm Sci, Sydney, NSW, Australia; [Ellwood, Michael J.] Australian Natl Univ, Res Sch Earth Sci, Canberra, ACT, Australia; [Twining, Benjamin S.] Bigelow Lab Ocean Sci, East Boothbay, ME USA; [Ohnemus, Daniel C.] Univ Georgia, Skidaway Inst Oceanog, Dept Marine Sci, Savannah, GA USA; [Gilliard, Delphine; Jaccard, Samuel L.] Univ Lausanne, Inst Earth Sci, Lausanne, Switzerland; [Abbott, April N.] Coastal Carolina Univ, Dept Marine Sci, Conway, SC USA</t>
  </si>
  <si>
    <t>University of Bern; University of Bern; Swiss Federal Institutes of Technology Domain; ETH Zurich; Macquarie University; Australian National University; Bigelow Laboratory for Ocean Sciences; University System of Georgia; University of Georgia; Skidaway Institute of Oceanography; University of Lausanne; Coastal Carolina University</t>
  </si>
  <si>
    <t>Janssen, DJ (corresponding author), Univ Bern, Inst Geol Sci, Baltzerstr 1-3, CH-3012 Bern, Switzerland.;Janssen, DJ (corresponding author), Oeschger Ctr Climate Change Res, Baltzerstr 1-3, CH-3012 Bern, Switzerland.</t>
  </si>
  <si>
    <t>david.janssen@geo.unibe.ch; joerg.rickli@erdw.ethz.ch; abbot152@d.umn.edu; michael.ellwood@anu.edu.au; btwining@bigelow.org; dan@uga.edu; philipp.nasemann@geo.unibe.ch; delphine.gilliard@students.unibe.ch; samuel.jaccard@unil.ch</t>
  </si>
  <si>
    <t>Ellwood, Michael J/G-7390-2011; Ohnemus, Daniel C/X-7728-2018</t>
  </si>
  <si>
    <t>Ohnemus, Daniel C/0000-0001-6362-4134; Janssen, David/0000-0002-9091-8936; Abbott, April/0000-0001-6694-3675; Ellwood, Michael/0000-0003-4288-8530; Rickli, Jorg/0000-0001-8186-2750</t>
  </si>
  <si>
    <t>Swiss National Science Foundation (SNSF) [PP00P2_172915]; European Research Council (ERC) Consolidator Grant (SCrIPT grant) [819139]; NCCR PlanetS - SNSF grant [51NF40-141881]; European Research Council (ERC) [819139] Funding Source: European Research Council (ERC)</t>
  </si>
  <si>
    <t>Swiss National Science Foundation (SNSF)(Swiss National Science Foundation (SNSF)); European Research Council (ERC) Consolidator Grant (SCrIPT grant); NCCR PlanetS - SNSF grant; European Research Council (ERC)(European Research Council (ERC)Spanish Government)</t>
  </si>
  <si>
    <t>We thank the captains, crews, and scientific members of the RV Investigatorcruises IN2018_V02 and IN2018_V04 as well as the trace metal sampling teams, especially Robin Grun, Pamela Barrett, and Kiefer Forsch, the sediment coring team of Kelly-Anne Lawler, Hannah Kumar, Annabel Payne, and Hannah Wilson, and Phil Boyd for coordinating and planning trace metal operations on cruise IN2018_V02. The authors wish to thank the CSIRO Marine National Facility (MNF) for its support in the form of sea time on RV Investigator, support personnel, scientific equipment and data management. We thank the captains, crew, and scientific personnel of the additional cruises from which we present new data (ACE Leg 1, GP13, M77/4, Line P 2012-13, DY110) as well as Christel Hassler and Andy Bowie for samples from cruise GP13, Nina Schuback for sampling on cruise DY110, and Martin Frank and Patricia Grasse for samples from cruise M77/4. We thank Julijana Krbanjevic for TC/TIC analysis. We acknowledge Zanna Chase, Barbara Grose, and Pete Strutton for logistical support, Zanna Chase for the use of her centrifuge on voyage IN2018V_04, and Martin Wille for sharing analytical expertise, Neptune support, and for helpful discussions. We thank Tim Conway for providing CTD data for the SAFe station. This manuscript was improved by constructive comments from the editor Lou Derry and three anonymous reviewers. This work was supported by the Swiss National Science Foundation (SNSF grant PP00P2_172915) and by a European Research Council (ERC) Consolidator Grant (SCrIPT grant agreement 819139) to SLJ. Chromium data were obtained on a Neptune MC-ICP-MS acquired with funds from the NCCR PlanetS supported by SNSF grant 51NF40-141881. Maps and some figures were made using Ocean Data View (available at http://odv.awi.de).</t>
  </si>
  <si>
    <t>10.1016/j.epsl.2021.117163</t>
  </si>
  <si>
    <t>UY6MJ</t>
  </si>
  <si>
    <t>WOS:000701635400008</t>
  </si>
  <si>
    <t>Pauli, NC; Metfies, K; Pakhomov, EA; Neuhaus, S; Graeve, M; Wenta, P; Flintrop, CM; Badewien, TH; Iversen, MH; Meyer, B</t>
  </si>
  <si>
    <t>Pauli, Nora-Charlotte; Metfies, Katja; Pakhomov, Evgeny A.; Neuhaus, Stefan; Graeve, Martin; Wenta, Philipp; Flintrop, Clara M.; Badewien, Thomas H.; Iversen, Morten H.; Meyer, Bettina</t>
  </si>
  <si>
    <t>Selective feeding in Southern Ocean key grazers-diet composition of krill and salps</t>
  </si>
  <si>
    <t>EUPHAUSIA-SUPERBA DANA; FATTY-ACID-COMPOSITION; ANTARCTIC KRILL; SEA-ICE; ALGAL COMMUNITIES; CLIMATE-CHANGE; LAZAREV SEA; FOOD-WEB; PHYTOPLANKTON; PENINSULA</t>
  </si>
  <si>
    <t>In this manuscript, Pauli et al. directly compare the diets of two key Southern Ocean grazers, krill and salps. The 18S profiles of diet and pellets from both species do not match the planktonic profile, suggesting that both are selective grazers with a similar diet. Over the past decades, two key grazers in the Southern Ocean (SO), krill and salps, have experienced drastic changes in their distribution and abundance, leading to increasing overlap of their habitats. Both species occupy different ecological niches and long-term shifts in their distributions are expected to have cascading effects on the SO ecosystem. However, studies directly comparing krill and salps are lacking. Here, we provide a direct comparison of the diet and fecal pellet composition of krill and salps using 18S metabarcoding and fatty acid markers. Neither species' diet reflected the composition of the plankton community, suggesting that in contrast to the accepted paradigm, not only krill but also salps are selective feeders. Moreover, we found that krill and salps had broadly similar diets, potentially enhancing the competition between both species. This could be augmented by salps' ability to rapidly reproduce in favorable conditions, posing further risks to krill populations.</t>
  </si>
  <si>
    <t>[Pauli, Nora-Charlotte; Wenta, Philipp; Badewien, Thomas H.; Meyer, Bettina] Carl von Ossietzky Univ Oldenburg, Inst Chem &amp; Biol Marine Environm, Oldenburg, Germany; [Pauli, Nora-Charlotte; Metfies, Katja; Neuhaus, Stefan; Graeve, Martin; Flintrop, Clara M.; Iversen, Morten H.; Meyer, Bettina] Alfred Wegener Inst, Helmholtz Ctr Polar &amp; Marine Res, Bremerhaven, Germany; [Metfies, Katja; Meyer, Bettina] Helmholtz Inst Funct Marine Biodivers HIFMB, Oldenburg, Germany; [Pakhomov, Evgeny A.] Univ British Columbia, Inst Oceans &amp; Fisheries, Vancouver, BC, Canada; [Pakhomov, Evgeny A.] Univ British Columbia, Dept Earth Ocean &amp; Atmospher Sci, Vancouver, BC, Canada; [Pakhomov, Evgeny A.] Hakai Inst, Heriot Bay, BC, Canada; [Flintrop, Clara M.; Iversen, Morten H.] MARUM, Bremen, Germany; [Flintrop, Clara M.; Iversen, Morten H.] Univ Bremen, Bremen, Germany</t>
  </si>
  <si>
    <t>Carl von Ossietzky Universitat Oldenburg; Helmholtz Association; Alfred Wegener Institute, Helmholtz Centre for Polar &amp; Marine Research; University of British Columbia; University of British Columbia; Hakai Institute; University of Bremen; University of Bremen</t>
  </si>
  <si>
    <t>Pauli, NC; Meyer, B (corresponding author), Carl von Ossietzky Univ Oldenburg, Inst Chem &amp; Biol Marine Environm, Oldenburg, Germany.;Pauli, NC; Iversen, MH; Meyer, B (corresponding author), Alfred Wegener Inst, Helmholtz Ctr Polar &amp; Marine Res, Bremerhaven, Germany.;Meyer, B (corresponding author), Helmholtz Inst Funct Marine Biodivers HIFMB, Oldenburg, Germany.;Iversen, MH (corresponding author), MARUM, Bremen, Germany.;Iversen, MH (corresponding author), Univ Bremen, Bremen, Germany.</t>
  </si>
  <si>
    <t>nora-charlotte.pauli@awi.de; morten.iversen@awi.de; bettina.meyer@awi.de</t>
  </si>
  <si>
    <t>Pauli, Nora-Charlotte/AAL-4317-2020; Iversen, Morten H/C-7741-2013; Iversen, Morten Hvitfeldt/Q-3774-2016; Graeve, Martin/B-5751-2017</t>
  </si>
  <si>
    <t>Pauli, Nora-Charlotte/0000-0001-8916-8229; Flintrop, Clara/0000-0002-5711-0521; Meyer, Bettina/0000-0001-6804-9896; Iversen, Morten Hvitfeldt/0000-0002-5287-1110; Wenta, Philipp/0000-0003-1379-3911; Graeve, Martin/0000-0002-2294-1915</t>
  </si>
  <si>
    <t>SEP 10</t>
  </si>
  <si>
    <t>10.1038/s42003-021-02581-5</t>
  </si>
  <si>
    <t>UO7XN</t>
  </si>
  <si>
    <t>WOS:000694906000004</t>
  </si>
  <si>
    <t>Díaz, A; Maturana, CS; Boyero, L; Escalante, PD; Tonin, AM; Correa-Araneda, F</t>
  </si>
  <si>
    <t>Diaz, Angie; Maturana, Claudia S.; Boyero, Luz; de los Rios Escalante, Patricio; Tonin, Alan M.; Correa-Araneda, Francisco</t>
  </si>
  <si>
    <t>Publisher Correction: Spatial distribution of freshwater crustaceans in Antarctic and Subantarctic lakes (vol 10, 1831, 2020)</t>
  </si>
  <si>
    <t>francisco.correa@uautonoma.cl</t>
  </si>
  <si>
    <t>Maturana, Claudia/JOK-7975-2023; Boyero, Luz/N-1719-2019; Tonin, Alan M./J-4575-2014</t>
  </si>
  <si>
    <t>Maturana, Claudia/0000-0002-4427-8093; Boyero, Luz/0000-0001-7366-9299; Tonin, Alan M./0000-0002-8463-8823</t>
  </si>
  <si>
    <t>10.1038/s41598-021-97702-9</t>
  </si>
  <si>
    <t>UO7IY</t>
  </si>
  <si>
    <t>WOS:000694868000018</t>
  </si>
  <si>
    <t>Haque, AB; Cavanagh, RD; Seddon, N</t>
  </si>
  <si>
    <t>Haque, Alifa Bintha; Cavanagh, Rachel D.; Seddon, Nathalie</t>
  </si>
  <si>
    <t>Evaluating artisanal fishing of globally threatened sharks and rays in the Bay of Bengal, Bangladesh</t>
  </si>
  <si>
    <t>ELASMOBRANCH DIVERSITY; METAL POLLUTION; HEAVY-METALS; ARABIAN SEA; CONSERVATION; FISHERIES; RESOURCES; IDENTIFICATION; WATERS; REDESCRIPTION</t>
  </si>
  <si>
    <t>Sharks and rays are at risk of extinction globally. This reflects low resilience to increasing fishing pressure, exacerbated by habitat loss, climate change, increasing value in a trade and inadequate information leading to limited conservation actions. Artisanal fisheries in the Bay of Bengal of Bangladesh contribute to the high levels of global fishing pressure on elasmobranchs. However, it is one of the most data-poor regions of the world, and the diversity, occurrence and conservation needs of elasmobranchs in this region have not been adequately assessed. This study evaluated elasmobranch diversity, species composition, catch and trade within the artisanal fisheries to address this critical knowledge gap. Findings show that elasmobranch diversity in Bangladesh has previously been underestimated. In this study, over 160000 individual elasmobranchs were recorded through landing site monitoring, comprising 88 species (30 sharks and 58 rays) within 20 families and 35 genera. Of these, 54 are globally threatened according to the IUCN Red List of Threatened Species, with ten species listed as Critically Endangered and 22 species listed as Endangered. Almost 98% juvenile catch (69-99% for different species) for large species sand a decline in numbers of large individuals were documented, indicating unsustainable fisheries. Several previously common species were rarely landed, indicating potential population declines. The catch pattern showed seasonality and, in some cases, gear specificity. Overall, Bangladesh was found to be a significant contributor to shark and ray catches and trade in the Bay of Bengal region. Effective monitoring was not observed at the landing sites or processing centres, despite 29 species of elasmobranchs being protected by law, many of which were frequently landed. On this basis, a series of recommendations were provided for improving the conservation status of the elasmobranchs in this region. These include the need for improved taxonomic research, enhanced monitoring of elasmobranch stocks, and the highest protection level for threatened taxa. Alongside political will, enhancing national capacity to manage and rebuild elasmobranch stocks, coordinated regional management measures are essential.</t>
  </si>
  <si>
    <t>[Haque, Alifa Bintha; Seddon, Nathalie] Univ Oxford, Nat Based Solut Initiat, Dept Zool, Oxford, England; [Cavanagh, Rachel D.] British Antarctic Survey, Cambridge, England</t>
  </si>
  <si>
    <t>Haque, AB (corresponding author), Univ Oxford, Nat Based Solut Initiat, Dept Zool, Oxford, England.</t>
  </si>
  <si>
    <t>alifa.haque@du.ac.bd</t>
  </si>
  <si>
    <t>Haque, A B M Mahfuzul/GZA-5271-2022</t>
  </si>
  <si>
    <t>Haque, Bazle/0000-0002-0836-3864; Haque, Alifa Bintha/0000-0001-8250-0030</t>
  </si>
  <si>
    <t>SEP 9</t>
  </si>
  <si>
    <t>e0256146</t>
  </si>
  <si>
    <t>10.1371/journal.pone.0256146</t>
  </si>
  <si>
    <t>XR9EB</t>
  </si>
  <si>
    <t>WOS:000732522400012</t>
  </si>
  <si>
    <t>Palma, ED; Matano, RP; Combes, V</t>
  </si>
  <si>
    <t>Palma, Elbio D.; Matano, Ricardo P.; Combes, Vincent</t>
  </si>
  <si>
    <t>Circulation and cross-shelf exchanges in the Malvinas Islands Shelf region</t>
  </si>
  <si>
    <t>South Atlantic Ocean; Malvinas Islands; Cross-shelf exchanges; Obduction mechanisms; Ocean modelling; Oceanographic connectivity</t>
  </si>
  <si>
    <t>NORTH FALKLAND BASIN; LOLIGO-GAHI; STOCK; OIL</t>
  </si>
  <si>
    <t>The Malvinas Islands Shelf (MIS) encompasses one of the most productive portions of the southwestern Atlantic. Large phytoplankton blooms, which constitute the base of the marine food web, emerge from the northern sector of the MIS and extend hundreds of kilometers northward along the Patagonian shelfbreak. The physical processes contributing to MIS fertilization are poorly understood. Here we use the results of a high-resolution ocean model to characterize circulation and water mass exchanges between the MIS and the Southern Ocean, as well as to identify the physical processes underlying fertilization of the shelf waters. Model results show that the shelf is characterized by an anticyclonic circulation pattern in the southwestern region that intensifies during summer and weakens during winter. The blocking effect of the islands leads to development of an upwind westwardflowing current in the northern portion of the MIS, recirculation cells in the western portion, and a northward throughflow in the narrow strait separating them. Particle tracking experiments reveal that the northern portion of the Drake Passage is the largest water mass source for the MIS. Passive tracers indicate that the place where the Antarctic Circumpolar Current collides with the MIS is the main site for the outcropping of deep waters. Subsequent outcropping is largely driven by the synergetic interaction of tides and wind forcing. After spreading along the southwestern shelfbreak, the concentration of tracer peaks in the winter and decays during the spring. In summer, the tracer accumulates on the lee of the islands in agreement with satellite images of chlorophyll-a concentration. Additional experiments show that there is an important contribution of MIS waters to the Patagonian shelfbreak front.</t>
  </si>
  <si>
    <t>[Palma, Elbio D.] Univ Nacl Sur, Dept Fis, Bahia Blanca, Buenos Aires, Argentina; [Palma, Elbio D.] Consejo Nacl Invest Cient &amp; Tecn, Inst Argentino Oceanog, Bahia Blanca, Buenos Aires, Argentina; [Matano, Ricardo P.; Combes, Vincent] Oregon State Univ, Coll Earth Ocean &amp; Atmospher Sci, Corvallis, OR 97331 USA</t>
  </si>
  <si>
    <t>National University of the South; Consejo Nacional de Investigaciones Cientificas y Tecnicas (CONICET); Oregon State University</t>
  </si>
  <si>
    <t>Palma, ED (corresponding author), Univ Nacl Sur, Dept Fis, Bahia Blanca, Buenos Aires, Argentina.;Palma, ED (corresponding author), Consejo Nacl Invest Cient &amp; Tecn, Inst Argentino Oceanog, Bahia Blanca, Buenos Aires, Argentina.</t>
  </si>
  <si>
    <t>uspalma@criba.edu.ar</t>
  </si>
  <si>
    <t>combes, vincent/0000-0002-0416-1827</t>
  </si>
  <si>
    <t>Agencia Nacional de Promoci on Cientifica y Tecnologica [PICT16-0557]; Universidad Nacional del Sur, Argentina [24F079]; NASA [80NSSC21K0559, NNX17AH60G]; National Science Foundation [OCE-1830856]</t>
  </si>
  <si>
    <t>Agencia Nacional de Promoci on Cientifica y Tecnologica(ANPCyT); Universidad Nacional del Sur, Argentina; NASA(National Aeronautics &amp; Space Administration (NASA)); National Science Foundation(National Science Foundation (NSF))</t>
  </si>
  <si>
    <t>E.D. Palma acknowledges financial support from Agencia Nacional de Promoci ' on Cientifica y Tecnol ' ogica (grant PICT16-0557) and Universidad Nacional del Sur (grant 24F079), Argentina. R. Matano and V. Combes acknowledge the financial support of NASA support through grants 80NSSC21K0559 and NNX17AH60G and the National Science Foundation grant OCE-1830856. MODIS data (Fig. 1) and SeaWifs data (Fig. 11f) are from NASA Ocean Color Group (https://oceancolor.gsfc.nasa.gov).We thank Alberto Piola for his helpful comments. The paper benefited substantially from suggestions given by two anonymous reviewers.</t>
  </si>
  <si>
    <t>10.1016/j.pocean.2021.102666</t>
  </si>
  <si>
    <t>WB9PZ</t>
  </si>
  <si>
    <t>WOS:000703898600001</t>
  </si>
  <si>
    <t>Liu, XC; Chen, LY; Wang, WR; Zhao, Y; Ling, XX; Song, BA</t>
  </si>
  <si>
    <t>Liu, Xiaochun; Chen, Longyao; Wang, Wei-RZ; Zhao, Yue; Ling, Xiaoxiao; Song, Biao</t>
  </si>
  <si>
    <t>Deciphering early Neoproterozoic and Cambrian high-grade metamorphic events in the Archean/Mesoproterozoic Rauer Group, East Antarctica</t>
  </si>
  <si>
    <t>PRECAMBRIAN RESEARCH</t>
  </si>
  <si>
    <t>Early Neoproterozoic; Cambrian; Age-mineral assemblage relationship; Isotopic resetting; East Antarctica</t>
  </si>
  <si>
    <t>PRINCE-CHARLES MOUNTAINS; GRANULITE-FACIES METAMORPHISM; U-TH-PB; RARE-EARTH-ELEMENTS; AMERY ICE SHELF; PRYDZ BAY; MAFIC DYKES; LARSEMANN HILLS; VESTFOLD HILLS; TRACE-ELEMENT</t>
  </si>
  <si>
    <t>A U-Pb geochronological and rare earth element (REE) geochemical study of zircon, monazite and garnet was carried out on rocks of Mesoproterozoic and Archean crustal domains in the Rauer Group of East Antarctica. The zircon and monazite U-Pb age spectra define concordia intercepts mainly at ca 1200, 990-910, and 530-500 Ma, suggesting that the Mesoproterozoic crustal domain is a significant part of the Rayner Complex that also underwent early Neoproterozoic and Cambrian high-grade metamorphism. The age data, mineral inclusion assemblages in zircon, and REE features for zircon and garnet indicate that all the granulite facies mineral assemblages in this domain might have formed during early Neoproterozoic metamorphism. Some zircon and monazite grains or domains have experienced complete U-Pb isotopic resetting during Cambrian reworking, which did not result in new zircon and monazite growth. The Archean crustal domain consists mainly of Paleo-Mesoarchean orthogneisses interleaving with Neoproterozoic paragneisses that contain inherited metamorphic zircon domains with ages of ca 1330 and 970 Ma. The mineral assemblages in these gneisses formed during a single Cambrian granulite facies metamorphic event. Garnet-bearing and -free rocks cooled to solidus temperatures at ca 527 and 517 Ma, respectively, whereas the isotopic system of early-crystallized zircon was completely reset during the growth of new zircon. As such, all the zircon domains in the same sample could have the same concordant or weighted mean age. The 511 Ma monazite and 506 Ma zircon overgrowths in a paragneiss have REE contents in equilibrium with garnet, implying that later modification and isotopic resetting of zircon and monazite might have resulted in younger U-Th-Pb ages and, in this case, establishing the age-mineral assemblage relationship based on REE partition coefficients between zircon/monazite and garnet may be invalid. Overall, the available data support the notion that different crustal components of the Rauer Group were juxtaposed in the Cambrian as a consequence of the Gondwana assembly.</t>
  </si>
  <si>
    <t>[Liu, Xiaochun; Chen, Longyao; Wang, Wei-RZ; Zhao, Yue] Chinese Acad Geol Sci, Inst Geomech, Key Lab Paleomagnetism &amp; Tecton Reconstruct, Minist Nat Resources, Beijing 100081, Peoples R China; [Ling, Xiaoxiao] Chinese Acad Sci, Inst Geol &amp; Geophys, Beijing 100029, Peoples R China; [Song, Biao] Chinese Acad Geol Sci, Beijing SHRIMP Ctr, Inst Geol, Beijing 100037, Peoples R China</t>
  </si>
  <si>
    <t>China Geological Survey; Chinese Academy of Geological Sciences; Ministry of Natural Resources of the People's Republic of China; Institute of Geomechanics, Chinese Academy of Geological Sciences; Chinese Academy of Sciences; Institute of Geology &amp; Geophysics, CAS; China Geological Survey; Chinese Academy of Geological Sciences; Institute of Geology, Chinese Academy of Geological Sciences</t>
  </si>
  <si>
    <t>Liu, XC (corresponding author), Chinese Acad Geol Sci, Inst Geomech, 11 Minzudaxue Nanlu, Beijing 100081, Peoples R China.</t>
  </si>
  <si>
    <t>liuxchqw@cags.ac.cn</t>
  </si>
  <si>
    <t>National Natural Science Foundation of China [41941004, 41530209]; Geological Investigation Project of China Geological Survey [DD20190579]; Central Public-Interest Scientific Institution Basal Reseach Fund [JYYWF201819]</t>
  </si>
  <si>
    <t>National Natural Science Foundation of China(National Natural Science Foundation of China (NSFC)); Geological Investigation Project of China Geological Survey(China Geological Survey); Central Public-Interest Scientific Institution Basal Reseach Fund</t>
  </si>
  <si>
    <t>We thank Liudong Ren and Gang Xu for assistance during the fieldwork of the 2004-2005 Chinese National Antarctic Research Expedition. Critical reviews by Trisrota Chaudhuri and an anonymous reviewer substantially improved the manuscript. This research was financially supported by the National Natural Science Foundation of China (Grants 41941004 and 41530209), Geological Investigation Project of China Geological Survey (Grant DD20190579), and Central Public-Interest Scientific Institution Basal Reseach Fund (Grant JYYWF201819).</t>
  </si>
  <si>
    <t>0301-9268</t>
  </si>
  <si>
    <t>1872-7433</t>
  </si>
  <si>
    <t>PRECAMBRIAN RES</t>
  </si>
  <si>
    <t>Precambrian Res.</t>
  </si>
  <si>
    <t>10.1016/j.precamres.2021.106392</t>
  </si>
  <si>
    <t>WB5BH</t>
  </si>
  <si>
    <t>WOS:000703586700013</t>
  </si>
  <si>
    <t>Heyworth, SM; Bell, JB; Wade, CM; Cavalcante, G; Robinson, N; Young, E; Glass, J; Feary, DA</t>
  </si>
  <si>
    <t>Heyworth, Stephanie M.; Bell, James B.; Wade, Christopher M.; Cavalcante, Georgenes; Robinson, Nicholas; Young, Emma; Glass, James; Feary, David A.</t>
  </si>
  <si>
    <t>Genetic Connectivity of Seamount Populations of Bluenose Warehou (Hyperoglyphe antarctica)</t>
  </si>
  <si>
    <t>seamount; connectivity; fisheries; blue belt programme; bluenose warehou</t>
  </si>
  <si>
    <t>STOCK STRUCTURE; EVOLUTION; TREVALLA; EYE</t>
  </si>
  <si>
    <t>Quantifying the level of population connectivity within and between geographically separated single-species deep-water fisheries stocks will be vital for designing effective management plans to preserve such populations. Despite this, stock structure in many fisheries is still poorly described and, at best, subject to precautionary management. Here we use rapidly evolving mitochondrial genes and microsatellite markers to investigate population connectivity patterns in commercially targeted Hyperoglyphe antarctica populations between four seamounts within the Tristan da Cunha Exclusive Economic Zone (EEZ). We find little evidence of population genetic structure between fished populations, with both mtDNA and microsatellite markers showing that there is low genetic population diversity (reflecting substantial gene flow) across the four seamounts. We also find little genetic differentiation between H. antarctica across the wider Southern Hemisphere. Such results support the role for coordinated management of all four populations across the seamounts, and potentially including stocks associated with Australia and New Zealand, with expansion of the fishery clearly having the potential to substantially impact the source of recruits and therefore wider population sustainability.</t>
  </si>
  <si>
    <t>[Heyworth, Stephanie M.; Feary, David A.] MRAG Ltd, London, England; [Bell, James B.] Ctr Environm Fisheries &amp; Aquaculture Sci, Lowestoft, Suffolk, England; [Wade, Christopher M.] Univ Nottingham, Sch Life Sci, Nottingham, England; [Cavalcante, Georgenes] Amer Univ Sharjah, Coll Arts &amp; Sci, Dept Biol Chem &amp; Environm Sci, Sharjah, U Arab Emirates; [Cavalcante, Georgenes] Univ Fed Alagoas, Inst Atmospher Sci, Maceio, Alagoas, Brazil; [Robinson, Nicholas] Breeding &amp; Genet, Nofima, Norway; [Robinson, Nicholas] Univ Melbourne, Sch Biol Sci, Parkville, Vic, Australia; [Young, Emma] British Antarctic Survey, Cambridge, England; [Glass, James] Dept Fisheries, Tristan Da Cunh, St Helena</t>
  </si>
  <si>
    <t>Centre for Environment Fisheries &amp; Aquaculture Science; University of Nottingham; American University of Sharjah; Universidade Federal de Alagoas; University of Melbourne; UK Research &amp; Innovation (UKRI); Natural Environment Research Council (NERC); NERC British Antarctic Survey</t>
  </si>
  <si>
    <t>Feary, DA (corresponding author), MRAG Ltd, London, England.</t>
  </si>
  <si>
    <t>d.feary@mrag.co.uk</t>
  </si>
  <si>
    <t>Robinson, Nicholas/JHU-4334-2023; Feary, David/ABE-6273-2020</t>
  </si>
  <si>
    <t>Robinson, Nicholas/0000-0003-1724-2551; Wade, Christopher/0000-0002-1269-9694; Young, Emma/0000-0002-7069-6109</t>
  </si>
  <si>
    <t>United Kingdom Foreign and Commonwealth Development Office Blue Belt programme [GB2702]; Natural Environment Research Council [NE/R000107/1]; NERC [NE/R000107/1] Funding Source: UKRI</t>
  </si>
  <si>
    <t>United Kingdom Foreign and Commonwealth Development Office Blue Belt programme; Natural Environment Research Council(UK Research &amp; Innovation (UKRI)Natural Environment Research Council (NERC)); NERC(UK Research &amp; Innovation (UKRI)Natural Environment Research Council (NERC))</t>
  </si>
  <si>
    <t>This work was developed under MRAG Ltd., project GB2702, which was funded by the United Kingdom Foreign and Commonwealth Development Office Blue Belt programme. The participation of EY was funded by the Natural Environment Research Council through award NE/R000107/1.</t>
  </si>
  <si>
    <t>10.3389/fmars.2021.640504</t>
  </si>
  <si>
    <t>UU2GZ</t>
  </si>
  <si>
    <t>WOS:000698621100001</t>
  </si>
  <si>
    <t>Cloete, R; Loock, JC; van Horsten, NR; Barraqueta, JLM; Fietz, S; Mtshali, TN; Planquette, H; García-Ibáñez, MI; Roychoudhury, AN</t>
  </si>
  <si>
    <t>Cloete, R.; Loock, J. C.; van Horsten, N. R.; Menzel Barraqueta, J-L; Fietz, S.; Mtshali, T. N.; Planquette, H.; Garcia-Ibanez, M. I.; Roychoudhury, A. N.</t>
  </si>
  <si>
    <t>Winter dissolved and particulate zinc in the Indian Sector of the Southern Ocean: Distribution and relation to major nutrients (GEOTRACES GIpr07 transect)</t>
  </si>
  <si>
    <t>Dissolved zinc; Particulate zinc; Southern Ocean; Diatoms; Geotraces</t>
  </si>
  <si>
    <t>WATER MASSES; BIOGEOCHEMICAL CYCLES; MARINE-PHYTOPLANKTON; INTERMEDIATE WATER; ATLANTIC SECTOR; TRACE-ELEMENTS; CO-LIMITATION; CADMIUM; IRON; REMINERALIZATION</t>
  </si>
  <si>
    <t>First winter measurements of dissolved zinc (dZn) and particulate zinc (pZn) are presented from seven stations, between 41 and 58 degrees 5, occupied in July 2017 along the 30 degrees E longitude in the Indian Sector of the Southern Ocean. This unique spatial and seasonal dataset provided the opportunity to investigate Zn biogeochemical cycling in a region which is extremely data scarce and during a period when conditions are unfavourable for phytoplankton growth. Surface comparisons of our winter dZn and pZn to previous measurements during spring and summer revealed that Zn seasonality is most pronounced at the higher latitudes where higher dZn (and higher ratios of dZn to phosphate; dZn:PO4) and lower pZn in winter reflect decreased biological uptake and preferential dZn resupply (relative to PO4) to surface waters through deep winter mixing. The composition of pZn was majorly biogenic however localised lithogenic inputs were attributed to potential hydrothermal activity and transport of continental sediment via Agulhas waters. Calculated vertical attenuation factors (b values) for pZn (0.31) and phosphorus (P; 0.41) suggest that Zn has a longer remineralisation length scale than P, providing a mechanism as to why dZn appears to be remineralised deeper in the water column than PO4. Ratios of pZn to P (pZn:P) in surface waters increased with latitude from 1.12 to 8.28 mmol mol(-1) due to increased dZn availability and the dominance of diatoms (with high cellular Zn quotas) in the high latitude Antarctic Zone (AAZ). Interestingly, the high surface pZn:P ratios in the AAZ did not change significantly with depth (in contrast to the northern stations where pZn:P increased with depth) suggesting the export of diatom cells below the winter mixed layer where remineralisation and rigorous mixing may resolve the linear dZn to silicic acid (dZn:Si(OH) 4 ) correlation (dZn (nmol kg(-1)) = 0.064 Si(OH)(4) (mu mol kg(-1) ) + 0.690; r(2) = 0.93; n = 120) despite these elements being located in separate components of the diatom cell. Additionally, elevated concentrations of dZn and Si(OH)(4) below 3000 m in the AAZ may reflect nutrient accumulation in bottom waters where northward flow is inhibited by the Indian mid-Ocean ridge.</t>
  </si>
  <si>
    <t>[Cloete, R.; Loock, J. C.; van Horsten, N. R.; Menzel Barraqueta, J-L; Fietz, S.; Roychoudhury, A. N.] Stellenbosch Univ, Ctr Trace Met &amp; Expt Biogeochem TracEx, Dept Earth Sci, ZA-7600 Stellenbosch, South Africa; [van Horsten, N. R.] CSIR, Southern Ocean Carbon &amp; Climate Observ, Nat Resources &amp; Environm, ZA-7600 Stellenbosch, South Africa; [van Horsten, N. R.; Planquette, H.] Univ Brest, CNRS, IRD, Ifremer,Lab Sci Environm Marin, Technopole Brest Iroise, Plouzane, France; [Menzel Barraqueta, J-L] European Ecol Consulting SL EECO, Amorebieta 48340, Spain; [Mtshali, T. N.] Dept Environm Forestry &amp; Fisheries, Oceans &amp; Coast, Foretrust Bldg,Martin Hammerschlag Way, ZA-8001 Cape Town, South Africa; [Garcia-Ibanez, M. I.] Univ East Anglia, Sch Environm Sci, Norwich Res Pk, Norwich NR4 7TJ, Norfolk, England</t>
  </si>
  <si>
    <t>Stellenbosch University; Council for Scientific &amp; Industrial Research (CSIR) - South Africa; Universite de Bretagne Occidentale; Centre National de la Recherche Scientifique (CNRS); Ifremer; Institut de Recherche pour le Developpement (IRD); University of East Anglia</t>
  </si>
  <si>
    <t>Cloete, R (corresponding author), Stellenbosch Univ, Ctr Trace Met &amp; Expt Biogeochem TracEx, Dept Earth Sci, ZA-7600 Stellenbosch, South Africa.</t>
  </si>
  <si>
    <t>15994619@sun.ac.za</t>
  </si>
  <si>
    <t>García-Ibáñez, Maribel I./AAE-1798-2019; Fietz, Susanne/A-8695-2012</t>
  </si>
  <si>
    <t>García-Ibáñez, Maribel I./0000-0001-5218-0064; Fietz, Susanne/0000-0003-0896-8385</t>
  </si>
  <si>
    <t>National Research Foundation (NRF); NRF [93069, 105826, 110715, 111210, 110731]</t>
  </si>
  <si>
    <t>National Research Foundation (NRF); NRF</t>
  </si>
  <si>
    <t>We would like to thank the South African National Antarctic Programme (SANAP) as well as Captain Knowledge Bengu and the crew of the R/V SA Agulhas II for their professionalism and support during the winter 2017 voyage. We acknowledge Chief Scientist Marcello Vichi and all the participants involved in the expedition. We are grateful to theIronteam for their help in collecting trace-clean seawater samples. We would like to thank Eric Achterberg, Angela Milne, Andrew Bowie, Gideon Henderson, Yoshiki Sohrin, Maeve Lohan and Michael Ellwood for allowing permission to use data that are not published outside of the IDP2017. Finally, we thank three reviewers for their insightful discussions, the results of which improved this manuscript. Ryan Cloete was supported through the National Research Foundation (NRF) Innovation PhD studentship. This research was supported by NRF grants (UID#93069, 105826 and 110715) to A.R. S.F. acknowledges funding from NRF (UID 111210, 110731).</t>
  </si>
  <si>
    <t>NOV 20</t>
  </si>
  <si>
    <t>10.1016/j.marchem.2021.104031</t>
  </si>
  <si>
    <t>US9GG</t>
  </si>
  <si>
    <t>WOS:000697732900007</t>
  </si>
  <si>
    <t>Parra, GJ; Bilgmann, K; Peters, KJ; Möller, LM</t>
  </si>
  <si>
    <t>Parra, Guido J.; Bilgmann, Kerstin; Peters, Katharina J.; Moller, Luciana M.</t>
  </si>
  <si>
    <t>Abundance and Potential Biological Removal of Common Dolphins Subject to Fishery Impacts in South Australian Waters</t>
  </si>
  <si>
    <t>dolphins; Delphinus delphis; aerial survey; distance sampling; fishery interactions; bycatch; potential biological removal; conservation</t>
  </si>
  <si>
    <t>DISTANCE SAMPLING METHODS; EASTERN TROPICAL PACIFIC; DELPHINUS-DELPHIS; AERIAL SURVEYS; ENGRAULIS-AUSTRALIS; ATTENUATA CALVES; HARBOR PORPOISE; MARINE MAMMALS; ATLANTIC-OCEAN; SHELF WATERS</t>
  </si>
  <si>
    <t>Conservation management of wildlife species should be underpinned by knowledge of their distribution and abundance, as well as impacts of human activities on their populations and habitats. Common dolphins (Delphinus delphis) are subject to incidental capture in a range of Australia's commercial fisheries including gill netting, purse seining and mid-water trawling. The impact these fishery interactions have on common dolphin populations is uncertain, as estimates of abundance are lacking, particularly for the segments of the populations at risk of bycatch and in greater need of protection. Here we used double-observer platform aerial surveys and mark-recapture distance sampling methods to estimate the abundance of common dolphins in 2011 over an area of 42,438 km(2) in central South Australia, where incidental mortality of common dolphins due to fisheries bycatch is the highest. We also used the potential biological removal (PBR) method to estimate sustainable levels of human-caused mortality for this segment of the population. The estimated abundance of common dolphins was 21,733 (CV = 0.25; 95% CI = 13,809-34,203) in austral summer/autumn and 26,504 in winter/spring (CV = 0.19; 95% CI = 19,488-36,046). Annual PBR estimates, assuming a conservative maximum population growth rate of R-max = 0.02 and a recovery factor of F-r = 0.5 for species of unknown conservation status, ranged from 189 (summer/autumn) to 239 dolphins (winter/spring), and from 378 (summer/autumn) to 478 dolphins (winter/spring) with an R-max = 0.04. Our results indicate that common dolphins are an abundant dolphin species in waters over the central South Australian continental shelf (up to 100 m deep). Based on the 2011 abundance estimates of this species, the highest estimated bycatch of common dolphins (423 mortalities in 2004/05) in the southern Australian region exceeded the precautionary PBR estimates for this population segment. Recent bycatch levels appear to be below PBR estimates, but low observer coverage and underreporting of dolphin mortalities by fishers means that estimates of dolphin bycatch rates are not robust. The effects of cumulative human impacts on common dolphins are not well understood, and thus we recommend a precautionary management approach to manage common dolphin bycatch based on local abundance estimates.</t>
  </si>
  <si>
    <t>[Parra, Guido J.; Bilgmann, Kerstin; Peters, Katharina J.; Moller, Luciana M.] Flinders Univ S Australia, Coll Sci &amp; Engn, Cetacean Ecol Behav &amp; Evolut Lab CEBEL, Adelaide, SA, Australia; [Bilgmann, Kerstin; Moller, Luciana M.] Flinders Univ S Australia, Mol Ecol Lab, Coll Sci &amp; Engn, Adelaide, SA, Australia; [Bilgmann, Kerstin] Macquarie Univ, Dept Biol Sci, Sydney, NSW, Australia; [Peters, Katharina J.] Massey Univ, Sch Nat Sci, Cetacean Ecol Res Grp, Auckland, New Zealand; [Peters, Katharina J.] Univ Zurich, Dept Anthropol, Evolutionary Genet Grp, Zurich, Switzerland; [Peters, Katharina J.] Flinders Univ S Australia, Coll Sci &amp; Engn, Global Ecol Partuyarta Ngadluku Wardli Kuu, Adelaide, SA, Australia</t>
  </si>
  <si>
    <t>Flinders University South Australia; Flinders University South Australia; Macquarie University; Massey University; University of Zurich; Flinders University South Australia</t>
  </si>
  <si>
    <t>Parra, GJ (corresponding author), Flinders Univ S Australia, Coll Sci &amp; Engn, Cetacean Ecol Behav &amp; Evolut Lab CEBEL, Adelaide, SA, Australia.</t>
  </si>
  <si>
    <t>guido.parra@flinders.edu.au</t>
  </si>
  <si>
    <t>Peters, Katharina J/J-3033-2019; Möller, Luciana M/A-6030-2008</t>
  </si>
  <si>
    <t>Peters, Katharina J/0000-0002-5967-0928; Bilgmann, Kerstin/0000-0003-0681-2301</t>
  </si>
  <si>
    <t>Australian Marine Mammal Centre (AMMC); Australian Antarctic Division (AAD) [2010/33]</t>
  </si>
  <si>
    <t>Australian Marine Mammal Centre (AMMC); Australian Antarctic Division (AAD)</t>
  </si>
  <si>
    <t>This study was funded by the Australian Marine Mammal Centre (AMMC) Grants Program, Australian Antarctic Division (AAD) (Project Number 2010/33).</t>
  </si>
  <si>
    <t>10.3389/fmars.2021.617075</t>
  </si>
  <si>
    <t>UU0SZ</t>
  </si>
  <si>
    <t>WOS:000698516500001</t>
  </si>
  <si>
    <t>Bloshkina, EV; Pavlov, AK; Filchuk, K</t>
  </si>
  <si>
    <t>Bloshkina, Ekaterina, V; Pavlov, Alexey K.; Filchuk, Kirill</t>
  </si>
  <si>
    <t>Warming of Atlantic Water in three west Spitsbergen fjords: recent patterns and century-long trends</t>
  </si>
  <si>
    <t>Atlantification; Svalbard; Isfjorden; Gronfjorden; water masses; climate change</t>
  </si>
  <si>
    <t>EURASIAN BASIN; SEA-ICE; SVALBARD; KONGSFJORDEN; HYDROGRAPHY; BRANCH; SHELF; HEAT</t>
  </si>
  <si>
    <t>We investigated the recent warming of summer Atlantic Water in relation to the century-long trends in maximum temperature in three west Spitsbergen fjords: Isfjorden, Gronfjorden and Billefjorden. On the basis of repeated along-fjord transects in late summer 2003-2019, we found that the warming has been pronounced not only in the outer but also in the inner domain of Isfjorden, where the presence of waters of Atlantic origin was registered more frequently after 2011 compared to early 2000s. Furthermore, Atlantic waters occurred more frequently in the bottom layers in the inner part of the fjord. In all the investigated fjords, the year 2014 was the warmest and saltiest during the period 2003-2019, which is consistent with previous reports for other west Spitsbergen fjords. In 2014, the mean temperature and salinity in Isfjorden and Gronfjorden exceeded 4.9 degrees C and 34.7 (in Billefjorden, 4.0 degrees C and 34.67, respectively). With the new data for 2010-19, we extended the time-series of maximum Atlantic Water temperature in Isfjorden and Gronfjorden, covering 1912-2009, reported previously by Pavlov et al. 2013. For the period 1912- 2019, the average long-term trend of Atlantic Water maximum temperature is 0.25 degrees C/decade and 0.22 degrees C/decade in the outer part of Isfjorden and Gronfjorden, respectively. In the first two decades of the 21st century, the warming trend is steeper compared to the 20th century, 0.78 degrees C/decade in Isfjorden and 0.56 degrees C/decade in Gronfjorden, highlighting the strength of the ongoing 'Atlantification' of west Spitsbergen fjords.</t>
  </si>
  <si>
    <t>[Bloshkina, Ekaterina, V; Filchuk, Kirill] Arctic &amp; Antarctic Res Inst, Beringa St 38, St Petersburg 199397, Russia; [Pavlov, Alexey K.] Polish Acad Sci, Inst Oceanol, Sopot, Poland; [Pavlov, Alexey K.] Akvaplan Niva, Tromso, Norway</t>
  </si>
  <si>
    <t>Arctic &amp; Antarctic Research Institute; Polish Academy of Sciences; Institute of Oceanology of the Polish Academy of Sciences; Akvaplan-niva</t>
  </si>
  <si>
    <t>Bloshkina, EV (corresponding author), Arctic &amp; Antarctic Res Inst, Beringa St 38, St Petersburg 199397, Russia.</t>
  </si>
  <si>
    <t>bloshkinaev@mail.ru</t>
  </si>
  <si>
    <t>Bloshkina, Ekaterina/I-6901-2015</t>
  </si>
  <si>
    <t>10.33265/polar.v40.5392</t>
  </si>
  <si>
    <t>US6YW</t>
  </si>
  <si>
    <t>WOS:000697574300001</t>
  </si>
  <si>
    <t>Johnson, KM; McKay, RM; Etourneau, J; Jiménez-Espejo, FJ; Albot, A; Riesselman, CR; Bertler, NAN; Horgan, HJ; Crosta, X; Bendle, J; Ashley, KE; Yamane, M; Yokoyama, Y; Pekar, SF; Escutia, C; Dunbar, RB</t>
  </si>
  <si>
    <t>Johnson, Katelyn M.; McKay, Robert M.; Etourneau, Johan; Jimenez-Espejo, Francisco J.; Albot, Anya; Riesselman, Christina R.; Bertler, Nancy A. N.; Horgan, Huw J.; Crosta, Xavier; Bendle, James; Ashley, Kate E.; Yamane, Masako; Yokoyama, Yusuke; Pekar, Stephen F.; Escutia, Carlota; Dunbar, Robert B.</t>
  </si>
  <si>
    <t>Sensitivity of Holocene East Antarctic productivity to subdecadal variability set by sea ice</t>
  </si>
  <si>
    <t>NINO-SOUTHERN-OSCILLATION; ADELIE LAND; BIOGENIC OPAL; TROPICAL PACIFIC; CAT-SCAN; SEDIMENTS; OCEAN; SURFACE; DIATOM; ORGANOCHLORINES</t>
  </si>
  <si>
    <t>Antarctic sea-ice extent, primary productivity and ocean circulation represent interconnected systems that form important components of the global carbon cycle. Subdecadal to centennial-scale variability can influence the characteristics and interactions of these systems, but observational records are too short to evaluate the impacts of this variability over longer timescales. Here, we use a 170-m-long sediment core collected from Integrated Ocean Drilling Program Site U1357B, offshore Adelie Land, East Antarctica to disentangle the impacts of sea ice and subdecadal climate variability on phytoplankton bloom frequency over the last similar to 11,400 years. We apply X-ray computed tomography, Ice Proxy for the Southern Ocean with 25 carbon atoms, diatom, physical property and geochemical analyses to the core, which contains an annually resolved, continuously laminated archive of phytoplankton bloom events. Bloom events occurred annually to biennially through most of the Holocene, but became less frequent (similar to 2-7 years) at similar to 4.5 ka when coastal sea ice intensified. We propose that coastal sea-ice intensification subdued annual sea-ice break-out, causing an increased sensitivity of sea-ice dynamics to subdecadal climate modes, leading to a subdecadal frequency of bloom events. Our data suggest that projected loss of coastal sea ice will impact the influence of subdecadal variability on Antarctic margin primary productivity, altering food webs and carbon-cycling processes at seasonal timescales.</t>
  </si>
  <si>
    <t>[Johnson, Katelyn M.; Bertler, Nancy A. N.] GNS Sci, Lower Hutt, New Zealand; [Johnson, Katelyn M.; McKay, Robert M.; Albot, Anya; Bertler, Nancy A. N.; Horgan, Huw J.] Victoria Univ Wellington, Antarctic Res Ctr, Wellington, New Zealand; [Etourneau, Johan; Jimenez-Espejo, Francisco J.; Escutia, Carlota] CSIC Univ Granada, Andaluz Inst Earth Sci, Granada, Spain; [Etourneau, Johan] PSL Univ, EPHE, Paris, France; [Etourneau, Johan; Crosta, Xavier] Univ Bordeaux, UMR 5805 EPOC CNRS, Bordeaux, France; [Jimenez-Espejo, Francisco J.] JAMSTEC, Biogeochem Ctr, Yokosuka, Kanagawa, Japan; [Riesselman, Christina R.] Univ Otago, Dept Geol, Dunedin, New Zealand; [Riesselman, Christina R.] Univ Otago, Dept Marine Sci, Dunedin, New Zealand; [Bendle, James; Ashley, Kate E.] Univ Birmingham, Sch Geog Earth &amp; Environm Sci, Birmingham, W Midlands, England; [Yamane, Masako] Nagoya Univ, Inst Space Earth Environm Res ISEE, Nagoya, Aichi, Japan; [Yokoyama, Yusuke] Univ Tokyo, Analyt Ctr Environm Study, Atmosphere &amp; Ocean Res Inst, Kashiwa, Chiba, Japan; [Pekar, Stephen F.] CUNY Queens Coll, Sch Earth &amp; Environm Sci, New York, NY USA; [Dunbar, Robert B.] Stanford Univ, Sch Earth Energy &amp; Environm Sci, Stanford, CA USA</t>
  </si>
  <si>
    <t>GNS Science - New Zealand; Victoria University Wellington; University of Granada; Universite PSL; Ecole Pratique des Hautes Etudes (EPHE); Universite de Bordeaux; Japan Agency for Marine-Earth Science &amp; Technology (JAMSTEC); University of Otago; University of Otago; University of Birmingham; Nagoya University; University of Tokyo; City University of New York (CUNY) System; Stanford University</t>
  </si>
  <si>
    <t>Johnson, KM (corresponding author), GNS Sci, Lower Hutt, New Zealand.;Johnson, KM (corresponding author), Victoria Univ Wellington, Antarctic Res Ctr, Wellington, New Zealand.</t>
  </si>
  <si>
    <t>k.johnson@gns.cri.nz</t>
  </si>
  <si>
    <t>Escutia, Carlota/B-8614-2015; Riesselman, Christina R/H-5037-2012; Jimenez-Espejo, Francisco J/F-4486-2016</t>
  </si>
  <si>
    <t>Jimenez-Espejo, Francisco J/0000-0002-0335-8580; Horgan, Huw/0000-0002-4836-0078; Riesselman, Christina/0000-0002-2436-4306; Crosta, Xavier/0000-0002-8005-9939; Johnson, Katelyn M./0000-0002-6152-9712; Bendle, James/0000-0002-6826-8658; Bertler, Nancy/0000-0001-6028-4891; McKay, Robert/0000-0002-5602-6985; Dunbar, Robert/0000-0002-9728-5609</t>
  </si>
  <si>
    <t>US National Science Foundation (NSF); Royal Society Te Aparangi Marsden Fund [18-VUW-089, 15-VUW-131]; New Zealand Ministry of Business, Innovation and Employment through the Antarctic Science Platform [ANTA1801]; New Zealand Ministry of Business, Innovation and Employment Strategic Science Investment Fund (SSIF) through GNS Science [540GCT32]; Dumont d'Urville NZ-France Science and Technology Programme, MARICE project [45455NF, 19-VUW-047-DDU]; ERC StG ICEPROXY [203441]; ANR CLIMICE; FP7 Past4Future [243908]; Spanish Research Council [201830I092]; Spanish Ministry of Science and Innovation [CTM2017-89711-C2-1-P]; European Union through FEDER funds; University of Otago research grant; L'Oreal-UNESCO For Women in Science Australia and New Zealand Fellowship; Natural Environment Research Council [NE/L002493/1, Ne/I00646X/1]; Japan Society for Promotion of Science (JSPS) [JP20H00193]; National Science Foundation [OPP-0732796, PLR-1644118, OCE-1129101]; Grants-in-Aid for Scientific Research [20H00193] Funding Source: KAKEN</t>
  </si>
  <si>
    <t>US National Science Foundation (NSF)(National Science Foundation (NSF)); Royal Society Te Aparangi Marsden Fund(Royal Society of New Zealand); New Zealand Ministry of Business, Innovation and Employment through the Antarctic Science Platform(New Zealand Ministry of Business, Innovation and Employment (MBIE)); New Zealand Ministry of Business, Innovation and Employment Strategic Science Investment Fund (SSIF) through GNS Science(New Zealand Ministry of Business, Innovation and Employment (MBIE)); Dumont d'Urville NZ-France Science and Technology Programme, MARICE project; ERC StG ICEPROXY(European Research Council (ERC)); ANR CLIMICE(Agence Nationale de la Recherche (ANR)); FP7 Past4Future; Spanish Research Council; Spanish Ministry of Science and Innovation(Spanish Government); European Union through FEDER funds(European Union (EU)Marie Curie Actions); University of Otago research grant; L'Oreal-UNESCO For Women in Science Australia and New Zealand Fellowship; Natural Environment Research Council(UK Research &amp; Innovation (UKRI)Natural Environment Research Council (NERC)); Japan Society for Promotion of Science (JSPS)(Ministry of Education, Culture, Sports, Science and Technology, Japan (MEXT)Japan Society for the Promotion of Science); National Science Foundation(National Science Foundation (NSF)); Grants-in-Aid for Scientific Research(Ministry of Education, Culture, Sports, Science and Technology, Japan (MEXT)Japan Society for the Promotion of ScienceGrants-in-Aid for Scientific Research (KAKENHI))</t>
  </si>
  <si>
    <t>This research used samples and data provided by IODP expedition 318, sponsored by the US National Science Foundation (NSF) and participating countries under the management of the Consortium for Ocean Leadership, including the Australian and New Zealand International Ocean Discovery Program Consortium. Funding was provided by Royal Society Te Aparangi Marsden Fund (18-VUW-089 to R.M.M. and 15-VUW-131 to N.A.N.B.) and the New Zealand Ministry of Business, Innovation and Employment through the Antarctic Science Platform (ANTA1801). Funding was also provided by the New Zealand Ministry of Business, Innovation and Employment Strategic Science Investment Fund (SSIF) through GNS Science (grant 540GCT32). We acknowledge funding from the Dumont d'Urville NZ-France Science and Technology Programme, MARICE project (Marine and Ice core reconstruction of East Antarctic sea ice variability over the past 2,000 years) (project nos. 45455NF and 19-VUW-047-DDU Catalyst Fund, RSNZ). J.E. and X.C. acknowledge funding by the ERC StG ICEPROXY (203441), the ANR CLIMICE and the FP7 Past4Future (243908) projects. F.J.J.-E. was funded by project 201830I092 (Spanish Research Council). C.E. and F.J.J.-E acknowledge funding by the Spanish Ministry of Science and Innovation (grant CTM2017-89711-C2-1-P), co-funded by the European Union through FEDER funds. C.R.R. was funded by a University of Otago research grant and a L'Oreal-UNESCO For Women in Science Australia and New Zealand Fellowship. The Natural Environment Research Council funded K.E.A. (CENTA PhD; NE/L002493/1) and J.B. (standard grant Ne/I00646X/1). Y.Y. was funded by the Japan Society for Promotion of Science (JSPS) grant no. JP20H00193. S.F.P. was supported by National Science Foundation grant OPP-0732796. R.B.D. was supported by National Science Foundation grants PLR-1644118 and OCE-1129101. The authors acknowledge the Norwegian Polar Institute's Quantarctica package, and the use of imagery from the NASA Worldview application (https://worldview.earthdata.nasa.gov/), part of the NASA Earth Observing System Data and Information System.</t>
  </si>
  <si>
    <t>10.1038/s41561-021-00816-y</t>
  </si>
  <si>
    <t>WB4WT</t>
  </si>
  <si>
    <t>WOS:000695635300002</t>
  </si>
  <si>
    <t>Widyatmoko, AC; Hardesty, BD; Wilcox, C</t>
  </si>
  <si>
    <t>Widyatmoko, Ahmad Catur; Hardesty, Britta Denise; Wilcox, Chris</t>
  </si>
  <si>
    <t>Detecting anchored fish aggregating devices (AFADs) and estimating use patterns from vessel tracking data in small-scale fisheries</t>
  </si>
  <si>
    <t>TUNA FISHERIES; FADS</t>
  </si>
  <si>
    <t>Monitoring the use of anchored fish aggregating devices (AFADs) is essential for effective fisheries management. However, detecting the use of these devices is a significant challenge for fisheries management in Indonesia. These devices are continually deployed at large scales, due to large numbers of users and high failure rates, increasing the difficulty of monitoring AFADs. To address this challenge, tracking devices were attached to 34 handline fishing vessels in Indonesia over a month period each. Given there are an estimated 10,000-50,000 unlicensed AFADs in operation, Indonesian fishing grounds provided an ideal case study location to evaluate whether we could apply spatial modeling approaches to detect AFAD usage and fish catch success. We performed a spatial cluster analysis on tracking data to identify fishing grounds and determine whether AFADs were in use. Interviews with fishers were undertaken to validate these findings. We detected 139 possible AFADs, of which 72 were positively classified as AFADs. Our approach enabled us to estimate AFAD use and sharing by vessels, predict catches, and infer AFAD lifetimes. Key implications from our study include the potential to estimate AFAD densities and deployment rates, and thus compliance with Indonesia regulations, based on vessel tracking data.</t>
  </si>
  <si>
    <t>[Widyatmoko, Ahmad Catur] Univ Tasmania, Inst Marine &amp; Antarctic Studies, CSIRO UTAS Quantitat Marine Sci PhD Program, Hobart, Tas, Australia; [Widyatmoko, Ahmad Catur; Hardesty, Britta Denise; Wilcox, Chris] Commonwealth Sci &amp; Ind Res Org CSIRO Oceans &amp; Atm, Hobart, Tas 7000, Australia; [Hardesty, Britta Denise; Wilcox, Chris] Univ Tasmania, Ctr Marine Socioecol, Hobart, Tas 7000, Australia</t>
  </si>
  <si>
    <t>Commonwealth Scientific &amp; Industrial Research Organisation (CSIRO); University of Tasmania; Commonwealth Scientific &amp; Industrial Research Organisation (CSIRO); University of Tasmania</t>
  </si>
  <si>
    <t>Widyatmoko, AC (corresponding author), Univ Tasmania, Inst Marine &amp; Antarctic Studies, CSIRO UTAS Quantitat Marine Sci PhD Program, Hobart, Tas, Australia.;Widyatmoko, AC (corresponding author), Commonwealth Sci &amp; Ind Res Org CSIRO Oceans &amp; Atm, Hobart, Tas 7000, Australia.</t>
  </si>
  <si>
    <t>ahmadcatur.widyatmoko@utas.edu.au</t>
  </si>
  <si>
    <t>Hardesty, Britta Denise/A-3189-2011</t>
  </si>
  <si>
    <t>Marine Stewardship Council scholarship; CSIRO Oceans and Atmosphere; Department of Foreign Affairs and Trade</t>
  </si>
  <si>
    <t>Researcher ACW was supported by a Marine Stewardship Council scholarship. BDH and CW were supported by CSIRO Oceans and Atmosphere and by funding provided by the Department of Foreign Affairs and Trade. We thank Yayasan Masyarakat dan Perikanan Indonesia (MDPI) for sharing SPOT Trace data. We are indebted to the many fishermen who voluntarily participated in the MDPI SPOT Trace program. We also thank the crew of Zamrud 02 Labuhan Lombok fishing boat for allowing the researcher to join in a fishing trip.</t>
  </si>
  <si>
    <t>10.1038/s41598-021-97227-1</t>
  </si>
  <si>
    <t>UP3GW</t>
  </si>
  <si>
    <t>WOS:000695272000014</t>
  </si>
  <si>
    <t>Crockart, CK; Vance, TR; Fraser, AD; Abram, NJ; Criscitiello, AS; Curran, MAJ; Favier, V; Gallant, AJE; Kittel, C; Kjær, HA; Klekociuk, AR; Jong, LM; Moy, AD; Plummer, CT; Vallelonga, PT; Wille, J; Zhang, LW</t>
  </si>
  <si>
    <t>Crockart, Camilla K.; Vance, Tessa R.; Fraser, Alexander D.; Abram, Nerilie J.; Criscitiello, Alison S.; Curran, Mark A. J.; Favier, Vincent; Gallant, Ailie J. E.; Kittel, Christoph; Kjaer, Helle A.; Klekociuk, Andrew R.; Jong, Lenneke M.; Moy, Andrew D.; Plummer, Christopher T.; Vallelonga, Paul T.; Wille, Jonathan; Zhang, Lingwei</t>
  </si>
  <si>
    <t>El Nino-Southern Oscillation signal in a new East Antarctic ice core, Mount Brown South</t>
  </si>
  <si>
    <t>SURFACE MASS-BALANCE; ANNULAR MODE SAM; SNOW ACCUMULATION RATES; WILHELM-II LAND; LAW DOME; INDIAN-OCEAN; DECADAL VARIABILITY; CLIMATE VARIABILITY; SEA-ICE; ENSO</t>
  </si>
  <si>
    <t>Paleoclimate archives, such as high-resolution ice core records, provide a means to investigate past climate variability. Until recently, the Law Dome (Dome Summit South site) ice core record remained one of few millennial-length high-resolution coastal records in East Antarctica. A new ice core drilled in 2017/2018 at Mount Brown South, approximately 1000 km west of Law Dome, provides an additional high-resolution record that will likely span the last millennium in the Indian Ocean sector of East Antarctica. Here, we compare snow accumulation rates and sea salt concentrations in the upper portion (similar to 20 m) of three Mount Brown South ice cores and an updated Law Dome record over the period 1975-2016. Annual sea salt concentrations from the Mount Brown South site record preserve a stronger signal for the El Nino-Southern Oscillation (ENSO; austral winter and spring, r = 0.533, p &lt; 0.001, Multivariate El Nino Index) compared to a previously defined Law Dome record of summer sea salt concentrations (November-February, r = 0.398, p = 0.010, Southern Oscillation Index). The Mount Brown South site record and Law Dome record preserve inverse signals for the ENSO, possibly due to longitudinal variability in meridional transport in the southern Indian Ocean, although further analysis is needed to confirm this. We suggest that ENSO-related sea surface temperature anomalies in the equatorial Pacific drive atmospheric teleconnections in the southern mid-latitudes. These anomalies are associated with a weakening (strengthening) of regional westerly winds to the north of Mount Brown South that correspond to years of low (high) sea salt deposition at Mount Brown South during La Nina (El Nino) events. The extended Mount Brown South annual sea salt record (when complete) may offer a new proxy record for reconstructions of the ENSO over the recent millennium, along with improved understanding of regional atmospheric variability in the southern Indian Ocean, in addition to that derived from Law Dome.</t>
  </si>
  <si>
    <t>[Crockart, Camilla K.; Vance, Tessa R.; Fraser, Alexander D.; Curran, Mark A. J.; Klekociuk, Andrew R.; Jong, Lenneke M.; Moy, Andrew D.; Plummer, Christopher T.; Zhang, Lingwei] Univ Tasmania, Inst Marine &amp; Antarctic Studies, Australian Antarctic Program Partnership, Hobart, Tas 7004, Australia; [Abram, Nerilie J.] Australian Natl Univ, Res Sch Earth Sci, Canberra, ACT 2601, Australia; [Abram, Nerilie J.] Australian Natl Univ, ARC Ctr Excellence Climate Extremes, Canberra, ACT 2601, Australia; [Criscitiello, Alison S.] Univ Alberta, Dept Earth &amp; Atmospher Sci, Edmonton, AB T6G 2R3, Canada; [Curran, Mark A. J.; Klekociuk, Andrew R.; Jong, Lenneke M.; Moy, Andrew D.] Australian Antarctic Div, Channel Highway, Kingston, Tas 7050, Australia; [Favier, Vincent; Wille, Jonathan] Univ Grenoble Alpes, Inst Geosci Environm, F-38400 Grenoble, France; [Gallant, Ailie J. E.] Monash Univ, Sch Earth Atmosphere &amp; Environm, Clayton, Vic 3800, Australia; [Kittel, Christoph] Univ Liege, Dept Geog, Lab Climatol, Spheres, B-4000 Liege, Belgium; [Kjaer, Helle A.; Vallelonga, Paul T.] Univ Copenhagen, Niels Bohr Inst, Phys Ice Climate &amp; Earth, DK-2100 Copenhagen, Denmark; [Vallelonga, Paul T.] Univ Western Australia, UWA Oceans Inst, Perth, WA 6909, Australia</t>
  </si>
  <si>
    <t>University of Tasmania; Australian National University; Australian National University; University of Alberta; Australian Antarctic Division; Communaute Universite Grenoble Alpes; Universite Grenoble Alpes (UGA); Monash University; University of Liege; University of Copenhagen; Niels Bohr Institute; University of Western Australia</t>
  </si>
  <si>
    <t>Crockart, CK (corresponding author), Univ Tasmania, Inst Marine &amp; Antarctic Studies, Australian Antarctic Program Partnership, Hobart, Tas 7004, Australia.</t>
  </si>
  <si>
    <t>camilla.crockart@utas.edu.au</t>
  </si>
  <si>
    <t>Abram, Nerilie/AAT-5171-2021; Jong, Lenneke M/AAT-3230-2020; Wille, Jonathan/KFQ-5871-2024; Gallant, Ailie/N-3938-2013; Fraser, Alexander/AFO-7186-2022; Kjær, Helle Astrid/HGC-7941-2022; Vallelonga, Paul/I-9650-2016; Favier, Vincent/T-1936-2017; Klekociuk, Andrew/A-4498-2015</t>
  </si>
  <si>
    <t>Jong, Lenneke M/0000-0001-6707-570X; Fraser, Alexander/0000-0003-1924-0015; Kjær, Helle Astrid/0000-0002-3781-9509; Criscitiello, Alison/0000-0002-8741-709X; Favier, Vincent/0000-0001-6024-9498; Vance, Tessa/0000-0001-6970-8646; Kittel, Christoph/0000-0001-6586-9784; Abram, Nerilie/0000-0003-1246-2344; Plummer, Christopher/0000-0002-9765-5753; Klekociuk, Andrew/0000-0003-3335-0034</t>
  </si>
  <si>
    <t>Australian Research Council (ARC) Centre of Excellence for Climate Extremes; ARC Discovery Project [DP180102522]; ARC Special Research Initiative for Antarctic Gateway Partnership [SR140300001]; Australian Antarctic Program Partnership [ASCI000002]; Australian Antarctic Science projects [4414, 4537, 4061]; Carlsberg Foundation; National Science Foundation [P2C2 18041212]</t>
  </si>
  <si>
    <t>Australian Research Council (ARC) Centre of Excellence for Climate Extremes(Australian Research Council); ARC Discovery Project(Australian Research Council); ARC Special Research Initiative for Antarctic Gateway Partnership; Australian Antarctic Program Partnership; Australian Antarctic Science projects; Carlsberg Foundation(Carlsberg Foundation); National Science Foundation(National Science Foundation (NSF))</t>
  </si>
  <si>
    <t>This research has been supported by the Australian Research Council (ARC) Centre of Excellence for Climate Extremes, the ARC Discovery Project (grant no. DP180102522), the ARC Special Research Initiative for Antarctic Gateway Partnership (grant no. SR140300001), the Australian Antarctic Program Partnership (grant no. ASCI000002), Australian Antarctic Science projects 4414, 4537 and 4061, the Carlsberg Foundation, and the National Science Foundation (grant no. P2C2 18041212).</t>
  </si>
  <si>
    <t>10.5194/cp-17-1795-2021</t>
  </si>
  <si>
    <t>UP8UX</t>
  </si>
  <si>
    <t>WOS:000695649900001</t>
  </si>
  <si>
    <t>Morris, EM; Montgomery, LN; Mulvaney, R</t>
  </si>
  <si>
    <t>Morris, Elizabeth M.; Montgomery, Lynn N.; Mulvaney, Robert</t>
  </si>
  <si>
    <t>Modelling the transition from grain-boundary sliding to power-law creep in dry snow densification</t>
  </si>
  <si>
    <t>Ice core; polar firn; snow physics</t>
  </si>
  <si>
    <t>VOSTOK ICE CORE; FIRN-DENSIFICATION; DENSITY-MEASUREMENTS; MASS-BALANCE; ACCUMULATION; ISLAND; STRATIGRAPHY; GREENLAND; ENERGY; SUMMIT</t>
  </si>
  <si>
    <t>This paper presents a physics-based macroscale model for the densification of dry snow which provides for a smooth transition between densification by grain-boundary sliding (stage 1) and densification by power-law creep (stage 2). The model uses established values of the stage 1 and 2 densification rates away from the transition zone and two transition parameters with a simple physical basis: the transition density and the half-width of the transition zone. It has been calibrated using density profiles from the SUMup database and physically based expressions for the transition parameters have been derived. The transition model produces better predictions of the depth of the nominal bubble close-off horizon than the Herron and Langway model, both in its classical form and in a recent version with re-optimised densification rates.</t>
  </si>
  <si>
    <t>[Morris, Elizabeth M.] Scott Polar Res Inst, Lensfieid Rd, Cambridge CB2 1ER, England; [Montgomery, Lynn N.] Univ Colorado, Dept Atmospher &amp; Ocean Sci, Boulder, CO 80309 USA; [Mulvaney, Robert] British Antarctic Survey, Madingiey Rd, Cambridge CB3 0ET, England</t>
  </si>
  <si>
    <t>University of Cambridge; University of Colorado System; University of Colorado Boulder; UK Research &amp; Innovation (UKRI); Natural Environment Research Council (NERC); NERC British Antarctic Survey</t>
  </si>
  <si>
    <t>Morris, EM (corresponding author), Scott Polar Res Inst, Lensfieid Rd, Cambridge CB2 1ER, England.</t>
  </si>
  <si>
    <t>emm36@cam.ac.uk</t>
  </si>
  <si>
    <t>Mulvaney, Robert/K-3929-2012</t>
  </si>
  <si>
    <t>Mulvaney, Robert/0000-0002-5372-8148</t>
  </si>
  <si>
    <t>U.S. National Science Foundation [PLR 1603407]; UK Natural Environment Research Council [NE/J005797/1, NE/J00569X/1]; European Research Council [742224]; NERC [NE/J00569X/1] Funding Source: UKRI; European Research Council (ERC) [742224] Funding Source: European Research Council (ERC)</t>
  </si>
  <si>
    <t>U.S. National Science Foundation(National Science Foundation (NSF)); UK Natural Environment Research Council(UK Research &amp; Innovation (UKRI)Natural Environment Research Council (NERC)); European Research Council(European Research Council (ERC)); NERC(UK Research &amp; Innovation (UKRI)Natural Environment Research Council (NERC)); European Research Council (ERC)(European Research Council (ERC)Spanish Government)</t>
  </si>
  <si>
    <t>We acknowledge the many field researchers who have, over the years, collected the data without which this study would not have been possible. The SUMup database is supported by the U.S. National Science Foundation grant PLR 1603407. Pine Island Glacier data were collected as part of the iSTAR project funded by the UK Natural Environment Research Council under grant [10.13039/501100000270] (NE/J005797/1 and NE/J00569X/1). Skytrain data were collected as part of the WACSWAIN project funded by the European Research Council under Grant Agreement 742224. We thank Vincent Verjans and Yalalt Nyamgerel for interesting discussions and early sight of their data. We have been greatly helped by thoughtful reviews from Dr C Max Stevens and an anonymous reviewer and also thank our Scientific Editor, Dr Alan Rempel for his comments.</t>
  </si>
  <si>
    <t>PII S0022143021000952</t>
  </si>
  <si>
    <t>10.1017/jog.2021.95</t>
  </si>
  <si>
    <t>WOS:000774703900001</t>
  </si>
  <si>
    <t>Bhushan, B; Tanwar, H; Eslavath, MR; Singh, SB; Kumar, B; Ganju, L</t>
  </si>
  <si>
    <t>Bhushan, Brij; Tanwar, Himanshi; Eslavath, Malleswara Rao; Singh, Shashi Bala; Kumar, Bhuvnesh; Ganju, Lilly</t>
  </si>
  <si>
    <t>Impact of the harsh Antarctic environment on mucosal immunity</t>
  </si>
  <si>
    <t>expedition; health; IgA; immunity; ship voyage; stress</t>
  </si>
  <si>
    <t>SALIVARY IMMUNOGLOBULIN-A; REPEATED RESTRAINT STRESS; GROWTH-FACTOR-BETA; SERUM IMMUNOGLOBULINS; IGA SUBCLASSES; INFECTION RISK; EXERCISE; RESPONSES; CELLS; CYTOKINES</t>
  </si>
  <si>
    <t>Mucosal immunity of Indian Antarctic personnel was analysed during the 34th Indian Scientific Expedition to Antarctica (ISEA) by ship voyage. Serum and salivary IgA, IgA1 and IgA2 levels along with salivary cortisol and TGF-beta were quantified by enzyme-linked immunosorbent assay. Samples were collected at three different time points (T1, T2 and T3) during the expedition. Serum and salivary IgA, IgA1 and IgA2 concentrations incrementally increased towards the end of the expedition as compared to the beginning of the expedition. Salivary IgA and TGF-beta levels were significantly altered during the expedition. Levels of IgA1 (P = 0.0007) and IgA2 (P = 0.0135) increased significantly at T3 as compared to T1. Additionally, significant changes in serum IgA were observed, with peak levels at T3 (P = 0.0015) and T2 (P &lt; 0.001). However, the level of serum IgA2 was also significantly altered at T3 (P &lt; 0.05) and T2 (P = 0.0006) in comparison with T1. The exact cause of the changes in serum and salivary IgA, IgA1, IgA2 and TGF-beta levels during the summer expedition are unknown; however, the changes are evident in mucosal immunity.</t>
  </si>
  <si>
    <t>[Bhushan, Brij; Tanwar, Himanshi; Eslavath, Malleswara Rao; Kumar, Bhuvnesh; Ganju, Lilly] Def Inst Physiol &amp; Allied Sci DIPAS, DRDO, Lucknow Rd, New Delhi 110054, India; [Singh, Shashi Bala] Natl Inst Pharmaceut Educ &amp; Res NIPER, NH 9,Kukatpally Ind Estate, Hyderabad 500037, Telangana, India</t>
  </si>
  <si>
    <t>Ganju, L (corresponding author), Def Inst Physiol &amp; Allied Sci DIPAS, DRDO, Lucknow Rd, New Delhi 110054, India.</t>
  </si>
  <si>
    <t>lilly.ganiu65@gmail.com</t>
  </si>
  <si>
    <t>Defence Research and Development Organisation, India (DRDO) [DIP265]</t>
  </si>
  <si>
    <t>Defence Research and Development Organisation, India (DRDO)(Defence Research &amp; Development Organisation (DRDO))</t>
  </si>
  <si>
    <t>BB would like to recognize the Defence Research and Development Organisation, India (DRDO, DIP265) for the research fellowship.</t>
  </si>
  <si>
    <t>S0954102021000407</t>
  </si>
  <si>
    <t>10.1017/S0954102021000407</t>
  </si>
  <si>
    <t>WOS:000737591300001</t>
  </si>
  <si>
    <t>Lai, ZP; Xu, YT; Zheng, PS</t>
  </si>
  <si>
    <t>Lai, Zhongping; Xu, Yantian; Zheng, Peisong</t>
  </si>
  <si>
    <t>Earth Ice Age Dynamics: A Bimodal Forcing Hypothesis</t>
  </si>
  <si>
    <t>milankovitch theory; ice age cycles; forcing mechanisms; bimodal hypothesis; termination from the south; cooling from the north</t>
  </si>
  <si>
    <t>MERIDIONAL OVERTURNING CIRCULATION; EASTERN EQUATORIAL PACIFIC; MAJOR GLACIATION CYCLES; ATMOSPHERIC CO2 RISE; ANTARCTIC SEA-ICE; SOUTHERN-OCEAN; NORTH-ATLANTIC; THERMOHALINE CIRCULATION; TEMPERATURE-CHANGES; LAST DEGLACIATION</t>
  </si>
  <si>
    <t>The Earth has gone through multiple ice ages in the past million years. Understanding the ice age dynamics is crucial to paleoclimatic study, and is helpful for addressing future climate challenges. Though ice ages are paced by variations in Earth's orbit geometry, how various climatic system components on the Earth respond to insolation forcing and interact with each other remains unclear. A prevailing view argues that the initial responses occur in the northern high latitudes (i.e. the northern high-latitude hypothesis, NHH). This opinion is challenged by recent reports, such as the lead of climate change in the Southern Hemisphere (SH) relative to that in the Northern Hemisphere (NH), the southern control on Atlantic meridional overturning circulations (AMOC), and the potential significance of Southern Hemisphere (SH). Alternatively, the tropical hypothesis (TH) argues for a leading role of the tropics. Both the NHH and the TH belong to a single-forcing mechanism, and have difficulty in interpreting phenomena, such as the saw-tooth pattern of the ice ages. Here we present a new proposal concerning the Earth's ice age dynamics: the bimodal forcing hypothesis (BFH). The essential assumption of this hypothesis is that for glacial-interglacial cycles, the cooling (glaciation) starts from the northern high latitudes, whereas the warming (deglaciations) starts from the SH. Particularly, the BFH emphasizes the significance of SH oceans in accumulating and transferring heat for deglaciations. Thus, it is capable to reasonably explain the saw-tooth pattern. We compiled 100 paleotemperature records globally for validation. The BFH is consistent with most of these records, and provides a straightforward and comprehensible way to interpret ice age on Earth.</t>
  </si>
  <si>
    <t>[Lai, Zhongping; Xu, Yantian; Zheng, Peisong] Shantou Univ, Inst Marine Sci, Guangdong Prov Key Lab Marine Biotechnol, Shantou, Peoples R China; [Lai, Zhongping] Univ Oxford, Sch Geog &amp; Environm, Oxford, England; [Lai, Zhongping] Southern Marine Sci &amp; Engn Guangdong Lab Zhuhai, Zhuhai, Peoples R China</t>
  </si>
  <si>
    <t>Shantou University; University of Oxford; Southern Marine Science &amp; Engineering Guangdong Laboratory; Southern Marine Science &amp; Engineering Guangdong Laboratory (Zhuhai)</t>
  </si>
  <si>
    <t>Lai, ZP (corresponding author), Shantou Univ, Inst Marine Sci, Guangdong Prov Key Lab Marine Biotechnol, Shantou, Peoples R China.;Lai, ZP (corresponding author), Univ Oxford, Sch Geog &amp; Environm, Oxford, England.;Lai, ZP (corresponding author), Southern Marine Sci &amp; Engn Guangdong Lab Zhuhai, Zhuhai, Peoples R China.</t>
  </si>
  <si>
    <t>zhongping.lai@yahoo.com</t>
  </si>
  <si>
    <t>徐, 砚田/GQI-0772-2022</t>
  </si>
  <si>
    <t>Lai, Zhongping/0000-0002-0139-9346; Xu, Yantian/0000-0002-4530-0686</t>
  </si>
  <si>
    <t>National Natural Science Foundation of China [41877438, 41290252]; STU Scientific Research Foundation for Talents [NTF19003]</t>
  </si>
  <si>
    <t>National Natural Science Foundation of China(National Natural Science Foundation of China (NSFC)); STU Scientific Research Foundation for Talents</t>
  </si>
  <si>
    <t>Funding This work was funded by National Natural Science Foundation of China (Grant No. 41877438, 41290252), and the STU Scientific Research Foundation for Talents (Grant No. NTF19003), both granted to ZL.</t>
  </si>
  <si>
    <t>SEP 8</t>
  </si>
  <si>
    <t>10.3389/feart.2021.736895</t>
  </si>
  <si>
    <t>WC9OS</t>
  </si>
  <si>
    <t>WOS:000704580100001</t>
  </si>
  <si>
    <t>Finger, JVG; Corá, DH; Convey, P; Santa Cruz, F; Petry, MV; Krüger, L</t>
  </si>
  <si>
    <t>Grohmann Finger, Julia Victoria; Cora, Denyelle Hennayra; Convey, Peter; Santa Cruz, Francisco; Petry, Maria Virginia; Kruger, Lucas</t>
  </si>
  <si>
    <t>Anthropogenic debris in an Antarctic Specially Protected Area in the maritime Antarctic</t>
  </si>
  <si>
    <t>Nelson Island; Harmony Point; Marine debris; Macroplastics; Polar pollution</t>
  </si>
  <si>
    <t>ROSS SEA; ISLAND; MICROPLASTICS; SEDIMENTS; PLASTICS; ACCUMULATION; POLYMERS; IMPACTS; RELEASE; BAY</t>
  </si>
  <si>
    <t>Antarctic Specially Protected Areas (ASPAs) provide the strongest environmental protection in Antarctica. However, they are not immune from anthropogenic pollution of marine or terrestrial origin. We document anthropogenic debris within ASPA No. 133 Harmony Point, Nelson Island, recovering 1544 items between November 2019 and January 2020. The majority (82.6 %) were found close to a national operator-constructed refuge and were smaller than 5 cm. Larger items (up to 300 cm) were present on beaches and plateaus. Charcoal and rubber were the most abundant items around the refuge and plastic and metal were the most abundant items on beaches and plateaus. Debris items likely arriving in the area by marine transportation (e.g. plastic) are of concern due to both risk of ingestion and their degradation leading to the release of hazardous chemicals. Such pollution contravenes the terms of the Protocol on Environmental Protection to the Antarctic Treaty and other regionally applicable regulations.</t>
  </si>
  <si>
    <t>[Grohmann Finger, Julia Victoria; Cora, Denyelle Hennayra; Petry, Maria Virginia] Univ Vale Rio dos Sinos, Lab Ornitol &amp; Anim Marinhos, Av Unisinos 950, Sao Leopoldo, Brazil; [Convey, Peter] British Antarctic Survey, High Cross,Madingley Rd, Cambridge CB3 0ET, England; [Convey, Peter] Univ Johannesburg, Dept Zool, POB 524, ZA-2006 Auckland Pk, South Africa; [Santa Cruz, Francisco; Kruger, Lucas] Inst Antartico Chileno, Plaza Munoz Gamero, Punta Arenas 1055, Chile</t>
  </si>
  <si>
    <t>Universidade do Vale do Rio dos Sinos (Unisinos); UK Research &amp; Innovation (UKRI); Natural Environment Research Council (NERC); NERC British Antarctic Survey; University of Johannesburg</t>
  </si>
  <si>
    <t>Finger, JVG (corresponding author), Univ Vale Rio dos Sinos, Lab Ornitol &amp; Anim Marinhos, Av Unisinos 950, Sao Leopoldo, Brazil.</t>
  </si>
  <si>
    <t>victoriafinger@hotmail.com; denycora@unochapeco.edu.br; pcon@bas.ac.uk; fsantacruz@inach.cl; vpetry@unisinos.br; lkruger@inach.cl</t>
  </si>
  <si>
    <t>Petry, Maria Virginia/AAG-5333-2021; Grohmann Finger, Júlia Victória/AAP-4653-2020; Convey, Peter/AAV-5728-2020; Kruger, Lucas/O-8912-2015</t>
  </si>
  <si>
    <t>Grohmann Finger, Júlia Victória/0000-0002-0773-7502; Convey, Peter/0000-0001-8497-9903; Kruger, Lucas/0000-0003-4637-5302; Santa Cruz, Francisco/0000-0002-7894-0153; Cora, Denyelle Hennayra/0000-0002-3175-6447</t>
  </si>
  <si>
    <t>Fondecyt [11180175]; Marine Protected Areas Program of Instituto Antartico Chileno (INACH) [2403052]; Coordenacao de Aperfeicoamento de Pessoal de Nivel Superior (CAPES) [001]; NERC; NERC [bas0100036] Funding Source: UKRI</t>
  </si>
  <si>
    <t>Fondecyt(Comision Nacional de Investigacion Cientifica y Tecnologica (CONICYT)CONICYT FONDECYT); Marine Protected Areas Program of Instituto Antartico Chileno (INACH); Coordenacao de Aperfeicoamento de Pessoal de Nivel Superior (CAPES)(Coordenacao de Aperfeicoamento de Pessoal de Nivel Superior (CAPES)); NERC(UK Research &amp; Innovation (UKRI)Natural Environment Research Council (NERC)); NERC(UK Research &amp; Innovation (UKRI)Natural Environment Research Council (NERC))</t>
  </si>
  <si>
    <t>This study was funded in part by Fondecyt (Fondecyt Iniciacion 11180175) and supported by the Marine Protected Areas Program of Instituto Antartico Chileno (INACH, 2403052). It was also partially financed by Coordenacao de Aperfeicoamento de Pessoal de Nivel Superior (CAPES) through a PhD scholarship to Julia V. G. Finger and Masters scholarship to Denyelle H. Cora (Finance Code 001). Peter Convey is supported by NERC core funding to the British Antarctic Survey's `Biodiversity, Evolution and Adaptation' Team. We thank Instituto Antartico Chileno, Base Escudero, RS Karpuj and OPV Marinero Fuentealba for transportation and logistical support. We thank Dr. Marcelo Gonzalez for comments on the manuscript and two anonymous reviewers for their constructive suggestions.</t>
  </si>
  <si>
    <t>10.1016/j.marpolbul.2021.112921</t>
  </si>
  <si>
    <t>UY7ML</t>
  </si>
  <si>
    <t>WOS:000701703300006</t>
  </si>
  <si>
    <t>Georgiopoulou, A; Owens, M; Haughton, PDW</t>
  </si>
  <si>
    <t>Georgiopoulou, Aggeliki; Owens, Michael; Haughton, Peter D. W.</t>
  </si>
  <si>
    <t>Channel and inter-channel morphology resulting from the long-term interplay of alongslope and downslope processes, NE Rockall Trough, NE Atlantic</t>
  </si>
  <si>
    <t>Contourites; Turbidites; Channels; Canyons; Sediment thieving; 3D seismic; Mixed systems; Antarctic Bottom Water</t>
  </si>
  <si>
    <t>CURRENT REWORKED SANDS; DEEP-MARINE; ICE-SHEET; BARRA FAN; MARGIN; SLOPE; SEDIMENTARY; CIRCULATION; GULF; CONTOURITES</t>
  </si>
  <si>
    <t>With this contribution we use a pair of overlapping 3D seismic surveys and two exploration wells to document the response of long-lived slope channels to the onset of bottom currents sweeping the lower slope in the NE Rockall Basin, offshore Ireland. Downslope gravity current activity, linked to a phase of uplift, prevailed throughout the Eocene and led to the formation of multiple channels, most notably a large-scale sinuous channel complex (Channel 4 Complex) tied to a persistent sediment entry point on the margin. Channels fed lobes on the floor of the basin, with increased axial tilting forcing gravity currents to flow parallel to the base of slope. A phase of margin-wide differential subsidence and basin deepening in the Late Eocene then activated bottom current circulation across the basin. Northward-flowing bottom currents first erosionally refashioned the lower slope creating a prominent unconformity with contourites that then initially forming infill drifts. Bottom currents swept along and obliquely upslope, building plastered drifts that straddled the lower sections of the still active channels. The drifts modified and amplified the spurs separating the active channels, with interaction between along and downslope processes accreting sediment that built and maintained channel relief and allowed the channel mouths to extend further basinward over and across the earlier lobes. Contourite-forced channel extension on account of lower slope depositional re-profiling represents another manifestation of the interplay between slope channels and bottom currents. In the case of NE Rockall, the accreted base of slope wedge and mounded geometry resembles similar features elsewhere along the eastern Rockall margin. Those have previously been ascribed to mass-transport and base-up channel initiation, however, the similarities are so striking that we propose that these also are the result of lower slope re-profiling by bottom currents.</t>
  </si>
  <si>
    <t>[Georgiopoulou, Aggeliki] Univ Brighton, Sch Appl Sci, Cockcroft Bldg,Lewes Rd, Brighton BN2 4GJ, E Sussex, England; [Georgiopoulou, Aggeliki; Owens, Michael; Haughton, Peter D. W.] Univ Coll Dublin, UCD Sch Earth Sci, Dublin, Ireland</t>
  </si>
  <si>
    <t>University of Brighton; University College Dublin</t>
  </si>
  <si>
    <t>Georgiopoulou, A (corresponding author), Univ Brighton, Sch Appl Sci, Cockcroft Bldg,Lewes Rd, Brighton BN2 4GJ, E Sussex, England.</t>
  </si>
  <si>
    <t>A.Georgiopoulou@brighton.ac.uk</t>
  </si>
  <si>
    <t>Serica Energy</t>
  </si>
  <si>
    <t>There is funding acknowledgement in the Funding was from Serica Energy. We are also grateful to the Department of the Environment, Climate and Communications of the Irish Government and the formerly known as the Petroleum Affairs Division for access to data. Graham Prichard and Clara Altobell are acknowledged for entrusting us with the project. We are grateful to Dr. Marco Fonnesu and one anonymous reviewer for their constructive reviews which helped improve the manuscript significantly.</t>
  </si>
  <si>
    <t>10.1016/j.margeo.2021.106624</t>
  </si>
  <si>
    <t>US9GX</t>
  </si>
  <si>
    <t>WOS:000697734600016</t>
  </si>
  <si>
    <t>Villa, G; Florindo, F; Persico, D; Lurcock, P; de Martini, AP; Jovane, L; Fioroni, C</t>
  </si>
  <si>
    <t>Villa, Giuliana; Florindo, Fabio; Persico, Davide; Lurcock, Pontus; de Martini, Ana Paula; Jovane, Luigi; Fioroni, Chiara</t>
  </si>
  <si>
    <t>Integrated calcareous nannofossil and magnetostratigraphic record of ODP Site 709: Middle Eocene to late Oligocene paleoclimate and paleoceanography of the Equatorial Indian Ocean</t>
  </si>
  <si>
    <t>Calcareous nannofossils; Eocene; Oligocene; Biomagnetostratigraphy; Paleoceanography; ODP Site 709</t>
  </si>
  <si>
    <t>CLIMATIC OPTIMUM MECO; ANTARCTIC GLACIATION; KERGUELEN PLATEAU; CALCITE COMPENSATION; CARBON-DIOXIDE; BIOCHRONOLOGY; SEDIMENTS; EVENT; ONSET; BIOSTRATIGRAPHY</t>
  </si>
  <si>
    <t>We investigated the calcareous nannofossil biostratigraphy and magnetostratigraphy of middle Eocene - lower Oligocene sediments from ODP Hole 709 C, equatorial Indian Ocean. The new bio-magnetostratigraphic analyses have resulted in an accurate biochronology of the interval spanning Chrons C20r (middle Eocene) to C12r, in which 29 bioevents were investigated, in a 12 myr interval. The magnetostratigraphic signal is less clear across the Eocene-Oligocene transition (EOT) but becomes more reliable at the top of Chron C13n to Chron C12r (early Oligocene). Quantitative analyses of calcareous nannofossil assemblages allowed recognition of the Middle Eocene Climatic Optimum (MECO) and the long cooling trend leading to the glacial state starting in the early Oligocene. We identify two hiatuses, in the lower middle Eocene and across the Eocene-Oligocene Transition (EOT). Across the latter unconformity, a major transition from oligotrophic to eutrophic favoring nannofossil taxa highlights the enhanced sea surface nutrient availability during the transition to the early Oligocene glacial system. Finally, a late Oligocene warming event is recorded at this site by the increase in calcareous nannofossil taxa that preferred warm water.</t>
  </si>
  <si>
    <t>[Villa, Giuliana; Persico, Davide] Univ Parma, Dipartimento Sci Chim Vita &amp; Sostenibilita Ambien, Parco Area Sci 157 A, I-43124 Parma, Italy; [Florindo, Fabio; Lurcock, Pontus] Ist Nazl Geofis &amp; Vulcanol, Via Vigna Murata 605, I-00143 Rome, Italy; [Florindo, Fabio; de Martini, Ana Paula; Jovane, Luigi] Univ Sao Paulo, Inst Oceanog, Praca Oceanog 191, BR-05508120 Sao Paulo, Brazil; [Fioroni, Chiara] Univ Modena &amp; Reggio Emilia, Dipartimento Sci Chim &amp; Geol, Via Campi 103, I-41125 Modena, Italy</t>
  </si>
  <si>
    <t>University of Parma; Istituto Nazionale Geofisica e Vulcanologia (INGV); Universidade de Sao Paulo; Universita di Modena e Reggio Emilia</t>
  </si>
  <si>
    <t>Villa, G (corresponding author), Univ Parma, Dipartimento Sci Chim Vita &amp; Sostenibilita Ambien, Parco Area Sci 157 A, I-43124 Parma, Italy.</t>
  </si>
  <si>
    <t>giuliana.villa@unipr.it</t>
  </si>
  <si>
    <t>Florindo, Fabio/F-4119-2010; Jovane, Luigi/AAH-5438-2020</t>
  </si>
  <si>
    <t>Florindo, Fabio/0000-0002-6058-9748; Jovane, Luigi/0000-0003-4348-4714</t>
  </si>
  <si>
    <t>U.S. National Science Foundation (NSF); Joint Oceanographic Institutions, Inc.; 'Departments of Excellence' programme of the Italian Ministry for Education, University and Research (MIUR, 2018-2022); Fundacao de Amparo a Pesquisa do Estado de Sao Paulo (FAPESP) [2016/24946-9]; Coordenacao de Aperfeicoamento de Pessoal de Nivel Superior - Brasil (CAPES) [001]</t>
  </si>
  <si>
    <t>U.S. National Science Foundation (NSF)(National Science Foundation (NSF)); Joint Oceanographic Institutions, Inc.; 'Departments of Excellence' programme of the Italian Ministry for Education, University and Research (MIUR, 2018-2022); Fundacao de Amparo a Pesquisa do Estado de Sao Paulo (FAPESP)(Fundacao de Amparo a Pesquisa do Estado de Sao Paulo (FAPESP)); Coordenacao de Aperfeicoamento de Pessoal de Nivel Superior - Brasil (CAPES)(Coordenacao de Aperfeicoamento de Pessoal de Nivel Superior (CAPES))</t>
  </si>
  <si>
    <t>We thank the Integrated Ocean Drilling Program (IODP) for providing access to the studied cores. The IODP is sponsored by the U.S. National Science Foundation (NSF) and participating countries under the management of Joint Oceanographic Institutions, Inc. This work has benefited from the equipment and framework of the COMP-HUB Initiative, funded by the `Departments of Excellence' programme of the Italian Ministry for Education, University and Research (MIUR, 2018-2022). L.J. has been supported by Fundac ~ao de Amparo a Pesquisa do Estado de S ~ao Paulo (FAPESP) grant 2016/24946-9 and by the Coordenac ~ao de Aperfeicoamento de Pessoal de Nivel Superior -Brasil (CAPES) -Finance Code 001. We are grateful to Jean Self Trail for the careful revision and constructive suggestions. The authors strongly thank the editor Ric Jordan for thorough editing to the mnuscript.</t>
  </si>
  <si>
    <t>10.1016/j.marmicro.2021.102051</t>
  </si>
  <si>
    <t>WOS:000697736200006</t>
  </si>
  <si>
    <t>Gorman, KB; Ruck, KE; Williams, TD; Fraser, WR</t>
  </si>
  <si>
    <t>Gorman, Kristen B.; Ruck, Kate E.; Williams, Tony D.; Fraser, William R.</t>
  </si>
  <si>
    <t>Advancing the Sea Ice Hypothesis: Trophic Interactions Among Breeding Pygoscelis Penguins With Divergent Population Trends Throughout the Western Antarctic Peninsula</t>
  </si>
  <si>
    <t>delta C-13 and delta N-15 stable isotopes; food web; Pygoscelis penguin; reproduction; sea ice; western Antarctic Peninsula</t>
  </si>
  <si>
    <t>KING-GEORGE-ISLAND; STABLE-ISOTOPES; CLIMATE-CHANGE; FOOD-WEB; PENGUIN POPULATIONS; WINTER DISTRIBUTION; CHINSTRAP PENGUINS; MARINE ECOSYSTEM; ADELIE PENGUINS; MARGUERITE BAY</t>
  </si>
  <si>
    <t>We evaluated annual and regional variation in the dietary niche of Pygoscelis penguins including the sea ice-obligate Adelie penguin (Pygoscelis adeliae), and sea ice-intolerant chinstrap (Pygoscelis antarcticus) and gentoo (Pygoscelis papua) penguins, three species that nest throughout the western Antarctic Peninsula (AP) to test the sea ice trophic interaction hypothesis, which posits that penguin breeding populations with divergent trends, i.e., declining or increasing, are reliant on differing food webs. Our study relies on values of naturally occurring carbon (C-13/C-12, delta C-13) and nitrogen (N-15/N-14, delta N-15) stable isotopes as integrated proxies of penguin food webs measured over three years at three different breeding colonies. At Anvers Island in the north, where reductions in sea ice and changes in breeding population trends among sympatric sea ice-obligate (Adelie) and sea ice-intolerant (chinstrap and gentoo) penguins have been most notable, our analyses show that all three species of Pygoscelis penguins became more similar isotopically over the reproductive period. By late chick-rearing at Anvers Island, creched chicks at 5-weeks-old for all species occupied similar trophic positions. Isotopic mixing models indicated that the proportions of prey provisioned by adult penguins to 5-week-old chicks at Anvers Island were generally similar across species within years, consisting primarily of Antarctic krill (Euphausia superba). Creched Adelie chicks had higher delta C-13 and delta N-15 values at Avian and Charcot Islands, southern breeding colonies where sea ice is more prominent and populations of Adelie penguins have increased or remain stable. Trophic position increased with latitude, while the proportions of prey provisioned by Adelie penguin adults to chicks at southern breeding colonies included species typical of high Antarctic marine food webs, especially crystal krill (Euphausia crystallorophias). A Bayesian metric for dietary niche width, standard ellipse area (SEA-B), indicated that Pygoscelis penguins with greater population changes in the north had more variability in dietary niche width than stable populations further south. Our results lend insight on marine food web drivers of Pygoscelis penguin reproduction at the regional scale and question the long-standing paradigm that Antarctic krill are the only food web component critical to penguin reproductive survival in this region of the Southern Ocean.</t>
  </si>
  <si>
    <t>[Gorman, Kristen B.; Williams, Tony D.] Simon Fraser Univ, Dept Biol Sci, Burnaby, BC, Canada; [Gorman, Kristen B.] Univ Alaska Fairbanks, Coll Fisheries &amp; Ocean Sci, Fairbanks, AK 99775 USA; [Ruck, Kate E.] Virginia Inst Marine Sci, Coll William &amp; Mary, Gloucester Point, VA 23062 USA; [Fraser, William R.] Polar Oceans Res Grp, Sheridan, MT USA</t>
  </si>
  <si>
    <t>Simon Fraser University; University of Alaska System; University of Alaska Fairbanks; William &amp; Mary; Virginia Institute of Marine Science</t>
  </si>
  <si>
    <t>Gorman, KB (corresponding author), Simon Fraser Univ, Dept Biol Sci, Burnaby, BC, Canada.;Gorman, KB (corresponding author), Univ Alaska Fairbanks, Coll Fisheries &amp; Ocean Sci, Fairbanks, AK 99775 USA.</t>
  </si>
  <si>
    <t>kbgorman@alaska.edu</t>
  </si>
  <si>
    <t>Gorman, Kristen B./0000-0002-0258-9264</t>
  </si>
  <si>
    <t>National Science Foundation (NSF), Office of Polar Programs (OPP) [0217282, 0823101]; NSF-OPP [0741351]; Virginia Institute of Marine Science Graduate Student Association Student Research Grant; Simon Fraser University Graduate Fellowships; Glen Geen Graduate Scholarship in Marine Biology; Canada Natural Sciences and Engineering Research Council; University of Alaska Fairbanks; Directorate For Geosciences; Office of Polar Programs (OPP) [0823101] Funding Source: National Science Foundation; Directorate For Geosciences; Office of Polar Programs (OPP) [0217282, 0741351] Funding Source: National Science Foundation</t>
  </si>
  <si>
    <t>National Science Foundation (NSF), Office of Polar Programs (OPP)(National Science Foundation (NSF)); NSF-OPP(National Science Foundation (NSF)NSF - Directorate for Geosciences (GEO)); Virginia Institute of Marine Science Graduate Student Association Student Research Grant; Simon Fraser University Graduate Fellowships; Glen Geen Graduate Scholarship in Marine Biology; Canada Natural Sciences and Engineering Research Council(Natural Sciences and Engineering Research Council of Canada (NSERC)); University of Alaska Fairbanks; Directorate For Geosciences; Office of Polar Programs (OPP)(National Science Foundation (NSF)NSF - Directorate for Geosciences (GEO)); Directorate For Geosciences; Office of Polar Programs (OPP)(National Science Foundation (NSF)NSF - Directorate for Geosciences (GEO))</t>
  </si>
  <si>
    <t>This research was conducted in collaboration with Palmer Station Antarctica, Long-Term Ecological Research (PAL-LTER) program (http://pal.lternet.edu).Fieldwork and stable isotope analysis were supported by National Science Foundation (NSF), Office of Polar Programs (OPP) awards (#0217282 and #0823101) to WF. Supplemental funds were provided by NSF-OPP award #0741351 to WF. Funding by the Virginia Institute of Marine Science Graduate Student Association Student Research Grant to KR supported stable isotope analysis of additional prey samples. KG was partially supported by Simon Fraser University Graduate Fellowships and the Glen Geen Graduate Scholarship in Marine Biology, in addition to Canada Natural Sciences and Engineering Research Council Discovery Grants to TW. Publication costs for this manuscript were partially supported by the University of Alaska Fairbanks Vice Chancellor for Research Office.</t>
  </si>
  <si>
    <t>10.3389/fmars.2021.526092</t>
  </si>
  <si>
    <t>US8LW</t>
  </si>
  <si>
    <t>WOS:000697678100001</t>
  </si>
  <si>
    <t>Newsham, KK; Goodall-Copestake, WP</t>
  </si>
  <si>
    <t>Newsham, Kevin K.; Goodall-Copestake, William P.</t>
  </si>
  <si>
    <t>Liverworts frequently form mycothalli on Spitsbergen in the High Arctic</t>
  </si>
  <si>
    <t>Edaphic factors; Jungermanniidae; leafy liverworts; Serendipita; Svalbard; symbiosis</t>
  </si>
  <si>
    <t>ASSOCIATIONS; FUNGAL; MARCHANTIOPHYTA; MYCORRHIZAS; DIVERSITY; PATTERNS; SVALBARD; MOSSES; TUNDRA; ROOTS</t>
  </si>
  <si>
    <t>Mycothalli, symbioses between liverworts and soil fungi, have not previously been recorded in the Arctic. Here, 13 species of leafy liverwort from west Spitsbergen in the High Arctic are examined for the symbiosis using epifluorescence microscopy and sequencing of fungal ribosomal (r)RNA genes amplified from plant tissues. Microscopy showed that intracellular hyphal coils, key indicators of the symbiosis, were frequent (&gt;40% stem length colonized) in nine species of liverwort in the families Anastrophyllaceae, Lophoziaceae, Cephaloziellaceae, Cephaloziaceae and Scapaniaceae, with hyphae occurring frequently (&gt;40% cells occupied) in the rhizoids of 10 species in the same families. Dark septate hyphae, apparently formed by ascomycetes, were frequent on the stems of members of the Anastrophyllaceae, Cephaloziellaceae and Cephaloziaceae, and typically those growing on acidic mine tailings. Sequencing of fungal rRNA genes showed the presence of nine distinct groups (based on a 3% cut-off for ITS sequence divergence) of the basidiomycete Serendipita in the Anastrophyllaceae and Lophoziaceae, with ordinations and correlative analyses showing the presence of the genus to be positively associated with the frequency of hyphal coils, the occurrence of which was positively associated with edaphic factors (soil delta N-15 value and concentrations of moisture, nitrogen, carbon and organic matter). We propose that the frequency of mycothalli in leafy liverworts on west Spitsbergen, which is an order of magnitude higher than at lower latitudes, may arise from benefits conferred by mycobionts on their hosts in the harsh environment of the High Arctic.</t>
  </si>
  <si>
    <t>[Newsham, Kevin K.; Goodall-Copestake, William P.] British Antarctic Survey, Nat Environm Res Council, High Cross, Cambridge CB3 0ET, England; [Goodall-Copestake, William P.] Scottish Assoc Marine Sci, Oban, Argyll, Scotland</t>
  </si>
  <si>
    <t>UK Research &amp; Innovation (UKRI); Natural Environment Research Council (NERC); NERC British Antarctic Survey; UHI Millennium Institute</t>
  </si>
  <si>
    <t>Newsham, KK (corresponding author), British Antarctic Survey, Nat Environm Res Council, High Cross, Cambridge CB3 0ET, England.</t>
  </si>
  <si>
    <t>kne@bas.ac.uk</t>
  </si>
  <si>
    <t>Goodall-Copestake, William/CAF-6866-2022</t>
  </si>
  <si>
    <t>Goodall-Copestake, Will/0000-0003-3586-9091</t>
  </si>
  <si>
    <t>Natural Environment Research Council</t>
  </si>
  <si>
    <t>KKN and WPGC were supported by Natural Environment Research Council core funding to the British Antarctic Survey.</t>
  </si>
  <si>
    <t>10.33265/polar.v40.7727</t>
  </si>
  <si>
    <t>UR7IJ</t>
  </si>
  <si>
    <t>WOS:000696918000001</t>
  </si>
  <si>
    <t>Balza, U; Brasso, R; Lois, NA; Pütz, K; Rey, AR</t>
  </si>
  <si>
    <t>Balza, Ulises; Brasso, Rebecka; Lois, Nicolas A.; Puetz, Klemens; Raya Rey, Andrea</t>
  </si>
  <si>
    <t>The highest mercury concentrations ever reported in a South American bird, the Striated Caracara (Phalcoboenus australis)</t>
  </si>
  <si>
    <t>Hg; Exposure; Raptor; Conservation; Biomagnification; Heavy metals</t>
  </si>
  <si>
    <t>ENVIRONMENTAL MERCURY; STATEN-ISLAND; FEATHERS; POPULATION; DYNAMICS; BAY</t>
  </si>
  <si>
    <t>Mercury is a widely available pollutant associated with negative effects on wildlife, especially top predators. Here, we characterized the mercury concentrations in feathers of Striated Caracara Phalcoboenus australis on Isla de los Estados (Argentina). With feather mercury levels averaging 26.3 mg/kg, this population has the highest mean feather mercury ever reported for a bird population in South America. We propose that the high mercury concentrations are related to the feeding habits of the species: during feather moult, they are strongly associated with a Southern Rockhopper Penguin (Eudyptes chrysocome) colony known to be highly exposed to mercury contamination. Our results suggest that this Striated Caracara population should be monitored for acute effects and potential impacts of mercury toxicity.</t>
  </si>
  <si>
    <t>[Balza, Ulises; Raya Rey, Andrea] Ctr Austral Invest Cient CADIC CONICET, Lab Ecol &amp; Conservac Vida Silvestre, Ushuaia, Argentina; [Balza, Ulises; Lois, Nicolas A.] Univ Buenos Aires FCEyN UBA, Fac Ciencias Exactas &amp; Nat, Dept Ecol Genet &amp; Evoluc Buenos Aires, Buenos Aires, DF, Argentina; [Brasso, Rebecka] Weber State Univ, Dept Zool, Ogden, UT 84408 USA; [Lois, Nicolas A.] Inst Ecol Genet &amp; Evoluc Buenos Aires IEGEBA CONI, Buenos Aires, DF, Argentina; [Puetz, Klemens] Antarctic Res Trust, Bremervorde, Germany; [Raya Rey, Andrea] Univ Nacl Tierra Fuego UNTdF, Inst Ciencias Polares Ambiente &amp; Recursos Nat ICP, Ushuaia, Argentina; [Raya Rey, Andrea] Wildlife Conservat Soc, Buenos Aires, DF, Argentina</t>
  </si>
  <si>
    <t>Consejo Nacional de Investigaciones Cientificas y Tecnicas (CONICET); University of Buenos Aires; Utah System of Higher Education; Weber State University</t>
  </si>
  <si>
    <t>Balza, U (corresponding author), Ctr Austral Invest Cient CADIC CONICET, Lab Ecol &amp; Conservac Vida Silvestre, Ushuaia, Argentina.;Balza, U (corresponding author), Univ Buenos Aires FCEyN UBA, Fac Ciencias Exactas &amp; Nat, Dept Ecol Genet &amp; Evoluc Buenos Aires, Buenos Aires, DF, Argentina.</t>
  </si>
  <si>
    <t>ulisesbalza@conicet.gov.ar</t>
  </si>
  <si>
    <t>Brasso, Rebecka L/I-7014-2013; Lois, Nicolás/AAE-1606-2022; Balza, Ulises/AAO-6580-2020</t>
  </si>
  <si>
    <t>Balza, Ulises/0000-0003-1538-2438; Raya Rey, Andrea/0000-0003-0127-6650; Lois, Nicolas A./0000-0001-5664-0486</t>
  </si>
  <si>
    <t>Agencia Nacional de Promocion Cientifica y Tecnologica [1870]; Antarctic Research Trust; Wildlife Conservation Society</t>
  </si>
  <si>
    <t>Agencia Nacional de Promocion Cientifica y Tecnologica(ANPCyTSpanish Government); Antarctic Research Trust; Wildlife Conservation Society</t>
  </si>
  <si>
    <t>This study was possible due to fellowships from the Agencia Nacional de Promocion Cientifica y Tecnologica (PICT 2014 No 1870), the Antarctic Research Trust and the Wildlife Conservation Society.</t>
  </si>
  <si>
    <t>10.1007/s00300-021-02938-w</t>
  </si>
  <si>
    <t>WOS:000695739500001</t>
  </si>
  <si>
    <t>Hansen, N; Langen, PL; Boberg, F; Forsberg, R; Simonsen, SB; Thejll, P; Vandecrux, B; Mottram, R</t>
  </si>
  <si>
    <t>Hansen, Nicolaj; Langen, Peter L.; Boberg, Fredrik; Forsberg, Rene; Simonsen, Sebastian B.; Thejll, Peter; Vandecrux, Baptiste; Mottram, Ruth</t>
  </si>
  <si>
    <t>Downscaled surface mass balance in Antarctica: impacts of subsurface processes and large-scale atmospheric circulation</t>
  </si>
  <si>
    <t>REGIONAL CLIMATE MODEL; ICE; PRECIPITATION; VARIABILITY; MELTWATER; SNOWFALL; ACCUMULATION; 20TH-CENTURY; SIGNATURES; THICKNESS</t>
  </si>
  <si>
    <t>Antarctic surface mass balance (SMB) is largely determined by precipitation over the continent and subject to regional climate variability related to the Southern Annular Mode (SAM) and other climatic drivers at the large scale. Locally however, firn and snowpack processes are important in determining SMB and the total mass balance of Antarctica and global sea level. Here, we examine factors that influence Antarctic SMB and attempt to reconcile the outcome with estimates for total mass balance determined from the GRACE satellites. This is done by having the regional climate model HIRHAM5 forcing two versions of an offline subsurface model, to estimate Antarctic ice sheet (AIS) SMB from 1980 to 2017. The Lagrangian subsurface model estimates Antarctic SMB of 2473:5 +/- 114:4 Gt yr(-1), while the Eulerian subsurface model variant results in slightly higher modelled SMB of 2564:8 +/- 113:7 Gt yr(-1). The majority of this difference in modelled SMB is due to melt and refreezing over ice shelves and demonstrates the importance of firn modelling in areas with substantial melt. Both the Eulerian and the Lagrangian SMB estimates are within uncertainty ranges of each other and within the range of other SMB studies. However, the Lagrangian version has better statistics when modelling the densities. Further, analysis of the relationship between SMB in individual drainage basins and the SAM is carried out using a bootstrapping approach. This shows a robust relationship between SAM and SMB in half of the basins (13 out of 27). In general, when SAM is positive there is a lower SMB over the plateau and a higher SMB on the westerly side of the Antarctic Peninsula, and vice versa when the SAM is negative. Finally, we compare the modelled SMB to GRACE data by subtracting the solid ice discharge, and we find that there is a good agreement in East Antarctica but large disagreements over the Antarctic Peninsula. There is a large difference between published estimates of discharge that make it challenging to use mass reconciliation in evaluating SMB models on the basin scale.</t>
  </si>
  <si>
    <t>[Hansen, Nicolaj; Boberg, Fredrik; Thejll, Peter; Mottram, Ruth] DMI, Lyngbyvej 100, DK-2100 Copenhagen, Denmark; [Hansen, Nicolaj; Forsberg, Rene; Simonsen, Sebastian B.] DTU Space, Lyngby, Denmark; [Vandecrux, Baptiste] Geol Survey Denmark &amp; Greenland, Copenhagen, Denmark; [Langen, Peter L.] Aarhus Univ, Dept Environm Sci, iClimate, Roskilde, Denmark</t>
  </si>
  <si>
    <t>Danish Meteorological Institute DMI; Technical University of Denmark; Geological Survey Of Denmark &amp; Greenland; Aarhus University</t>
  </si>
  <si>
    <t>Hansen, N (corresponding author), DMI, Lyngbyvej 100, DK-2100 Copenhagen, Denmark.;Hansen, N (corresponding author), DTU Space, Lyngby, Denmark.</t>
  </si>
  <si>
    <t>nichsen@space.dtu.dk</t>
  </si>
  <si>
    <t>Hansen, Nicolaj/AAP-8709-2021; Simonsen, Sebastian Bjerregaard/F-4791-2013; Vandecrux, Baptiste/ABD-6079-2020</t>
  </si>
  <si>
    <t>Hansen, Nicolaj/0000-0002-4448-8891; Simonsen, Sebastian Bjerregaard/0000-0001-9569-1294; Vandecrux, Baptiste/0000-0002-4169-8973; Langen, Peter L./0000-0003-2185-012X; Forsberg, Rene/0000-0002-7288-9545</t>
  </si>
  <si>
    <t>European Union [869304]; European Research Council project under the European Community's Seventh Framework Programme (FP7/2007-2013)/ERC [610055]; ESA Climate Change Initiative for the Greenland ice sheet via ESA ESRIN [4000104815/11/I-NB]; Sea Level Budget Closure CCI project via ESA-ESRIN [4000119910/17/I-NB]</t>
  </si>
  <si>
    <t>European Union(European Union (EU)); European Research Council project under the European Community's Seventh Framework Programme (FP7/2007-2013)/ERC(European Research Council (ERC)); ESA Climate Change Initiative for the Greenland ice sheet via ESA ESRIN; Sea Level Budget Closure CCI project via ESA-ESRIN</t>
  </si>
  <si>
    <t>This project has received funding from the European Union's Horizon 2020 research and innovation programme under grant agreement no. 869304, PROTECT contribution number 18. HIRHAM5 regional climate model simulations were carried out by Ruth Mottram and Fredrik Boberg as part of the ice2ice project, a European Research Council project under the European Community's Seventh Framework Programme (FP7/2007-2013)/ERC grant agreement 610055. GRACE data analysis was supported by ESA Climate Change Initiative for the Greenland ice sheet funded via ESA ESRIN contract number 4000104815/11/I-NB and the Sea Level Budget Closure CCI project funded via ESA-ESRIN contract number 4000119910/17/I-NB.</t>
  </si>
  <si>
    <t>10.5194/tc-15-4315-2021</t>
  </si>
  <si>
    <t>UP6NK</t>
  </si>
  <si>
    <t>WOS:000695494700001</t>
  </si>
  <si>
    <t>Saunders, BJ; Galaiduk, R; Inostroza, K; Myers, EMV; Goetze, JS; Westera, M; Twomey, L; McCorry, D; Harvey, ES</t>
  </si>
  <si>
    <t>Saunders, Benjamin J.; Galaiduk, Ronen; Inostroza, Karina; Myers, Elisabeth M., V; Goetze, Jordan S.; Westera, Mark; Twomey, Luke; McCorry, Denise; Harvey, Euan S.</t>
  </si>
  <si>
    <t>Quantifying Patterns in Fish Assemblages and Habitat Use Along a Deep Submarine Canyon-Valley Feature Using a Remotely Operated Vehicle</t>
  </si>
  <si>
    <t>deep-water; habitat; ROV; stereo-video; CTD; species distribution model; submarine canyon; north-western Australia</t>
  </si>
  <si>
    <t>CONTINENTAL-SLOPE; SPECIES RICHNESS; COMMUNITY STRUCTURE; DEMERSAL FISHES; NEW-ZEALAND; ROV; PREDICTION; DIVERSITY; PACIFIC; IMPACT</t>
  </si>
  <si>
    <t>The aim of this study was to document the composition and distribution of deep-water fishes associated with a submarine canyon-valley feature. A work-class Remotely Operated Vehicle (ROV) fitted with stereo-video cameras was used to record fish abundance and assemblage composition along transects at water depths between 300 and 900 metres. Three areas (A, B, C) were sampled along a submarine canyon-valley feature on the continental slope of tropical north-western Australia. Water conductivity/salinity, temperature, and depth were also collected using an ROV mounted Conductivity Temperature and Depth (CTD) instrument. Multivariate analyses were used to investigate fish assemblage composition, and species distribution models were fitted using boosted regression trees. These models were used to generate predictive maps of the occurrence of four abundant taxa over the survey areas. CTD data identified three water masses, tropical surface water, South Indian Central Water (centred similar to 200 m depth), and a lower salinity Antarctic Intermediate Water (AAIW) similar to 550 m depth. Distinct fish assemblages were found among areas and between canyon-valley and non-canyon habitats. The canyon-valley habitats supported more fish and taxa than non-canyon habitats. The fish assemblages of the deeper location (similar to 700-900 m, Area A) were different to that of the shallower locations (similar to 400-700 m, Areas B and C). Deep-water habitats were characterised by a Paraliparis (snail fish) species, while shallower habitats were characterised by the family Macrouridae (rat tails). Species distribution models highlighted the fine-scale environmental niche associations of the four most abundant taxa. The survey area had a high diversity of fish taxa and was dominated by the family Macrouridae. The deepest habitat had a different fish fauna to the shallower areas. This faunal break can be attributed to the influence of AAIW. ROVs provide a platform on which multiple instruments can be mounted and complementary streams of data collected simultaneously. By surveying fish in situ along transects of defined dimensions it is possible to produce species distribution models that will facilitate a greater insight into the ecology of deep-water marine systems.</t>
  </si>
  <si>
    <t>[Saunders, Benjamin J.; Goetze, Jordan S.; Harvey, Euan S.] Curtin Univ, Sch Mol &amp; Life Sci, Bentley, WA, Australia; [Galaiduk, Ronen] Univ Western Australia, Indian Ocean Marine Res Ctr IOMRC, Australian Inst Marine Sci, Crawley, WA, Australia; [Inostroza, Karina; Westera, Mark] BMT Commercial Australia, Osborne Pk, WA, Australia; [Myers, Elisabeth M., V] Massey Univ, New Zealand Inst Adv Study, Albany, New Zealand; [Goetze, Jordan S.] Dept Biodivers Conservat &amp; Attract, Biodivers &amp; Conservat Sci, Marine Sci Program, Kensington, NSW, Australia; [Twomey, Luke] Western Australian Marine Sci Inst, Crawley, WA, Australia; [McCorry, Denise] Woodside Energy Ltd, Perth, WA, Australia</t>
  </si>
  <si>
    <t>Curtin University; University of Western Australia; Australian Institute of Marine Science; Massey University; Western Australian Marine Science Institution (WAMSI); Woodside Petroleum Limited</t>
  </si>
  <si>
    <t>Saunders, BJ (corresponding author), Curtin Univ, Sch Mol &amp; Life Sci, Bentley, WA, Australia.</t>
  </si>
  <si>
    <t>Ben.Saunders@curtin.edu.au</t>
  </si>
  <si>
    <t>Saunders, Benjamin/AAB-6617-2019; McCorry, Denise/HKW-0113-2023; Goetze, Jordan/J-3099-2015</t>
  </si>
  <si>
    <t>Saunders, Benjamin/0000-0003-1929-518X; Goetze, Jordan/0000-0002-3090-9763; Inostroza, Karina/0000-0003-3026-6291; Myers, Elisabeth/0000-0001-5343-349X</t>
  </si>
  <si>
    <t>Woodside Energy Ltd.; Mitsui E&amp;P Australia Pty Ltd.</t>
  </si>
  <si>
    <t>This research was supported by funding and data from the Woodside-operated Greater Enfield Project, a Joint Venture between Woodside Energy Ltd. and Mitsui E&amp;P Australia Pty Ltd.</t>
  </si>
  <si>
    <t>SEP 7</t>
  </si>
  <si>
    <t>10.3389/fmars.2021.608665</t>
  </si>
  <si>
    <t>US3HT</t>
  </si>
  <si>
    <t>WOS:000697325200001</t>
  </si>
  <si>
    <t>Hullé, M; Vernon, P</t>
  </si>
  <si>
    <t>Hulle, Maurice; Vernon, Philippe</t>
  </si>
  <si>
    <t>Terrestrial macro-arthropods of the sub-Antarctic islands of Possession (Crozet Archipelago) and Kerguelen: inventory of native and non-native species</t>
  </si>
  <si>
    <t>ZOOSYSTEMA</t>
  </si>
  <si>
    <t>Introduced species; endemic species; Insecta; Araneae; species richness</t>
  </si>
  <si>
    <t>INVASION; IMPACTS; BIOGEOGRAPHY; COLEOPTERA; DIVERSITY</t>
  </si>
  <si>
    <t>The sub-Antarctic islands of the Southern Ocean harbor biogeographically peculiar biotas which are under threat from climate change, biological invasions and their interactions. Understanding both the indigenous and changing non-indigenous components of these islands is essential for the conservation and management of their biotas. Based on several years of systematic sampling, we present an updated list of terrestrial, free-living macro-invertebrates (insects and spiders) present on the islands of Possession (Crozet Archipelago) and Kerguelen. Ninety-four species were recorded in total on both islands. Forty-one are strictly endemic to one of the two islands, 16 are endemic to the South Indian Ocean Province, and only three were recorded on other sub-Antarctic islands. Beetles and more particularly weevils are the most characteristic group of the fauna of these islands: they include 35 species of which 89% are native and 66% are endemic. One third of the species (30 of 94) are non-indigenous species now naturalized. We discuss these results in terms of biogeography, ecological disharmony and impact of biological invasions.</t>
  </si>
  <si>
    <t>[Hulle, Maurice] Inst Natl Rech Agr Alimentat &amp; Environm, IGEPP, UMR 1349, F-35653 Le Rheu, France; [Vernon, Philippe] Univ Rennes, CNRS, Stn Biol, UMR 6553,EcoBio, F-35380 Paimpont, France</t>
  </si>
  <si>
    <t>INRAE; Centre National de la Recherche Scientifique (CNRS); CNRS - Institute of Ecology &amp; Environment (INEE)</t>
  </si>
  <si>
    <t>Hullé, M (corresponding author), Inst Natl Rech Agr Alimentat &amp; Environm, IGEPP, UMR 1349, F-35653 Le Rheu, France.</t>
  </si>
  <si>
    <t>French Polar Institute (IPEV, programme 136 Subanteco); French National Center for Scientific Research (CNRS, Zone Atelier de Recherche sur l'Environnement antarctique et subantarctique)</t>
  </si>
  <si>
    <t>This research was supported by the French Polar Institute (IPEV, programme 136 Subanteco) and the French National Center for Scientific Research (CNRS, Zone Atelier de Recherche sur l'Environnement antarctique et subantarctique). We thank Steven Chown and Sylvain Hugel for their insightful comments and suggestions. We also thank Christelle Buchard and Romain Georges for their help in samples management and identification as well as all the young scientific volunteers who helped during fieldwork.</t>
  </si>
  <si>
    <t>PUBLICATIONS SCIENTIFIQUES DU MUSEUM, PARIS</t>
  </si>
  <si>
    <t>PARIS CEDEX 05</t>
  </si>
  <si>
    <t>CP 39-57, RUE CUVIER, F-75231 PARIS CEDEX 05, FRANCE</t>
  </si>
  <si>
    <t>1280-9551</t>
  </si>
  <si>
    <t>1638-9387</t>
  </si>
  <si>
    <t>Zoosystema</t>
  </si>
  <si>
    <t>10.5252/zoosystema2021v43a22</t>
  </si>
  <si>
    <t>US0IM</t>
  </si>
  <si>
    <t>WOS:000697121100001</t>
  </si>
  <si>
    <t>Mohrmann, M; Heuzé, C; Swart, S</t>
  </si>
  <si>
    <t>Mohrmann, Martin; Heuze, Celine; Swart, Sebastiaan</t>
  </si>
  <si>
    <t>Southern Ocean polynyas in CMIP6 models</t>
  </si>
  <si>
    <t>EARTH SYSTEM MODEL; WEDDELL SEA POLYNYA; DEEP CONVECTION; CLIMATE; ICE; WATER; VARIABILITY; CIRCULATION; SENSITIVITY; ANTARCTICA</t>
  </si>
  <si>
    <t>Polynyas facilitate air-sea fluxes, impacting climate-relevant properties such as sea ice formation and deep water production. Despite their importance, polynyas have been poorly represented in past generations of climate models. Here we present a method to track the presence, frequency and spatial distribution of polynyas in the Southern Ocean in 27 models participating in the Climate Model Intercomparison Project Phase 6 (CMIP6) and two satellite-based sea ice products. Only half of the 27 models form openwater polynyas (OWPs), and most underestimate their area. As in satellite observations, three models show episodes of high OWP activity separated by decades of no OWP, while other models unrealistically create OWPs nearly every year. In contrast, the coastal polynya area is overestimated in most models, with the least accurate representations occurring in the models with the coarsest horizontal resolution. We show that the presence or absence of OWPs is linked to changes in the regional hydrography, specifically the linkages between polynya activity with deep water convection and/or the shoaling of the upper water column thermocline. Models with an accurate Antarctic Circumpolar Current transport and wind stress curl have too frequent OWPs. Biases in polynya representation continue to exist in climate models, which has an impact on the regional ocean circulation and ventilation that should be addressed. However, emerging iceberg discharge schemes, more adequate vertical grid type or overflow parameterisation are anticipated to improve polynya representations and associated climate prediction in the future.</t>
  </si>
  <si>
    <t>[Mohrmann, Martin; Swart, Sebastiaan] Univ Gothenburg, Dept Marine Sci, Gothenburg, Sweden; [Heuze, Celine] Univ Gothenburg, Dept Earth Sci, Gothenburg, Sweden; [Swart, Sebastiaan] Univ Cape Town, Dept Oceanog, Rondebosch, South Africa</t>
  </si>
  <si>
    <t>University of Gothenburg; University of Gothenburg; University of Cape Town</t>
  </si>
  <si>
    <t>Mohrmann, M (corresponding author), Univ Gothenburg, Dept Marine Sci, Gothenburg, Sweden.</t>
  </si>
  <si>
    <t>martin.mohrmann@gu.se</t>
  </si>
  <si>
    <t>Heuzé, Céline/U-5058-2017; Swart, Sebastiaan/U-5498-2017</t>
  </si>
  <si>
    <t>Heuzé, Céline/0000-0002-8850-5868; Mohrmann, Martin/0000-0001-8056-4866</t>
  </si>
  <si>
    <t>Swedish National Space Agency [164/18]; Swedish Research Council [VR 2019-04400, VR 2018-03859]; Wallenberg Academy Fellowship [WAF 2015.0186]; STINT-NRF Mobility Grant; NRF-SANAP [SNA170522231782]; Oceanography Marks Foundation at GU; Swedish Research Council [2018-03859, 2019-04400] Funding Source: Swedish Research Council</t>
  </si>
  <si>
    <t>Swedish National Space Agency(Swedish National Space Agency (SNSA)); Swedish Research Council(Swedish Research Council); Wallenberg Academy Fellowship; STINT-NRF Mobility Grant; NRF-SANAP; Oceanography Marks Foundation at GU; Swedish Research Council(Swedish Research Council)</t>
  </si>
  <si>
    <t>We acknowledge the support from the Oceanography Marks Foundation (Knut J:son Mark) at GU for financial support of PhD studies. Celine Heuze is funded by the Swedish National Space Agency (164/18) and the Swedish Research Council (VR 2018-03859). Sebastiaan Swart acknowledges support from the following grants: Wallenberg Academy Fellowship (WAF 2015.0186), Swedish Research Council (VR 2019-04400), STINT-NRF Mobility Grant and NRF-SANAP (SNA170522231782).</t>
  </si>
  <si>
    <t>10.5194/tc-15-4281-2021</t>
  </si>
  <si>
    <t>UP5HY</t>
  </si>
  <si>
    <t>WOS:000695412200001</t>
  </si>
  <si>
    <t>Wege, M; Salas, L; LaRue, M</t>
  </si>
  <si>
    <t>Wege, Mia; Salas, Leo; LaRue, Michelle</t>
  </si>
  <si>
    <t>Ice matters: Life-history strategies of two Antarctic seals dictate climate change eventualities in the Weddell Sea</t>
  </si>
  <si>
    <t>breeding season; conservation management; crabeater seal; ensemble machine learning; Southern Ocean; species distribution modelling; Weddell Seal</t>
  </si>
  <si>
    <t>CRAB-EATER SEALS; MARINE MAMMALS; ROSS SEA; DIET; PENGUIN; WATER; SPECIALIZATION; ADAPTATION; ECOSYSTEMS</t>
  </si>
  <si>
    <t>The impacts of climate change in Antarctica and the Southern Ocean are not uniform and ice-obligate species with dissimilar life-history characteristics will likely respond differently to their changing ecosystems. We use a unique data set of Weddell Leptonychotes weddellii and crabeater seals' (CESs) Lobodon carcinophaga breeding season distribution in the Weddell Sea, determined from satellite imagery. We contrast the theoretical climate impacts on both ice-obligate predators who differ in life-history characteristics: CESs are highly specialized Antarctic krill Euphausia superba predators and breed in the seasonal pack ice; Weddell seals (WESs) are generalist predators and breed on comparatively stable fast ice. We used presence-absence data and a suite of remotely sensed environmental variables to build habitat models. Each of the environmental predictors is multiplied by a 'climate change score' based on known responses to climate change to create a 'change importance product'. Results show CESs are more sensitive to climate change than WESs. Crabeater seals prefer to breed close to krill, and the compounding effects of changing sea ice concentrations and sea surface temperatures, the proximity to krill and abundance of stable breeding ice, can influence their post-breeding foraging success and ultimately their future breeding success. But in contrast to the Ross Sea, here WESs prefer to breed closer to larger colonies of emperor penguins (Aptenodytes forsteri). This suggests that the Weddell Sea may currently be prey-abundant, allowing the only two air-breathing Antarctic silverfish predators (Pleuragramma antarctica) (WESs and emperor penguins) to breed closer to each other. This is the first basin-scale, region-specific comparison of breeding season habitat in these two key Antarctic predators based on real-world data to compare climate change responses. This work shows that broad-brush, basin-scale approaches to understanding species-specific responses to climate change are not always appropriate, and regional models are needed-especially when designing marine protected areas.</t>
  </si>
  <si>
    <t>[Wege, Mia; LaRue, Michelle] Univ Canterbury, Sch Earth &amp; Environm, Gateway Antarct, Christchurch, New Zealand; [Wege, Mia] Univ Pretoria, Dept Zool &amp; Entomol, Pretoria, South Africa; [Salas, Leo] Point Blue Conservat Sci, Petaluma, CA USA; [LaRue, Michelle] Univ Minnesota, Dept Earth &amp; Environm Sci, Minneapolis, MN USA</t>
  </si>
  <si>
    <t>University of Canterbury; University of Pretoria; University of Minnesota System; University of Minnesota Twin Cities</t>
  </si>
  <si>
    <t>Wege, M (corresponding author), Univ Canterbury, Sch Earth &amp; Environm, Gateway Antarct, Christchurch, New Zealand.;Wege, M (corresponding author), Univ Pretoria, Dept Zool &amp; Entomol, Pretoria, South Africa.</t>
  </si>
  <si>
    <t>mia.wege@gmail.com</t>
  </si>
  <si>
    <t>Wege, Mia/B-1103-2016</t>
  </si>
  <si>
    <t>Wege, Mia/0000-0002-9022-3069</t>
  </si>
  <si>
    <t>Pew Charitable Trusts; National Science Foundation [1543311]</t>
  </si>
  <si>
    <t>Pew Charitable Trusts; National Science Foundation(National Science Foundation (NSF))</t>
  </si>
  <si>
    <t>Pew Charitable Trusts; National Science Foundation, Grant/Award Number: 1543311</t>
  </si>
  <si>
    <t>10.1111/gcb.15828</t>
  </si>
  <si>
    <t>WOS:000693685800001</t>
  </si>
  <si>
    <t>Roig-Oliver, M; Douthe, C; Bota, J; Flexas, J</t>
  </si>
  <si>
    <t>Roig-Oliver, Margalida; Douthe, Cyril; Bota, Josefina; Flexas, Jaume</t>
  </si>
  <si>
    <t>Cell wall thickness and composition are related to photosynthesis in Antarctic mosses</t>
  </si>
  <si>
    <t>PHYSIOLOGIA PLANTARUM</t>
  </si>
  <si>
    <t>MESOPHYLL CONDUCTANCE; BRYOPHYTES; EVOLUTION; DIVERSITY; PHYLOGENY; DIFFUSION; POLYSACCHARIDE; PTERIDOPHYTES; SYSTEMS; LEAVES</t>
  </si>
  <si>
    <t>Cell wall thickness (T-cw) has been proposed as an important anatomical trait that could determine photosynthesis through land plants' phylogeny, bryophytes being the plant group presenting the thickest walls and the lowest photosynthetic rates. Also, it has recently been suggested that cell wall composition may have the potential to influence both thickness and mesophyll conductance (g(m)), representing a novel trait that could ultimately affect photosynthesis. However, only a few studies in spermatophytes have demonstrated this issue. In order to explore the role of cell wall composition in determining both T-cw and g(m) in mosses, we tested six species grown under field conditions in Antarctica. We performed gas exchange and chlorophyll fluorescence measurements, an anatomical characterization, and a quantitative analysis of cell wall main composition (i.e., cellulose, hemicelluloses and pectins) in these six species. We found the photosynthetic rates to vary between the species, and they also presented differences in anatomical characteristics and in cell wall composition. Whilst g(m) correlated negatively with T-cw and pectins content, a positive relationship between T-cw and pectins emerged, suggesting that pectins could contribute to determine cell wall porosity. Although our results do not allow us to provide conclusive statements, we suggest for the first time that cell wall composition-with pectins playing a key role-could strongly influence T-cw and g(m) in Antarctic mosses, ultimately defining photosynthesis.</t>
  </si>
  <si>
    <t>[Roig-Oliver, Margalida; Douthe, Cyril; Bota, Josefina; Flexas, Jaume] Univ Illes Balears UIB, INAGEA, Res Grp Plant Biol Mediterranean Condit, Dept Biol, Carretera Valldemossa Km 7-5, Palma De Mallorca 07122, Illes Balears, Spain; [Flexas, Jaume] King Abdulaziz Univ, Jeddah, Saudi Arabia</t>
  </si>
  <si>
    <t>Universitat de les Illes Balears; King Abdulaziz University</t>
  </si>
  <si>
    <t>Roig-Oliver, M (corresponding author), Univ Illes Balears UIB, INAGEA, Res Grp Plant Biol Mediterranean Condit, Dept Biol, Carretera Valldemossa Km 7-5, Palma De Mallorca 07122, Illes Balears, Spain.</t>
  </si>
  <si>
    <t>margaroig93@gmail.com</t>
  </si>
  <si>
    <t>Flexas, Jaume/C-1898-2012; Douthe, Cyril/K-2080-2016; Bota, Josefina/A-3725-2015</t>
  </si>
  <si>
    <t>Roig-Oliver, Margalida/0000-0002-8727-2564; Bota, Josefina/0000-0001-7039-7638</t>
  </si>
  <si>
    <t>Ministerio de Economia y Competitividad [FPU16/01544, PGC2018-093824-B-C41]</t>
  </si>
  <si>
    <t>Ministerio de Economia y Competitividad(Spanish Government)</t>
  </si>
  <si>
    <t>Ministerio de Economia y Competitividad, Grant/Award Numbers: FPU16/01544, PGC2018-093824-B-C41</t>
  </si>
  <si>
    <t>0031-9317</t>
  </si>
  <si>
    <t>1399-3054</t>
  </si>
  <si>
    <t>PHYSIOL PLANTARUM</t>
  </si>
  <si>
    <t>Physiol. Plant.</t>
  </si>
  <si>
    <t>10.1111/ppl.13533</t>
  </si>
  <si>
    <t>XE4DU</t>
  </si>
  <si>
    <t>WOS:000693394800001</t>
  </si>
  <si>
    <t>Patterson, JD; Aydin, M; Crotwell, AM; Pétron, G; Severinghaus, JP; Krummel, PB; Langenfelds, RL; Saltzman, ES</t>
  </si>
  <si>
    <t>Patterson, John D.; Aydin, Murat; Crotwell, Andrew M.; Petron, Gabrielle; Severinghaus, Jeffrey P.; Krummel, Paul B.; Langenfelds, Ray L.; Saltzman, Eric S.</t>
  </si>
  <si>
    <t>H2 in Antarctic firn air: Atmospheric reconstructions and implications for anthropogenic emissions</t>
  </si>
  <si>
    <t>atmospheric hydrogen; firn air; Antarctica; H-2 emissions</t>
  </si>
  <si>
    <t>ROAD TRANSPORTATION SECTOR; MOLECULAR-HYDROGEN H-2; CARBON-MONOXIDE; GAS CONCENTRATIONS; MODEL; CHEMISTRY; METHANE; IMPACT; ICE; CO</t>
  </si>
  <si>
    <t>The atmospheric history of molecular hydrogen (H2) from 1852 to 2003 was reconstructed from measurements of firn air collected at Megadunes, Antarctica. The reconstruction shows that H2 levels in the southern hemisphere were roughly constant near 330 parts per billion (ppb; nmol H2 mol-1 air) during the mid to late 1800s. Over the twentieth century, H2 levels rose by about 70% to 550 ppb. The reconstruction shows good agreement with the H2 atmospheric history based on firn air measurements from the South Pole. The broad trends in atmospheric H2 over the twentieth century can be explained by increased methane oxidation and anthropogenic emissions. The H2 rise shows no evidence of deceleration during the last quarter of the twentieth century despite an expected reduction in automotive emissions following more stringent regulations. During the late twentieth century, atmospheric CO levels decreased due to a reduction in automotive emissions. It is surprising that atmospheric H2 did not respond similarly as automotive exhaust is thought to be the dominant source of anthropogenic H2. The monotonic late twentieth century rise in H2 levels is consistent with late twentieth-century flask air measurements from high southern latitudes. An additional unknown source of H2 is needed to explain twentieth-century trends in atmospheric H2 and to resolve the discrepancy between bottom-up and top-down estimates of the anthropogenic source term. The firn air-based atmospheric history of H2 provides a baseline from which to assess human impact on the H2 cycle over the last 150 y and validate models that will be used to project future trends in atmospheric composition as H2 becomes a more common energy source.</t>
  </si>
  <si>
    <t>[Patterson, John D.; Aydin, Murat; Saltzman, Eric S.] Univ Calif Irvine, Dept Earth Syst Sci, Irvine, CA 92697 USA; [Crotwell, Andrew M.; Petron, Gabrielle] NOAA, Global Monitoring Lab, Boulder, CO 80305 USA; [Crotwell, Andrew M.; Petron, Gabrielle] Univ Colorado, Cooperat Inst Res Environm Sci, Boulder, CO 80309 USA; [Severinghaus, Jeffrey P.] Univ Calif San Diego, Scripps Inst Oceanog, La Jolla, CA 92037 USA; [Krummel, Paul B.; Langenfelds, Ray L.] CSIRO, Climate Sci Ctr, Oceans &amp; Atmosphere, Aspendale, Vic 3195, Australia; [Saltzman, Eric S.] Univ Calif Irvine, Dept Chem, Irvine, CA 92697 USA</t>
  </si>
  <si>
    <t>University of California System; University of California Irvine; National Oceanic Atmospheric Admin (NOAA) - USA; University of Colorado System; University of Colorado Boulder; University of California System; University of California San Diego; Scripps Institution of Oceanography; Commonwealth Scientific &amp; Industrial Research Organisation (CSIRO); University of California System; University of California Irvine</t>
  </si>
  <si>
    <t>Patterson, JD (corresponding author), Univ Calif Irvine, Dept Earth Syst Sci, Irvine, CA 92697 USA.</t>
  </si>
  <si>
    <t>jdpatter@uci.edu</t>
  </si>
  <si>
    <t>Petron, Gabrielle/AAN-5133-2020; Krummel, Paul B/A-4293-2013; Crotwell, Andrew/AAP-1740-2020; Langenfelds, Ray/B-5381-2012</t>
  </si>
  <si>
    <t>Petron, Gabrielle/0000-0002-7458-5852; Krummel, Paul B/0000-0002-4884-3678; Crotwell, Andrew/0000-0002-1998-085X; Patterson, John/0000-0001-5527-9553; Severinghaus, Jeffrey/0000-0001-8883-3119; Langenfelds, Ray/0000-0003-4890-2049</t>
  </si>
  <si>
    <t>NSF [OPP-1907974]</t>
  </si>
  <si>
    <t>This research was supported by the NSF (OPP-1907974).</t>
  </si>
  <si>
    <t>e2103335118</t>
  </si>
  <si>
    <t>10.1073/pnas.2103335118</t>
  </si>
  <si>
    <t>UO4ZZ</t>
  </si>
  <si>
    <t>Green Published, Bronze, Green Submitted</t>
  </si>
  <si>
    <t>WOS:000694705600003</t>
  </si>
  <si>
    <t>Messaoud, JH; Thibault, N; Bomou, B; Adatte, T; Monkenbusch, J; Spangenberg, JE; Aljahdali, MH; Yaich, C</t>
  </si>
  <si>
    <t>Messaoud, Jihede Haj; Thibault, Nicolas; Bomou, Brahimsamba; Adatte, Thierry; Monkenbusch, Johannes; Spangenberg, Jorge E.; Aljahdali, Mohammed H.; Yaich, Chokri</t>
  </si>
  <si>
    <t>Integrated stratigraphy of the middle-upper Eocene Souar Formation (Tunisian dorsal): Implications for the Middle Eocene Climatic Optimum (MECO) in the SW Neo-Tethys</t>
  </si>
  <si>
    <t>Bayesian modelling; X-ray diffraction; Global warming; Calcareous nannofossils; Carbon isotope stratigraphy; X-ray fluorescence</t>
  </si>
  <si>
    <t>CALCAREOUS NANNOFOSSIL BIOSTRATIGRAPHY; CONTESSA HIGHWAY SECTION; ALANO SECTION; DEPOSITIONAL ENVIRONMENT; SEQUENCE STRATIGRAPHY; ANTARCTIC GLACIATION; CALCITE COMPENSATION; PALEOGENE; EVOLUTION; RECORD</t>
  </si>
  <si>
    <t>Calcareous nannofossil biostratigraphy and carbon-isotope stratigraphy on bulk organics of the middle-upper Eocene Souar Formation (Tunisia) allow for a refined stratigraphy of this interval in the southwestern Neo-Tethys margin. The Souar Formation represents the deepest sedimentary deposits of the central northern Tunisian Basin and was only dated previously by coarse data on planktonic foraminifera. Together with our new data, a correlation is proposed to previous Tunisian records of the Halk El Menzal carbonate platform to the NE and shallow-water deposits of central Tunisia to the SW, which leads us to the erection of a synthetic stratigraphic chart of the middle-upper Eocene in central and northeastern Tunisia. Our results allow for a review of the accurate position of the Lutetian / Bartonian and the Bartonian / Priabonian stage boundaries in Tunisia relative to calcareous nannofossil biohorizons. We apply Bayesian statistics to build our age-depth model which points to a hiatus in the Lutetian (CNE12 Zone) that we relate to the middle Lutetian regressive sequence leading to the Lu-4 M-cycle. Radiolarian-rich sediments and cherts of the late Lutetian and early Bartonian are interpreted as a response to an increase in productivity, tied to the seasonal upwelling of nutrient-rich waters. Correlation to other sections in Tunisia highlights the strong contrast in facies between the carbonate-rich sequences of the edges of the dorsal and the silica-rich deposition in the Souar Formation. This contrast is particularly pronounced in the interval before and across the Middle Eocene Climatic Optimum (MECO) characterized by a maximum of nummulitic carbonate production on the platform and a minimum of carbonate production in the deep basinal parts of the Tunisian dorsal, rather dominated by silica-rich sediments.</t>
  </si>
  <si>
    <t>[Messaoud, Jihede Haj; Thibault, Nicolas; Monkenbusch, Johannes] Univ Copenhagen, Dept Geosci &amp; Nat Resource Management, Oster Voldgade 10, DK-1350 Copenhagen C, Denmark; [Messaoud, Jihede Haj] King Abdullah Univ Sci &amp; Technol, Ali I Al Naimi Petr Engn Res Ctr, Thuwal, Saudi Arabia; [Bomou, Brahimsamba; Adatte, Thierry] Univ Lausanne, Inst Earth Sci ISTE, CH-1015 Lausanne, Switzerland; [Spangenberg, Jorge E.] Univ Lausanne, Inst Earth Surface Dynam IDYST, CH-1015 Lausanne, Switzerland; [Aljahdali, Mohammed H.] King Abdulaziz Univ, Fac Marine Sci, Marine Geol Dept, Jeddah 21589, Saudi Arabia; [Yaich, Chokri] Univ Sfax, Sfax Natl Sch Engineers, Lab Sediment Dynam &amp; Environm, PB 1173, Sfax 3038, Tunisia; [Messaoud, Jihede Haj; Yaich, Chokri] Univ Sfax, Sfax Natl Engn Sch, PB 1178,Soukra Rd Km 4,Rd Airport Km 0-5, Sfax 3038, Tunisia</t>
  </si>
  <si>
    <t>University of Copenhagen; King Abdullah University of Science &amp; Technology; University of Lausanne; University of Lausanne; King Abdulaziz University; Universite de Sfax; Ecole Nationale dIngenieurs de Sfax (ENIS); Universite de Sfax; Ecole Nationale dIngenieurs de Sfax (ENIS)</t>
  </si>
  <si>
    <t>Messaoud, JH (corresponding author), Univ Copenhagen, Dept Geosci &amp; Nat Resource Management, Oster Voldgade 10, DK-1350 Copenhagen C, Denmark.</t>
  </si>
  <si>
    <t>jhm@ign.ku.dk; nt@ign.ku.dk; brahimsamba.bomou@unil.ch; thierry.adatte@unil.ch; jomo@ign.ku.dk; Jorge.Spangenberg@unil.ch; maljahdli@kau.edu.sa</t>
  </si>
  <si>
    <t>Thibault, Nicolas/B-1106-2013; Aljahdali, Mohammed H./C-8319-2019</t>
  </si>
  <si>
    <t>Thibault, Nicolas/0000-0003-4147-5531; Haj messaoud, Jihede/0000-0002-6825-7051; Spangenberg, Jorge E./0000-0001-8636-6414; Monkenbusch, Johannes/0000-0002-0833-836X</t>
  </si>
  <si>
    <t>University of Copenhagen; IGN International Academy program</t>
  </si>
  <si>
    <t>Funding for this study was ensured through internal funds from the University of Copenhagen allocated to J.H.M. via the double-degree Ph.D. program. T.A. and N.T. also acknowledge the IGN International Academy program that facilitated collaboration between KU and Lausanne.</t>
  </si>
  <si>
    <t>10.1016/j.palaeo.2021.110639</t>
  </si>
  <si>
    <t>WC3QA</t>
  </si>
  <si>
    <t>WOS:000704173300011</t>
  </si>
  <si>
    <t>Patterson, QM; Kraberger, S; Martin, DP; Shero, MR; Beltran, RS; Kirkham, AL; Aleamotu'a, M; Ainley, DG; Kim, S; Burns, JM; Varsani, A</t>
  </si>
  <si>
    <t>Patterson, Quinn M.; Kraberger, Simona; Martin, Darren P.; Shero, Michelle R.; Beltran, Roxanne S.; Kirkham, Amy L.; Aleamotu'a, Maketalena; Ainley, David G.; Kim, Stacy; Burns, Jennifer M.; Varsani, Arvind</t>
  </si>
  <si>
    <t>Circoviruses and cycloviruses identified in Weddell seal fecal samples from McMurdo Sound, Antarctica</t>
  </si>
  <si>
    <t>INFECTION GENETICS AND EVOLUTION</t>
  </si>
  <si>
    <t>Circoviridae; Weddell seals; Pinnipeds; ssDNA virus</t>
  </si>
  <si>
    <t>VIRUS; METAGENOMICS; PERFORMANCE; MODELS; TYPE-2; DIET</t>
  </si>
  <si>
    <t>Circoviridae is a family of circular single-stranded DNA viruses whose members infect a wide variety of hosts. While well characterized in avian and mammalian hosts, little is known about circoviruses associated with Antarctic animals. From 48 Weddell seal (Leptonychotes weddellii) fecal samples collected on the sea ice in McMurdo between Nov 2014 and Dec 2014, we identified and determined the genomes of novel viruses that fall within two genera of the family Circoviridae, i.e. Circovirus (n = 7) and Cyclovirus (n = 45). We named these viruses as werosea circovirus (WerCV) and werosea cyclovirus (WerCyV). The genomes of WerCV and WerCyV share similar to 63-64% genome-wide pairwise identity with classified circoviruses and cycloviruses, respectively. Based on the species demarcation threshold of 80% for members of the Circoviridae, the genomes of WerCV and WerCyV represent new species in their respective genera. Evidence indicated recombination in five of the 45 WerCyV genomes identified in this study. These are the first circoviruses found associated with Antarctic pinnipeds, adding to those recently identified associated with Ad ' elie (Pygoscelis adeliae) and chinstrap penguins (P. antarcticus).</t>
  </si>
  <si>
    <t>[Patterson, Quinn M.; Kraberger, Simona; Varsani, Arvind] Arizona State Univ, Biodesign Ctr Fundamental &amp; Appl Microbiom, Ctr Evolut &amp; Med, Sch Life Sci, Tempe, AZ 85287 USA; [Martin, Darren P.] Univ Cape Town, Inst Infect Dis &amp; Mol Med, Dept Integrat Biomed Sci, Computat Biol Div, ZA-7925 Observatory, South Africa; [Shero, Michelle R.] Woods Hole Oceanog Inst, Dept Biol, 266 Woods Hole Rd, Woods Hole, MA 02543 USA; [Beltran, Roxanne S.] Univ Calif Santa Cruz, Dept Ecol &amp; Evolutionary Biol, 130 McAllister Way, Santa Cruz, CA 95060 USA; [Kirkham, Amy L.] Univ Alaska Fairbanks, Coll Fisheries &amp; Ocean Sci, 17101 Point Lena Loop Rd, Juneau, AK 99801 USA; [Aleamotu'a, Maketalena] Univ Newcastle, Sch Environm &amp; Life Sci, Callaghan, NSW 2308, Australia; [Ainley, David G.] HT Harvey &amp; Associates, Los Gatos, CA 95032 USA; [Kim, Stacy] Moss Landing Marine Labs, POB 450, Moss Landing, CA 95039 USA; [Burns, Jennifer M.] Texas Tech Univ, Dept Biol Sci, Lubbock, TX 79409 USA; [Varsani, Arvind] Univ Cape Town, Dept Integrat Biomed Sci, Struct Biol Res Unit, ZA-7925 Cape Town, South Africa</t>
  </si>
  <si>
    <t>Arizona State University; Arizona State University-Tempe; University of Cape Town; Woods Hole Oceanographic Institution; University of California System; University of California Santa Cruz; University of Alaska System; University of Alaska Fairbanks; University of Newcastle; Moss Landing Marine Laboratories; Texas Tech University System; Texas Tech University; University of Cape Town</t>
  </si>
  <si>
    <t>Varsani, A (corresponding author), Arizona State Univ, Biodesign Ctr Fundamental &amp; Appl Microbiom, Ctr Evolut &amp; Med, Sch Life Sci, Tempe, AZ 85287 USA.;Burns, JM (corresponding author), Texas Tech Univ, Dept Biol Sci, Lubbock, TX 79409 USA.</t>
  </si>
  <si>
    <t>Jenn.Burns@ttu.edu; arvind.varsani@asu.edu</t>
  </si>
  <si>
    <t>Martin, Darren P/C-4599-2008; Kirkham, Amy/GWQ-6306-2022; Martin, Darren/ABE-3614-2021; Varsani, Arvind/JOZ-5299-2023</t>
  </si>
  <si>
    <t>Varsani, Arvind/0000-0003-4111-2415</t>
  </si>
  <si>
    <t>US National Science Foundation (NSF) [ANT-1246463, ANT-0944411, ANT-1935870, ANT-1947040]; US Antarctic Program; NSF [ANT-0944747]; Institutional Development Awards (IDeA) Networks of Biomedical Research Excellence Assistantships from the National Institute of General Medical Sciences of the National Institutes of Health [P20GM103395]</t>
  </si>
  <si>
    <t>US National Science Foundation (NSF)(National Science Foundation (NSF)); US Antarctic Program; NSF(National Science Foundation (NSF)); Institutional Development Awards (IDeA) Networks of Biomedical Research Excellence Assistantships from the National Institute of General Medical Sciences of the National Institutes of Health</t>
  </si>
  <si>
    <t>David G Ainley is supported by the US National Science Foundation (NSF; ANT-0944411) . Arvind is supported by the US National Science Foundation (NSF; ANT-1935870, ANT-1947040) All the samples were collected with logistics supplied from the US Antarctic Program. Stacy Kim was supported by NSF ANT-0944747. Jennifer Burns and Michelle Shero were supported by the US National Science Foundation (NSF; ANT-1246463) . Any opinions, findings, and conclusions or recommen-dations expressed in this material are those of the authors and do not necessarily reflect the views of the National Science Foundation. Amy Kirkham and Roxanne Beltran were supported by Institutional Devel-opment Awards (IDeA) Networks of Biomedical Research Excellence Assistantships (grant number P20GM103395) from the National Insti-tute of General Medical Sciences of the National Institutes of Health. The content is solely the responsibility of the authors and does not neces-sarily reflect the official views of the NIH. All the wet bench molecular work and sequencing was supported by philanthropic funds from Arvind Varsani.</t>
  </si>
  <si>
    <t>1567-1348</t>
  </si>
  <si>
    <t>1567-7257</t>
  </si>
  <si>
    <t>INFECT GENET EVOL</t>
  </si>
  <si>
    <t>Infect. Genet. Evol.</t>
  </si>
  <si>
    <t>10.1016/j.meegid.2021.105070</t>
  </si>
  <si>
    <t>Infectious Diseases</t>
  </si>
  <si>
    <t>UR8GO</t>
  </si>
  <si>
    <t>WOS:000696980900007</t>
  </si>
  <si>
    <t>Graham, TDJ; Morris, RL; Strain, EMA; Swearer, SE</t>
  </si>
  <si>
    <t>Graham, Tristan D. J.; Morris, Rebecca L.; Strain, Elisabeth M. A.; Swearer, Stephen E.</t>
  </si>
  <si>
    <t>Identifying key factors for transplantation success in the restoration of kelp (Ecklonia radiata) beds</t>
  </si>
  <si>
    <t>RESTORATION ECOLOGY</t>
  </si>
  <si>
    <t>canopy-forming; Ecklonia radiata; kelp restoration; macroalgae; transplant</t>
  </si>
  <si>
    <t>CANOPY; LAMINARIALES; SURVIVAL; PHAEOPHYCEAE; POPULATIONS; MORPHOLOGY; DECLINE; GROWTH; FLOW</t>
  </si>
  <si>
    <t>Kelp beds are a defining feature of temperate reefs worldwide, playing a fundamental role as ecosystem engineers and primary producers. Overgrazing by the native sea urchin Heliocidaris erythrogramma has driven a phase shift from kelp beds of Ecklonia radiata to barrens across much of Port Phillip Bay, Victoria. Here, we present the results of a transplant experiment, which took juvenile E. radiata sporophytes from a source reef and attached them with silicon tubing to basalt tiles. Following an initial localized cull, we monitored the development and survival of individual E. radiata to investigate the drivers of loss during transplantation, including disturbance (control vs. procedural control), receiving environment (kelp canopy vs. no canopy), and translocation site (within vs. between reefs). We also investigated the role of holdfast reattachment and developmental stage on kelp survival. Sixty-nine percent of the kelp transplants survived over the 17 weeks, with no increased loss resulting from transplantation to a reef 41 km away. We observed high survival of transplants in the absence of ongoing urchin exclusion. Furthermore, the provision of a canopy is not necessary and may result in adverse impacts on survival and development of juvenile sporophyte transplants presumably through competition for light. Individuals at the collection location (controls) were unlikely to survive to maturity suggesting their removal for transplanting is likely to have minimal impact on the kelp population of the donor reef. The methods used could be feasibly upscaled for rehabilitating or restoring kelp beds both in Port Phillip Bay and elsewhere.</t>
  </si>
  <si>
    <t>[Graham, Tristan D. J.; Morris, Rebecca L.; Strain, Elisabeth M. A.; Swearer, Stephen E.] Univ Melbourne, Natl Ctr Coasts &amp; Climate NCCC, Sch BioSci, Parkville, Vic 3010, Australia; [Strain, Elisabeth M. A.] Univ Tasmania, Inst Marine &amp; Antarctic Sci IMAS, Hobart, Tas 7001, Australia</t>
  </si>
  <si>
    <t>University of Melbourne; University of Tasmania</t>
  </si>
  <si>
    <t>Graham, TDJ (corresponding author), Univ Melbourne, Natl Ctr Coasts &amp; Climate NCCC, Sch BioSci, Parkville, Vic 3010, Australia.</t>
  </si>
  <si>
    <t>tristan.graham@unimelb.edu.au</t>
  </si>
  <si>
    <t>Swearer, Stephen/X-4882-2018; Graham, Tristan David John/IAM-6791-2023; Morris, Rebecca/AAB-3364-2020; Strain, Elisabeth/U-3520-2017</t>
  </si>
  <si>
    <t>Swearer, Stephen/0000-0001-6381-9943; Graham, Tristan David John/0000-0001-8272-0594;</t>
  </si>
  <si>
    <t>Australian Government Research Training Program (RTP) Scholarship; Victorian Government through the Department of Environment, Land, Water, and Planning's Port Phillip Bay Fund; National Centre for Coasts and Climate (NCCC) through the Earth Systems and Climate Change Hub by the Australian Government's National Environmental Science Program (NESP)</t>
  </si>
  <si>
    <t>Australian Government Research Training Program (RTP) Scholarship(Australian GovernmentDepartment of Industry, Innovation and Science); Victorian Government through the Department of Environment, Land, Water, and Planning's Port Phillip Bay Fund; National Centre for Coasts and Climate (NCCC) through the Earth Systems and Climate Change Hub by the Australian Government's National Environmental Science Program (NESP)</t>
  </si>
  <si>
    <t>This research was supported by an Australian Government Research Training Program (RTP) Scholarship, and by the Victorian Government through the Department of Environment, Land, Water, and Planning's Port Phillip Bay Fund. The National Centre for Coasts and Climate (NCCC) is funded through the Earth Systems and Climate Change Hub by the Australian Government's National Environmental Science Program (NESP). A special thanks to the NCCC team for help with diving, Juan Manuel Valero-Rodriguez for help in the field and lab, and Graham Hepworth from the University of Melbourne Statistical Consulting Centre for assistance with statistical analysis.</t>
  </si>
  <si>
    <t>1061-2971</t>
  </si>
  <si>
    <t>1526-100X</t>
  </si>
  <si>
    <t>RESTOR ECOL</t>
  </si>
  <si>
    <t>Restor. Ecol.</t>
  </si>
  <si>
    <t>e13536</t>
  </si>
  <si>
    <t>10.1111/rec.13536</t>
  </si>
  <si>
    <t>0T4YI</t>
  </si>
  <si>
    <t>WOS:000693923600001</t>
  </si>
  <si>
    <t>Friesen, CR; Wapstra, E; Olsson, M</t>
  </si>
  <si>
    <t>Friesen, Christopher R.; Wapstra, Erik; Olsson, Mats</t>
  </si>
  <si>
    <t>Of telomeres and temperature: Measuring thermal effects on telomeres in ectothermic animals</t>
  </si>
  <si>
    <t>MOLECULAR ECOLOGY</t>
  </si>
  <si>
    <t>antioxidants; metabolism; mitochondrial function; oxidative stress; thermal performance curve</t>
  </si>
  <si>
    <t>MATERNAL BASKING BEHAVIOR; HISTORY TRADE-OFFS; OXIDATIVE STRESS; LIFE-HISTORY; GROWTH-RATE; THERMOREGULATORY BEHAVIOR; PHENOTYPIC PLASTICITY; ANTARCTIC ECTOTHERMS; UNCOUPLING PROTEIN; CLIMATE-CHANGE</t>
  </si>
  <si>
    <t>Ectotherms are classic models for understanding life-history tradeoffs, including the reproduction-somatic maintenance tradeoffs that may be reflected in telomere length and their dynamics. Importantly, life-history traits of ectotherms are tightly linked to their thermal environment, with diverse or synergistic mechanistic explanations underpinning the variation. Telomere dynamics potentially provide a mechanistic link that can be used to monitor thermal effects on individuals in response to climatic perturbations. Growth rate, age and developmental stage are all affected by temperature, which interacts with telomere dynamics in complex and intriguing ways. The physiological processes underpinning telomere dynamics can be visualized and understood using thermal performance curves (TPCs). TPCs reflect the evolutionary history and the thermal environment during an individual's ontogeny. Telomere maintenance should be enhanced at or near the thermal performance optimum of a species, population and individual. The thermal sensitivity of telomere dynamics should reflect the interacting TPCs of the processes underlying them. The key processes directly underpinning telomere dynamics are mitochondrial function (reactive oxygen production), antioxidant activity, telomerase activity and telomere endcap protein status. We argue that identifying TPCs for these processes will significantly help design robust, repeatable experiments and field studies of telomere dynamics in ectotherms. Conceptually, TPCs are a valuable framework to predict and interpret taxon- and population-specific telomere dynamics across thermal regimes. The literature of thermal effects on telomeres in ectotherms is sparse and mostly limited to vertebrates, but our conclusions and recommendations are relevant across ectothermic animals.</t>
  </si>
  <si>
    <t>[Friesen, Christopher R.; Olsson, Mats] Univ Wollongong, Sch Earth Atmospher &amp; Life Sci, Wollongong, NSW, Australia; [Friesen, Christopher R.] Univ Sydney, Sch Life &amp; Environm Sci, Sydney, NSW, Australia; [Wapstra, Erik] Univ Tasmania, Sch Nat Sci, Hobart, Tas, Australia; [Olsson, Mats] Univ Gothenburg, Dept Biol &amp; Environm Sci, Gothenburg, Sweden</t>
  </si>
  <si>
    <t>University of Wollongong; University of Sydney; University of Tasmania; University of Gothenburg</t>
  </si>
  <si>
    <t>Friesen, CR (corresponding author), Univ Wollongong, Sch Earth Atmospher &amp; Life Sci, Wollongong, NSW, Australia.</t>
  </si>
  <si>
    <t>cfriesen@uow.edu.au</t>
  </si>
  <si>
    <t>Friesen, Christopher R/A-7512-2019; Wapstra, Erik/J-7482-2014</t>
  </si>
  <si>
    <t>Olsson, Mats/0000-0002-4130-1323; Wapstra, Erik/0000-0002-2050-8026; Friesen, Christopher/0000-0001-5338-7454</t>
  </si>
  <si>
    <t>University of Wollongong Vice Chancellor's Postdoctoral Fellowship - University of Gothenburg; Swedish Science Council</t>
  </si>
  <si>
    <t>C. R.F. was funded on a University of Wollongong Vice Chancellor's Postdoctoral Fellowship. M.O. was funded by The University of Gothenburg and the Swedish Science Council. We also thank two anonymous reviews and the editors for helpful comments that significantly improved the manuscript.</t>
  </si>
  <si>
    <t>0962-1083</t>
  </si>
  <si>
    <t>1365-294X</t>
  </si>
  <si>
    <t>MOL ECOL</t>
  </si>
  <si>
    <t>Mol. Ecol.</t>
  </si>
  <si>
    <t>10.1111/mec.16154</t>
  </si>
  <si>
    <t>Biochemistry &amp; Molecular Biology; Ecology; Evolutionary Biology</t>
  </si>
  <si>
    <t>Biochemistry &amp; Molecular Biology; Environmental Sciences &amp; Ecology; Evolutionary Biology</t>
  </si>
  <si>
    <t>6L5PB</t>
  </si>
  <si>
    <t>WOS:000692731500001</t>
  </si>
  <si>
    <t>Jiang, S; Shi, GT; Cole-Dai, J; Zhao, Q; Li, YJ; Wang, DQ; Sun, B</t>
  </si>
  <si>
    <t>Jiang, Su; Shi, Guitao; Cole-Dai, Jihong; Zhao, Qian; Li, Yangjie; Wang, Dongqi; Sun, Bo</t>
  </si>
  <si>
    <t>Sources and sinks of perchlorate in soil in coastal ice-free areas of Antarctica</t>
  </si>
  <si>
    <t>Perchlorate; Atmospheric origin; Leaching; Soil; Antarctica</t>
  </si>
  <si>
    <t>NATURAL PERCHLORATE; ISOTOPIC COMPOSITION; ION CHROMATOGRAPHY; EAST ANTARCTICA; NITRATE; OXYGEN; REDUCTION; SNOW; BIODEGRADATION; (PER)CHLORATE</t>
  </si>
  <si>
    <t>Perchlorate (ClO4-), a persistent inorganic compound, has harmful effects on human health. Natural ClO4- is formed in the atmosphere and enters into the surface environment through deposition. However, the knowledge on the occurrence, spatial variability and sinks of natural ClO4- in different environments remains limited, especially in the polar regions. Here, we investigate the sources and sinks of ClO4- in soil collected in three ice-free areas in coastal Antarctica, where the research stations and wildlife colonies are mainly distributed. No statistically significant difference in ClO4- concentrations between sites near and away from the stations suggests that local human presence is not a significant source of ClO4- in soil. Concentrations of ClO4- in soil from wildlife colonies are not significantly higher than those from sites with no intense wildlife activities, indicating that wildlife activities have no significant influences on ClO4- in soil. Thus, atmospherically formed ClO4- is the main source for soil in Antarctica. In general, ClO4- concentrations (0.1-5.1 mu g kg(-1)) in soil in this study are much lower than those in the arid environments and comparable to those in the unsaturated zones. Leaching by snow meltwater may be the main sink for ClO4- in soil, and deeper depths for aqueous migration may contribute to the lower ClO4- concentrations in Antarctic surface soil compared to the values in the arid areas with low precipitation amount. Due to the biological origin of NO3-, no correlation between NO3- and ClO4- in soil is observed in this study, different from the observations in arid areas. In addition, no significant correlation is observed between organic matter contents and ClO4- concentrations in soil, suggesting that biological reduction is not an important sink for ClO4- in Antarctic soil.</t>
  </si>
  <si>
    <t>[Jiang, Su; Shi, Guitao; Zhao, Qian; Sun, Bo] Polar Res Inst China, MNR Key Lab Polar Sci, Shanghai 200136, Peoples R China; [Shi, Guitao; Zhao, Qian; Wang, Dongqi] East China Normal Univ, Sch Geog Sci, Key Lab Geog Informat Sci, 500 Dongchuan Rd, Shanghai 200241, Peoples R China; [Shi, Guitao; Zhao, Qian; Wang, Dongqi] East China Normal Univ, State Key Lab Estuarine &amp; Coastal Res, Shanghai 200241, Peoples R China; [Cole-Dai, Jihong] South Dakota State Univ, Avera Hlth &amp; Sci Ctr, Dept Chem &amp; Biochem, Box 2202, Brookings, SD 57007 USA; [Li, Yangjie] Minist Nat Resources, Key Lab Marine Ecosyst Dynam, Inst Oceanog 2, Hangzhou 310012, Peoples R China</t>
  </si>
  <si>
    <t>Polar Research Institute of China; East China Normal University; East China Normal University; South Dakota State University; Ministry of Natural Resources of the People's Republic of China</t>
  </si>
  <si>
    <t>Shi, GT (corresponding author), East China Normal Univ, Sch Geog Sci, Key Lab Geog Informat Sci, 500 Dongchuan Rd, Shanghai 200241, Peoples R China.</t>
  </si>
  <si>
    <t>gtshi@geo.ecnu.edu.cn</t>
  </si>
  <si>
    <t>sun, bo/JFA-9978-2023; zhao, qian/KHX-7368-2024; Wang, Dongqi/D-7754-2013; Cole-Dai, Jihong/B-2510-2009; Li, Yangjie/ABF-3407-2021</t>
  </si>
  <si>
    <t>Wang, Dongqi/0000-0002-7850-3834; Cole-Dai, Jihong/0000-0003-0921-5916; Jiang, Su/0000-0001-6712-7979</t>
  </si>
  <si>
    <t>National Key Research and Development Program of China [2019YFC1509103]; National Natural Science Foundation of China [41476169, 41922046]; U.S. National Science Foundation [1203533, 1443663]</t>
  </si>
  <si>
    <t>National Key Research and Development Program of China; National Natural Science Foundation of China(National Natural Science Foundation of China (NSFC)); U.S. National Science Foundation(National Science Foundation (NSF))</t>
  </si>
  <si>
    <t>This work was supported by the National Key Research and Development Program of China (2019YFC1509103) and National Natural Science Foundation of China (41476169, 41922046). J. Cole-Dai acknowledges financial support from the U.S. National Science Foundation (Awards 1203533 and 1443663).</t>
  </si>
  <si>
    <t>10.1016/j.catena.2021.105706</t>
  </si>
  <si>
    <t>WB0JX</t>
  </si>
  <si>
    <t>WOS:000703268900119</t>
  </si>
  <si>
    <t>Hook, SE; White, C; Ross, DJ</t>
  </si>
  <si>
    <t>Hook, Sharon E.; White, Camille; Ross, D. Jeffery</t>
  </si>
  <si>
    <t>A metatranscriptomic analysis of changing dynamics in the plankton communities adjacent to aquaculture leases in southern Tasmania, Australia</t>
  </si>
  <si>
    <t>Aquaculture; Ammonia; Nitrate; Transporters; Diatoms; Dinoflagellates</t>
  </si>
  <si>
    <t>GENE-EXPRESSION; PHYTOPLANKTON; ASSIMILATION; GENERATION; EVOLUTION; INSIGHTS</t>
  </si>
  <si>
    <t>Aquaculture releases nitrogen to the marine environment, potentially changing dynamics of local plankton populations and causing adverse impacts. Metatranscriptomics have been used to study planktonic nutrient cycles and community dynamics. We hypothesised that the metatranscriptome could be used to monitor changing phytoplankton physiology near leases. To test this hypothesis, opportunistic samples were collected from one oceanic location in winter and one estuarine location in spring and analysed via RNASeq. Transcriptomes from different locations were found to have little overlap, due to different community compositions in the oceanic and estuarine locations. Transcript function was similar at each location. Proximity to the salmon pen had little influence over the transcriptome at the estuarine location. In the oceanic environment, diatom-based activity decreased near pens and dinoflagellate-based activity increased as demonstrated through the abundance of carbon fixation and nitrogen-acquisition-related transcripts. Our initial results suggest that the use of the metatranscriptome in monitoring is promising.</t>
  </si>
  <si>
    <t>[Hook, Sharon E.] CSIRO Oceans &amp; Atmosphere, 3-4 Castray Esplanade, Hobart, Tas 7000, Australia; [White, Camille; Ross, D. Jeffery] Univ Tasmania, Inst Marine &amp; Antarctic Studies, Taroona, Tas, Australia</t>
  </si>
  <si>
    <t>Commonwealth Scientific &amp; Industrial Research Organisation (CSIRO); University of Tasmania</t>
  </si>
  <si>
    <t>Hook, SE (corresponding author), CSIRO Oceans &amp; Atmosphere, 3-4 Castray Esplanade, Hobart, Tas 7000, Australia.</t>
  </si>
  <si>
    <t>Sharon.Hook@csiro.au</t>
  </si>
  <si>
    <t>Hook, Sharon/D-9067-2011</t>
  </si>
  <si>
    <t>Hook, Sharon/0000-0002-0426-851X</t>
  </si>
  <si>
    <t>CSIRO Oceans and Atmosphere</t>
  </si>
  <si>
    <t>The authors would like to thank Abbie Smith, Sam Kruimink, Andrew Pender and James Hortle (University of Tasmania) for sample collection, Dion Frampton (CSIRO) for assistance with sample collection, and Lesley Clementson, Ruth Erikson, Kristen Karsh and Andrew Revill (CSIRO) for valuable discussions. Graeme Batley and Andrew Revill (CSIRO) provided comments on a previous version of this paper. Funding for this research was provided by CSIRO Oceans and Atmosphere. All data are available at: Hook, Sharon; Ross, Jeff; White, Camille (2020): Sequencing reads used in a metatranscriptomic analysis of changing dynamics in the plankton communities adjacent to aquaculture leases in southern Tasmania, Australia. v2. CSIRO. Data Collection. csiro:45585.</t>
  </si>
  <si>
    <t>10.1016/j.margen.2021.100858</t>
  </si>
  <si>
    <t>WC0LZ</t>
  </si>
  <si>
    <t>WOS:000703957000002</t>
  </si>
  <si>
    <t>Blythe, J; Baird, J; Bennett, N; Dale, G; Nash, KL; Pickering, G; Wabnitz, CCC</t>
  </si>
  <si>
    <t>Blythe, Jessica; Baird, Julia; Bennett, Nathan; Dale, Gillian; Nash, Kirsty L.; Pickering, Gary; Wabnitz, Colette C. C.</t>
  </si>
  <si>
    <t>Fostering ocean empathy through future scenarios</t>
  </si>
  <si>
    <t>PEOPLE AND NATURE</t>
  </si>
  <si>
    <t>empathy; oceans; scenarios; sustainability; transformations; virtual reality</t>
  </si>
  <si>
    <t>VIRTUAL-REALITY; CONSERVATION; CLIMATE; INTERVENTIONS; ENVIRONMENT; KNOWLEDGE; RESPONSES; BEHAVIOR; FICTION; IMPACT</t>
  </si>
  <si>
    <t>1. Empathy for nature is considered a prerequisite for sustainable interactions with the biosphere. Yet to date, empirical research on how to stimulate empathy remains scarce. 2. Here, we investigate whether future scenarios can promote greater empathy for the oceans. Using a pre-post empathy questionnaire, participants (N = 269) were presented with an optimistic or a pessimistic future scenario for the high seas in a virtual reality (VR) or written format. 3. Results showed that post-test empathy levels were significantly higher than pre-test levels, indicating that future scenarios fostered ocean empathy. We also find that the pessimistic scenario resulted in greater empathy levels compared to the optimistic scenario. Finally, we found no significant difference between the VR and written conditions and found that empathy scores significantly decreased 3 months after the initial intervention. 4. As one of the first studies to empirically demonstrate the influence of a purposeful intervention to build ocean empathy, this article makes critical contributions to advancing research on future scenarios and offers a novel approach for supporting ocean sustainability.</t>
  </si>
  <si>
    <t>[Blythe, Jessica; Baird, Julia; Dale, Gillian; Pickering, Gary] Brock Univ, Environm Sustainabil Res Ctr, St Catharines, ON, Canada; [Baird, Julia] Brock Univ, Dept Geog &amp; Tourism Studies, St Catharines, ON, Canada; [Baird, Julia; Pickering, Gary] Univ Sunshine Coast, Sustainabil Res Ctr, Maroochydore, Qld, Australia; [Bennett, Nathan] Peopled Seas Initiat, Vancouver, BC, Canada; [Nash, Kirsty L.] Univ Tasmania, Ctr Marine Socioecol, Hobart, Tas, Australia; [Nash, Kirsty L.] Univ Tasmania, Inst Marine &amp; Antarctic Studies, Hobart, Tas, Australia; [Pickering, Gary] Brock Univ, Dept Biol Sci, St Catharines, ON, Canada; [Pickering, Gary] Brock Univ, Dept Psychol, St Catharines, ON, Canada; [Wabnitz, Colette C. C.] Univ British Columbia, Inst Oceans &amp; Fisheries, Vancouver, BC, Canada; [Wabnitz, Colette C. C.] Stanford Univ, Stanford Ctr Ocean Solut, Stanford, CA 94305 USA</t>
  </si>
  <si>
    <t>Brock University; Brock University; University of the Sunshine Coast; University of Tasmania; University of Tasmania; Brock University; Brock University; University of British Columbia; Stanford University</t>
  </si>
  <si>
    <t>Blythe, J (corresponding author), Brock Univ, Environm Sustainabil Res Ctr, St Catharines, ON, Canada.</t>
  </si>
  <si>
    <t>jblythe2@brocku.ca</t>
  </si>
  <si>
    <t>Bennett, Nathan James/ABG-6787-2020; Nash, Kirsty L/B-5456-2015</t>
  </si>
  <si>
    <t>Bennett, Nathan James/0000-0003-4852-3401; Nash, Kirsty L/0000-0003-0976-3197; Pickering, Gary/0000-0001-5104-4968; Dale, Gillian/0000-0002-8505-087X; Blythe, Jessica/0000-0001-7604-6046</t>
  </si>
  <si>
    <t>Social Sciences and Humanities Research Council of Canada [430-2019-00970]</t>
  </si>
  <si>
    <t>Social Sciences and Humanities Research Council of Canada(Social Sciences and Humanities Research Council of Canada (SSHRC))</t>
  </si>
  <si>
    <t>Social Sciences and Humanities Research Council of Canada, Grant/Award Number: 430-2019-00970</t>
  </si>
  <si>
    <t>2575-8314</t>
  </si>
  <si>
    <t>PEOPLE NAT</t>
  </si>
  <si>
    <t>People Nat.</t>
  </si>
  <si>
    <t>10.1002/pan3.10253</t>
  </si>
  <si>
    <t>XK2WT</t>
  </si>
  <si>
    <t>WOS:000693777700001</t>
  </si>
  <si>
    <t>Feckan, M; Li, QX; Wang, JR</t>
  </si>
  <si>
    <t>Feckan, Michal; Li, Qixiang; Wang, JinRong</t>
  </si>
  <si>
    <t>Existence and Ulam-Hyers stability of positive solutions for a nonlinear model for the Antarctic Circumpolar Current</t>
  </si>
  <si>
    <t>MONATSHEFTE FUR MATHEMATIK</t>
  </si>
  <si>
    <t>Antarctic Circumpolar Current; Positive solution; Cone; Ulam-Hyers stability</t>
  </si>
  <si>
    <t>PURELY AZIMUTHAL FLOW; STEADY; WAVES</t>
  </si>
  <si>
    <t>In this paper, we study the existence of positive solutions for the nonlinear model of the Antarctic Circumpolar Current and analyze their Ulam-Hyers stability. By introducing some conditions on the ocean nonlinear vorticity function depending on other functions and initial values, we establish sufficient conditions to guarantee the existence, multiplicity, location and construction of positive solutions via the approach of fixed point theorem in cones, upper and lower solutions, and monotone method, respectively. Finally, we show the existence and uniqueness and Ulam-Hyers stability of positive solutions when the ocean nonlinear vorticity function has uniformly Lipschitz continuity.</t>
  </si>
  <si>
    <t>[Feckan, Michal] Comenius Univ, Fac Math Phys &amp; Informat, Dept Math Anal &amp; Numer Math, Bratislava 84248, Slovakia; [Feckan, Michal] Slovak Acad Sci, Math Inst, Stefanikova 49, Bratislava 81473, Slovakia; [Li, Qixiang; Wang, JinRong] Guizhou Univ, Dept Math, Guiyang 550025, Guizhou, Peoples R China; [Wang, JinRong] Qufu Normal Univ, Sch Math Sci, Qufu 273165, Shandong, Peoples R China</t>
  </si>
  <si>
    <t>Comenius University Bratislava; Slovak Academy of Sciences; Mathematical Institute, SAS; Guizhou University; Qufu Normal University</t>
  </si>
  <si>
    <t>Wang, JR (corresponding author), Guizhou Univ, Dept Math, Guiyang 550025, Guizhou, Peoples R China.;Wang, JR (corresponding author), Qufu Normal Univ, Sch Math Sci, Qufu 273165, Shandong, Peoples R China.</t>
  </si>
  <si>
    <t>Michal.Feckan@fmph.uniba.sk; liqixiang_19@163.com; jrwang@gzu.edu.cn</t>
  </si>
  <si>
    <t>Fečkan, Michal/T-4397-2018; Wang, JinRong/O-5745-2017</t>
  </si>
  <si>
    <t>Fečkan, Michal/0000-0002-7385-6737; Wang, JinRong/0000-0002-6642-1946; Li, Qixiang/0000-0002-1205-5127</t>
  </si>
  <si>
    <t>National Natural Science Foundation of China [12161015]; Training Object of High Level and Innovative Talents of Guizhou Province [(2016)4006]; Major Research Project of Innovative Group in Guizhou Education Department [[2018]012]; Slovak Research and Development Agency [APVV-18-0308]; Slovak Grant Agency VEGA [1/0358/20, 2/0127/20]</t>
  </si>
  <si>
    <t>National Natural Science Foundation of China(National Natural Science Foundation of China (NSFC)); Training Object of High Level and Innovative Talents of Guizhou Province; Major Research Project of Innovative Group in Guizhou Education Department; Slovak Research and Development Agency(Slovak Research and Development Agency); Slovak Grant Agency VEGA(Vedecka grantova agentura MSVVaS SR a SAV (VEGA))</t>
  </si>
  <si>
    <t>This work is partially supported by the National Natural Science Foundation of China (12161015), Training Object of High Level and Innovative Talents of Guizhou Province ((2016)4006), Major Research Project of Innovative Group in Guizhou Education Department ([2018]012), the Slovak Research and Development Agency under the contract No. APVV-18-0308, and by the Slovak Grant Agency VEGA No. 1/0358/20 and No. 2/0127/20.</t>
  </si>
  <si>
    <t>SPRINGER WIEN</t>
  </si>
  <si>
    <t>WIEN</t>
  </si>
  <si>
    <t>SACHSENPLATZ 4-6, PO BOX 89, A-1201 WIEN, AUSTRIA</t>
  </si>
  <si>
    <t>0026-9255</t>
  </si>
  <si>
    <t>1436-5081</t>
  </si>
  <si>
    <t>MONATSH MATH</t>
  </si>
  <si>
    <t>Mon.heft. Math.</t>
  </si>
  <si>
    <t>10.1007/s00605-021-01618-5</t>
  </si>
  <si>
    <t>ZM2EW</t>
  </si>
  <si>
    <t>WOS:000693351000001</t>
  </si>
  <si>
    <t>McCain, JSP; Allen, AE; Bertrand, EM</t>
  </si>
  <si>
    <t>McCain, J. Scott P.; Allen, Andrew E.; Bertrand, Erin M.</t>
  </si>
  <si>
    <t>Proteomic traits vary across taxa in a coastal Antarctic phytoplankton bloom</t>
  </si>
  <si>
    <t>ISME JOURNAL</t>
  </si>
  <si>
    <t>ROSS SEA ANTARCTICA; RESOURCE-ALLOCATION; GENE-EXPRESSION; GROWTH; IDENTIFICATION; ALGORITHM; GENOMICS; DIATOMS; OPENMS; LIGHT</t>
  </si>
  <si>
    <t>Production and use of proteins is under strong selection in microbes, but it is unclear how proteome-level traits relate to ecological strategies. We identified and quantified proteomic traits of eukaryotic microbes and bacteria through an Antarctic phytoplankton bloom using in situ metaproteomics. Different taxa, rather than different environmental conditions, formed distinct clusters based on their ribosomal and photosynthetic proteomic proportions, and we propose that these characteristics relate to ecological differences. We defined and used a proteomic proxy for regulatory cost, which showed that SAR11 had the lowest regulatory cost of any taxa we observed at our summertime Southern Ocean study site. Haptophytes had lower regulatory cost than diatoms, which may underpin haptophyte-to-diatom bloom progression in the Ross Sea. We were able to make these proteomic trait inferences by assessing various sources of bias in metaproteomics, providing practical recommendations for researchers in the field. We have quantified several proteomic traits (ribosomal and photosynthetic proteomic proportions, regulatory cost) in eukaryotic and bacterial taxa, which can then be incorporated into trait-based models of microbial communities that reflect resource allocation strategies.</t>
  </si>
  <si>
    <t>[McCain, J. Scott P.; Bertrand, Erin M.] Dalhousie Univ, Dept Biol, Halifax, NS, Canada; [McCain, J. Scott P.; Bertrand, Erin M.] Dalhousie Univ, Ctr Comparat Genom &amp; Evolutionary Bioinformat, Halifax, NS, Canada; [Allen, Andrew E.] J Craig Venter Inst, Microbial &amp; Environm Genom, La Jolla, CA USA; [Allen, Andrew E.] Univ Calif San Diego, Scripps Inst Oceanog, Integrat Oceanog Div, La Jolla, CA 92093 USA</t>
  </si>
  <si>
    <t>Dalhousie University; Dalhousie University; J. Craig Venter Institute; University of California System; University of California San Diego; Scripps Institution of Oceanography</t>
  </si>
  <si>
    <t>Bertrand, EM (corresponding author), Dalhousie Univ, Dept Biol, Halifax, NS, Canada.;Bertrand, EM (corresponding author), Dalhousie Univ, Ctr Comparat Genom &amp; Evolutionary Bioinformat, Halifax, NS, Canada.</t>
  </si>
  <si>
    <t>erin.bertrand@dal.ca</t>
  </si>
  <si>
    <t>Bertrand, Erin/0000-0002-5950-6810</t>
  </si>
  <si>
    <t>NSERC CREATE Transatlantic Ocean System Science and Technology Program; Killam Scholarship; NSERC Discovery Grant [RGPIN-2015-05009]; Simons Foundation [504183]; NSERC CGS Postgraduate scholarship; Gordon and Betty Moore Foundation [GBMF3828]; [NSF-ANT-1043671]; [NSF-OCE-1756884]</t>
  </si>
  <si>
    <t>NSERC CREATE Transatlantic Ocean System Science and Technology Program(Natural Sciences and Engineering Research Council of Canada (NSERC)); Killam Scholarship; NSERC Discovery Grant(Natural Sciences and Engineering Research Council of Canada (NSERC)); Simons Foundation; NSERC CGS Postgraduate scholarship(Natural Sciences and Engineering Research Council of Canada (NSERC)); Gordon and Betty Moore Foundation(Gordon and Betty Moore Foundation); ;</t>
  </si>
  <si>
    <t>We thank David Hutchins, Jeff Hoffman, Rachel Sipler, Jenna Spackeen, and Deborah Bronk, as well as Antarctic Support Contractors and the staff at McMurdo Station for support in the field. We are grateful to Alejandro Cohen from the Dalhousie Biological Mass Spectrometry Core Facility for assistance with mass spectrometry data acquisition, to Noor Youssef for discussion, and to Hong Zheng, John P. McCrow, and Pratap Venepally for contributions to sample purification, preparation for sequencing, and computational annotation. JSPM acknowledges support from the NSERC CREATE Transatlantic Ocean System Science and Technology Program and the Killam Scholarship. This project was financially supported by NSERC Discovery Grant RGPIN-2015-05009 to EMB, Simons Foundation Grant 504183 to EMB, an NSERC CGS Postgraduate scholarship to JSPM, NSF-ANT-1043671, NSF-OCE-1756884, and Gordon and Betty Moore Foundation Grant GBMF3828 to AEA.</t>
  </si>
  <si>
    <t>1751-7362</t>
  </si>
  <si>
    <t>1751-7370</t>
  </si>
  <si>
    <t>ISME J</t>
  </si>
  <si>
    <t>ISME J.</t>
  </si>
  <si>
    <t>10.1038/s41396-021-01084-9</t>
  </si>
  <si>
    <t>Ecology; Microbiology</t>
  </si>
  <si>
    <t>Environmental Sciences &amp; Ecology; Microbiology</t>
  </si>
  <si>
    <t>YK2YX</t>
  </si>
  <si>
    <t>hybrid, Green Submitted, Green Published</t>
  </si>
  <si>
    <t>WOS:000693351100001</t>
  </si>
  <si>
    <t>Ovsepyan, E; Ivanova, E; Tetard, M; Max, L; Tiedemann, R</t>
  </si>
  <si>
    <t>Ovsepyan, Ekaterina; Ivanova, Elena; Tetard, Martin; Max, Lars; Tiedemann, Ralf</t>
  </si>
  <si>
    <t>Intermediate- and Deep-Water Oxygenation History in the Subarctic North Pacific During the Last Deglacial Period</t>
  </si>
  <si>
    <t>oxygen minimum zone; ocean circulation; sea-surface bioproductivity; teleconnections; transfer function; benthic foraminifers; North Pacific; Southern Ocean</t>
  </si>
  <si>
    <t>SANTA-BARBARA BASIN; BERING-SEA; SOUTHERN-OCEAN; MINIMUM ZONE; ATMOSPHERIC CO2; NORTHWESTERN PACIFIC; BENTHIC FORAMINIFERA; DISSOLVED-OXYGEN; GLACIAL OCEAN; ICE-CORE</t>
  </si>
  <si>
    <t>Deglacial dissolved oxygen concentrations were semiquantitatively estimated for intermediate and deep waters in the western Bering Sea using the benthic foraminiferal-based transfer function developed by Tetard et al. (2017), Tetard et al. (2021a). Benthic foraminiferal assemblages were analyzed from two sediment cores, SO201-2-85KL (963 m below sea level (mbsl), the intermediate-water core) and SO201-2-77KL (2,163 mbsl, the deep-water core), collected from the Shirshov Ridge in the western Bering Sea. Intermediate waters were characterized by an oxygen content of &amp; SIM;2.0 ml L-1 or more during the Last Glacial Maximum (LGM)-Heinrich 1 (H1), around 0.15 ml L-1 during the middle Bolling/Allerod (B/A)-Early Holocene (EH), and a slight increase in [O-2] (&amp; SIM;0.20 ml L-1) at the beginning of the Younger Dryas (YD) mbsl. Deep-water oxygen concentrations ranged from 0.9 to 2.5 ml L-1 during the LGM-H1, hovered around 0.08 ml L-1 at the onset of B/A, and were within the 0.30-0.85 ml L-1 range from the middle B/A to the first half of YD and the 1.0-1.7 ml L-1 range from the middle to late Holocene. The [O-2] variations remind the delta O-18 NGRIP record thereby providing evidence for a link between the Bering Sea oxygenation at intermediate depths and the deglacial North Atlantic climate. Changes in the deep-water oxygen concentrations mostly resemble the deglacial dynamics of the Southern Ocean upwelling intensity which is supposed to be closely coupled with the Antarctic climate variability. This coherence suggests that deglacial deep-water [O-2] variations were primarily controlled by changes in the circulation of southern-sourced waters. Nevertheless, the signal from the south at the deeper site might be amplified by the Northern Hemisphere climate warming via an increase in sea-surface bioproductivity during the B/A and EH. A semi-enclosed position of the Bering Sea and sea-level oscillations might significantly contribute to the magnitude of oxygenation changes in the study area during the last deglaciation. Interregional correlation of different proxy data from a wide range of water depths indicates that deglacial oxygenation changes were more pronounced in the Bering and Okhotsk marginal seas than along the open-ocean continental margin and abyssal settings of the North Pacific.</t>
  </si>
  <si>
    <t>[Ovsepyan, Ekaterina; Ivanova, Elena] Russian Acad Sci, Shirshov Inst Oceanol, Moscow, Russia; [Tetard, Martin] Aix Marseille Univ, Coll France, CEREGE, INRAE,IRD, Aix En Provence, France; [Max, Lars] Univ Bremen, MARUM Ctr Manne Environm Sci, Bremen, Germany; [Max, Lars; Tiedemann, Ralf] Helmholtz Ctr Polar &amp; Marine Res, Alfred Wegener Inst, Bremerhaven, Germany</t>
  </si>
  <si>
    <t>Russian Academy of Sciences; Shirshov Institute of Oceanology; INRAE; Universite PSL; College de France; Aix-Marseille Universite; Institut de Recherche pour le Developpement (IRD); University of Bremen; Helmholtz Association; Alfred Wegener Institute, Helmholtz Centre for Polar &amp; Marine Research</t>
  </si>
  <si>
    <t>Ovsepyan, E (corresponding author), Russian Acad Sci, Shirshov Inst Oceanol, Moscow, Russia.</t>
  </si>
  <si>
    <t>eovsepyan@ocean.ru</t>
  </si>
  <si>
    <t>Ovsepyan, Ekaterina A./M-7743-2016</t>
  </si>
  <si>
    <t>SEP 3</t>
  </si>
  <si>
    <t>10.3389/feart.2021.638069</t>
  </si>
  <si>
    <t>XF8GN</t>
  </si>
  <si>
    <t>WOS:000724305000001</t>
  </si>
  <si>
    <t>Qiu, ZY; Zhang, LL; Xiang, R; Zhang, Q; Hu, BQ; Chen, MH</t>
  </si>
  <si>
    <t>Qiu, Zhuoya; Zhang, Lanlan; Xiang, Rong; Zhang, Qiang; Hu, Bangqi; Chen, Muhong</t>
  </si>
  <si>
    <t>Biodiversity of radiolarians in surface sediments from the East Indian Ocean and their implication for water masses</t>
  </si>
  <si>
    <t>East indian ocean; Surface sediments; Radiolaria; Equatorial undercurrent; Intermediate-deep water</t>
  </si>
  <si>
    <t>SOUTH CHINA SEA; ANTARCTIC INTERMEDIATE WATER; POLYCYSTINE RADIOLARIANS; NORTHWEST PACIFIC; BIOGENIC SILICA; NORTHERN; CIRCULATION; BAY; BENGAL; CLASSIFICATION</t>
  </si>
  <si>
    <t>This study focused on radiolarian diversity in the deep-sea sediments of the East Indian Ocean (EIO) to demonstrate their potential as a paleoceanogrpahic proxy. Radiolarians are in general abundant in deep-sea sediment of the EIO. However, around Sri Lanka, their abundances decrease potentially because of terrigenous matter inputs. The significantly high abundance of radiolarians in the northern Ninety-East Ridge (NER) area may indicate high levels of productivity in the overlying waters. Further, redundancy analysis (RDA) demonstrated that, in the EIO, Tetrapyle group and Phorticium group mainly inhabited the water depth between 25 m and 100 m; Acanthodesmia vinculata, Botryostrobus scutum and Dictyocoryne group can potentially be a nutrient indicator; the distribution of Didymocryrtis tetrathalamus tetrathalamus may possibly be related to the dissolved oxygen concentration; the distributions of Cornutella profunda, Cycladophora sp., and Cycladophora cornuta may be mainly influenced by flows of AAIW. Our analysis documented that the distribution of an Equatorial Undercurrent (EUC) assemblage, including A. vinculata, B. scutum, Dictyocryphalus hispidus, D. tetrathalamus tetrathalamus, Tetrapyle group, Phorticium group and Dictyocoryne group, may be controlled by the eastward-flowing EUC with the salinity-high and dissolved oxygen-rich waters. The Antarctic Intermediate Water may also affect the distribution pattern of Intermediate-Deep assemblage, including Cycladophora sp., C. profunda, Clathrocanium diadema and C. cornuta, with a possible northward spread along the NER into the southern Bay of Bengal.</t>
  </si>
  <si>
    <t>[Qiu, Zhuoya; Zhang, Lanlan; Xiang, Rong; Zhang, Qiang; Chen, Muhong] Chinese Acad Sci, Innovat Acad South China Sea Ecol &amp; Environm Engn, South China Sea Inst Oceanol, Key Lab Ocean &amp; Marginal Sea Geol, Guangzhou 510301, Peoples R China; [Qiu, Zhuoya; Zhang, Lanlan; Xiang, Rong; Zhang, Qiang] Southern Marine Sci &amp; Engn Guangdong Lab, Guangzhou 511458, Peoples R China; [Qiu, Zhuoya] Univ Chinese Acad Sci, Beijing 100049, Peoples R China; [Hu, Bangqi] Qingdao Inst Marine Geol, Qingdao 266071, Peoples R China</t>
  </si>
  <si>
    <t>Chinese Academy of Sciences; South China Sea Institute of Oceanology, CAS; Southern Marine Science &amp; Engineering Guangdong Laboratory; Southern Marine Science &amp; Engineering Guangdong Laboratory (Guangzhou); Chinese Academy of Sciences; University of Chinese Academy of Sciences, CAS; China Geological Survey; Qingdao Institute of Marine Geology (QIMG)</t>
  </si>
  <si>
    <t>Zhang, LL (corresponding author), Chinese Acad Sci, South China Sea Inst Oceanol, Key Lab Ocean &amp; Marginal Sea Geol, Guangzhou 510301, Peoples R China.</t>
  </si>
  <si>
    <t>llzhang@scsio.ac.cn</t>
  </si>
  <si>
    <t>Chen, MuHong/ACJ-6131-2022; XIANG, Rong/B-2589-2008</t>
  </si>
  <si>
    <t>Chen, MuHong/0000-0001-6516-1073; XIANG, Rong/0000-0002-4775-4948</t>
  </si>
  <si>
    <t>National Natural Science Foundation of China [41876056, 41576044]; Key Special Project for Introduced Talents Team of Southern Marine Science and Engineering Guangdong Laboratory (Guangzhou) [GML2019ZD0206]; China Geological Survey Project [DD20191010]; National Natural Science Foundation of China Shiptime Sharing Project [41049903, 41149908, 41349909, 41449910, 41549910, 41649910]</t>
  </si>
  <si>
    <t>National Natural Science Foundation of China(National Natural Science Foundation of China (NSFC)); Key Special Project for Introduced Talents Team of Southern Marine Science and Engineering Guangdong Laboratory (Guangzhou); China Geological Survey Project(China Geological Survey); National Natural Science Foundation of China Shiptime Sharing Project</t>
  </si>
  <si>
    <t>This project was funded by the National Natural Science Foundation of China (Grant Nos. 41876056 and 41576044), the Key Special Project for Introduced Talents Team of Southern Marine Science and Engineering Guangdong Laboratory (Guangzhou) (GML2019ZD0206), and the China Geological Survey Project (Grant No. DD20191010). We would also like to thank the National Natural Science Foundation of China Shiptime Sharing Project (Nos. 41049903, 41149908, 41349909, 41449910, 41549910 and 41649910) for collecting the samples.</t>
  </si>
  <si>
    <t>10.1016/j.dsr.2021.103625</t>
  </si>
  <si>
    <t>WG2VS</t>
  </si>
  <si>
    <t>WOS:000706856000001</t>
  </si>
  <si>
    <t>Lavers, JL; Hutton, I; Bond, AL</t>
  </si>
  <si>
    <t>Lavers, Jennifer L.; Hutton, Ian; Bond, Alexander L.</t>
  </si>
  <si>
    <t>Temporal trends and interannual variation in plastic ingestion by Flesh-footed Shearwaters (Ardenna carneipes) using different sampling strategies*</t>
  </si>
  <si>
    <t>Body condition; Long-term trends; Marine debris; Monitoring program; Tasman Sea</t>
  </si>
  <si>
    <t>WEDGE-TAILED SHEARWATERS; PUFFINUS-CARNEIPES; BODY CONDITION; SEABIRDS; DEBRIS; MASS; ISLANDS; PETREL; INDICATORS; SIMILARITY</t>
  </si>
  <si>
    <t>The world's oceans are under increasing pressure from anthropogenic activities, including significant and rapidly increasing inputs of plastic pollution. Seabirds have long been considered sentinels of ocean health, providing data on physical and chemical pollutants in their marine habitats. However, long-term data that can elucidate important patterns and changes in seabird exposure to marine pollutants are relatively limited but are urgently needed to identify and support effective policy measures to reduce plastic waste. Using up to 12 years of data, we examined the benefits and challenges of different approaches to monitoring plastic in seabirds, and the relationship between plastic and body size parameters. We found the mass and number of ingested plastics per bird varied by sample type, with lavage and road-kill birds containing less plastic (9.17-9.33 pieces/bird) than beachwashed or otherwise dead birds (27.62-32.22 pieces/bird). Beached birds therefore provide data for only a particular subset of the population, mostly individuals in poorer body condition, including those severely impacted by plastics. In addition, the mass and number of plastics in beached birds were more variable, therefore the sample sizes required to detect a change in plastic over time were significantly larger than for lavaged birds. The use of lavaged birds is rare in studies of plastic ingestion due to ethical and methodological implications, and we recommend future work on ingested plastics should focus on sampling this group to ensure data are more representative of a population's overall exposure to plastics.</t>
  </si>
  <si>
    <t>[Lavers, Jennifer L.] Univ Tasmania, Inst Marine &amp; Antarctic Studies, 20 Castray Esplanade, Battery Point, Tas 7004, Australia; [Hutton, Ian] Lord Howe Isl Museum, POB 157, Lord Howe Isl, NSW 2898, Australia; [Bond, Alexander L.] Nat Hist Museum, Bird Grp, Dept Life Sci, Tring HP23 6AP, Herts, England</t>
  </si>
  <si>
    <t>University of Tasmania; Natural History Museum London</t>
  </si>
  <si>
    <t>Lavers, JL (corresponding author), Univ Tasmania, Inst Marine &amp; Antarctic Studies, 20 Castray Esplanade, Battery Point, Tas 7004, Australia.</t>
  </si>
  <si>
    <t>Jennifer.Lavers@utas.edu.au</t>
  </si>
  <si>
    <t>Bond, Alexander L/A-3786-2010; Lavers, Jennifer/O-4831-2017; Lavers, Jennifer/IWM-5417-2023</t>
  </si>
  <si>
    <t>Lavers, Jennifer/0000-0001-7596-6588; Bond, Alexander/0000-0003-2125-7238</t>
  </si>
  <si>
    <t>Detached Cultural Organization; Sea World Research &amp; Rescue Foundation [SWR/4/2015]; Sydney Sea Life Foundation; Natural History Museum; Trading Consultants Ltd.; W.V. Scott Charitable Trust</t>
  </si>
  <si>
    <t>Detached Cultural Organization; Sea World Research &amp; Rescue Foundation; Sydney Sea Life Foundation; Natural History Museum; Trading Consultants Ltd.; W.V. Scott Charitable Trust</t>
  </si>
  <si>
    <t>Special thanks to Detached Cultural Organization, Sea World Research &amp; Rescue Foundation (SWR/4/2015) , Sydney Sea Life Foun-dation, Natural History Museum, Trading Consultants Ltd (V. Wellington) , L. Brice, L. Mortensen, C. Noone, and the W.V. Scott Charitable Trust for providing funding for this project. Samples were collected with the permission of the Lord Howe Island Board (permit no. LHIB 07/12, 02/14, and 07/18) under the approval of the University of Tasmania Animal Ethics Committee (permit no. A10874, A11586, A13836, A16357, and A18480) and New South Wales Office of Envi-ronment &amp; Heritage (licence no. SL100619 and SL102382) . Logistical support was provided by the Australian Bird and Bat Banding Service and Lord Howe Island community, especially T. Adams, L. Brice, and J. &amp; C. Shick. Assistance in the field was provided by generous volunteers, particularly P. Clive, the Two Hands Project (S. Stuckenbrock &amp; P. Sharp) and members of the Adrift Lab team. Comments from three anonymous reviewers improved earlier drafts.</t>
  </si>
  <si>
    <t>10.1016/j.envpol.2021.118086</t>
  </si>
  <si>
    <t>UR5JC</t>
  </si>
  <si>
    <t>WOS:000696784600001</t>
  </si>
  <si>
    <t>Head, MJ</t>
  </si>
  <si>
    <t>Head, Martin J.</t>
  </si>
  <si>
    <t>Review of the Early-Middle Pleistocene boundary and Marine Isotope Stage 19</t>
  </si>
  <si>
    <t>PROGRESS IN EARTH AND PLANETARY SCIENCE</t>
  </si>
  <si>
    <t>Early-Middle Pleistocene; Quaternary; GSSP; MIS 19; Chiba</t>
  </si>
  <si>
    <t>MATUYAMA-BRUNHES BOUNDARY; CHIBA COMPOSITE SECTION; VALLE DI MANCHE; HIGH-RESOLUTION STRATIGRAPHY; GEOMAGNETIC POLARITY EPOCHS; MAGNETIZATION LOCK-IN; SELLERE SOUTHERN ALPS; MONTALBANO JONICO; CLIMATE VARIABILITY; KUROSHIO EXTENSION</t>
  </si>
  <si>
    <t>The Global Boundary Stratotype Section and Point (GSSP) defining the base of the Chibanian Stage and Middle Pleistocene Subseries at the Chiba section, Japan, was ratified on January 17, 2020. Although this completed a process initiated by the International Union for Quaternary Research in 1973, the term Middle Pleistocene had been in use since the 1860s. The Chiba GSSP occurs immediately below the top of Marine Isotope Substage (MIS) 19c and has an astronomical age of 774.1 ka. The Matuyama-Brunhes paleomagnetic reversal has a directional midpoint just 1.1 m above the GSSP and serves as the primary guide to the boundary. This reversal lies within the Early-Middle Pleistocene transition and has long been favoured to mark the base of the Middle Pleistocene. MIS 19 occurs within an interval of low-amplitude orbital eccentricity and was triggered by an obliquity cycle. It spans two insolation peaks resulting from precession minima and has a duration of similar to 28 to 33 kyr. MIS 19c begins similar to 791-787.5 ka, includes full interglacial conditions which lasted for similar to 8-12.5 kyr, and ends with glacial inception at similar to 774-777 ka. This inception has left an array of climatostratigraphic signals close to the Early-Middle Pleistocene boundary. MIS 19b-a contains a series of three or four interstadials often with rectangular-shaped waveforms and marked by abrupt (&lt; 200 year) transitions. Intervening stadials including the inception of glaciation are linked to the calving of ice sheets into the northern North Atlantic and consequent disruption of the Atlantic meridional overturning circulation (AMOC), which by means of the thermal bipolar seesaw caused phase-lagged warming events in the Antarctic. The coherence of stadial-interstadial oscillations during MIS 19b-a across the Asian-Pacific and North Atlantic-Mediterranean realms suggests AMOC-originated shifts in the Intertropical Convergence Zone and pacing by equatorial insolation forcing. Low-latitude monsoon dynamics appear to have amplified responses regionally although high-latitude teleconnections may also have played a role.</t>
  </si>
  <si>
    <t>[Head, Martin J.] Brock Univ, Dept Earth Sci, St Catharines, ON L2S 3A1, Canada</t>
  </si>
  <si>
    <t>Brock University</t>
  </si>
  <si>
    <t>Head, MJ (corresponding author), Brock Univ, Dept Earth Sci, St Catharines, ON L2S 3A1, Canada.</t>
  </si>
  <si>
    <t>mjhead@brocku.ca</t>
  </si>
  <si>
    <t>Natural Sciences and Engineering Research Council of Canada</t>
  </si>
  <si>
    <t>Natural Sciences and Engineering Research Council of Canada(Natural Sciences and Engineering Research Council of Canada (NSERC)CGIAR)</t>
  </si>
  <si>
    <t>This work was supported by a Natural Sciences and Engineering Research Council of Canada Discovery Grant to MJH.</t>
  </si>
  <si>
    <t>2197-4284</t>
  </si>
  <si>
    <t>PROG EARTH PLANET SC</t>
  </si>
  <si>
    <t>Prog. Earth Planet. Sci.</t>
  </si>
  <si>
    <t>10.1186/s40645-021-00439-2</t>
  </si>
  <si>
    <t>UN8FL</t>
  </si>
  <si>
    <t>WOS:000694245100001</t>
  </si>
  <si>
    <t>Jiang, Z; Alexander, B; Savarino, J; Erbland, J; Geng, L</t>
  </si>
  <si>
    <t>Jiang, Zhuang; Alexander, Becky; Savarino, Joel; Erbland, Joseph; Geng, Lei</t>
  </si>
  <si>
    <t>Impacts of the photo-driven post-depositional processing on snow nitrate and its isotopes at Summit, Greenland: a model-based study</t>
  </si>
  <si>
    <t>EAST ANTARCTIC PLATEAU; ICE-CORE; ATMOSPHERIC CHEMISTRY; LIGHT PENETRATION; NITROGEN ISOTOPES; REACTIVE NITROGEN; PEROXY-RADICALS; PART 2; NOX; CONSTRAINTS</t>
  </si>
  <si>
    <t>Atmospheric information embedded in ice-core nitrate is disturbed by post-depositional processing. Here we used a layered snow photochemical column model to explicitly investigate the effects of post-depositional processing on snow nitrate and its isotopes (delta N-15 and Delta O-17) at Summit, Greenland, where post-depositional processing was thought to be minimal due to the high snow accumulation rate. We found significant redistribution of nitrate in the upper snow-pack through photolysis, and up to 21% of nitrate was lost and/or redistributed after deposition. The model indicates post-depositional processing can reproduce much of the observed delta N-15 seasonality, while seasonal variations in delta N-15 of primary nitrate are needed to reconcile the timing of the lowest seasonal delta N-15. In contrast, post-depositional processing can only induce less than 2.1% seasonal Delta O-17 change, much smaller than the observation (9 %) that is ultimately determined by seasonal differences in nitrate formation pathway. Despite significant redistribution of snow nitrate in the photic zone and the associated effects on delta N-15 seasonality, the net annual effect of post-depositional processing is relatively small, suggesting preservation of atmospheric signals at the annual scale under the present Summit conditions. But at longer timescales when large changes in snow accumulation rate occur this post-depositional processing could become a major driver of the delta N-15 variability in ice-core nitrate.</t>
  </si>
  <si>
    <t>[Jiang, Zhuang; Geng, Lei] Univ Sci &amp; Technol China, Sch Earth &amp; Space Sci, Anhui Prov Key Lab Polar Environm &amp; Global Change, Hefei, Anhui, Peoples R China; [Alexander, Becky] Univ Washington, Dept Atmospher Sci, Seattle, WA 98195 USA; [Savarino, Joel; Erbland, Joseph] Univ Grenoble Alpes, Inst Geosci Environm, G INP, CNRS,IRD, Grenoble, France; [Geng, Lei] Qingdao Natl Lab Marine Sci &amp; Technol, Qingdao, Peoples R China; [Geng, Lei] Univ Sci &amp; Technol China, CAS Ctr Excellence Comparat Planetol, Hefei, Anhui, Peoples R China; [Geng, Lei] Univ Sci &amp; Technol China, Hefei Natl Lab Phys Sci Microscale, Hefei, Anhui, Peoples R China</t>
  </si>
  <si>
    <t>Chinese Academy of Sciences; University of Science &amp; Technology of China, CAS; University of Washington; University of Washington Seattle; Communaute Universite Grenoble Alpes; Universite Grenoble Alpes (UGA); Institut de Recherche pour le Developpement (IRD); Centre National de la Recherche Scientifique (CNRS); Laoshan Laboratory; Chinese Academy of Sciences; University of Science &amp; Technology of China, CAS; Chinese Academy of Sciences; University of Science &amp; Technology of China, CAS</t>
  </si>
  <si>
    <t>Geng, L (corresponding author), Univ Sci &amp; Technol China, Sch Earth &amp; Space Sci, Anhui Prov Key Lab Polar Environm &amp; Global Change, Hefei, Anhui, Peoples R China.;Geng, L (corresponding author), Qingdao Natl Lab Marine Sci &amp; Technol, Qingdao, Peoples R China.;Geng, L (corresponding author), Univ Sci &amp; Technol China, CAS Ctr Excellence Comparat Planetol, Hefei, Anhui, Peoples R China.;Geng, L (corresponding author), Univ Sci &amp; Technol China, Hefei Natl Lab Phys Sci Microscale, Hefei, Anhui, Peoples R China.</t>
  </si>
  <si>
    <t>genglei@ustc.edu.cn</t>
  </si>
  <si>
    <t>geng, lei/KEZ-8801-2024; Alexander, Becky/N-7048-2013; savarino, joel/H-9730-2012</t>
  </si>
  <si>
    <t>Alexander, Becky/0000-0001-9915-4621; Jiang, Zhuang/0000-0001-5692-8308; Erbland, Joseph/0000-0002-1186-1370; savarino, joel/0000-0002-6708-9623</t>
  </si>
  <si>
    <t>National Natural Science Foundation of China [41822605, 41871051, 41727901]; Fundamental Research Funds for Central Universities; Strategic Priority Research Program of Chinese Academy of Sciences [XDB 41000000]; National Key R&amp;D Program of China [2019YFC1509100, 2016YFA0302200]; French national programme LEFE/INSU; ANR of the French Agence Nationale de la Recherche [ANR-15-IDEX-02, ANR-16-CE01-0011-01]; NSF [PLR 1542723]</t>
  </si>
  <si>
    <t>National Natural Science Foundation of China(National Natural Science Foundation of China (NSFC)); Fundamental Research Funds for Central Universities(Fundamental Research Funds for the Central Universities); Strategic Priority Research Program of Chinese Academy of Sciences(Chinese Academy of Sciences); National Key R&amp;D Program of China; French national programme LEFE/INSU; ANR of the French Agence Nationale de la Recherche(Agence Nationale de la Recherche (ANR)); NSF(National Science Foundation (NSF))</t>
  </si>
  <si>
    <t>This research is funded by the National Natural Science Foundation of China (Awards: 41822605, 41871051 and 41727901), the Fundamental Research Funds for Central Universities, the Strategic Priority Research Program of Chinese Academy of Sciences (grant no. XDB 41000000), and the National Key R&amp;D Program of China (grant nos. 2019YFC1509100 and 2016YFA0302200). Support for Joel Savarino and Joseph Erbland was provided by the French national programme LEFE/INSU and the ANR grants ANR-15-IDEX-02 (project IDEX Universite Grenoble Alpes) and ANR-16-CE01-0011-01 (EAIIST project) of the French Agence Nationale de la Recherche. Becky Alexander was supported by the NSF (grant no. PLR 1542723).</t>
  </si>
  <si>
    <t>10.5194/tc-15-4207-2021</t>
  </si>
  <si>
    <t>UM1OO</t>
  </si>
  <si>
    <t>WOS:000693108300001</t>
  </si>
  <si>
    <t>Rosa, LH; Coelho, LD; Pinto, OHB; Carvalho-Silva, M; Convey, P; Rosa, CA; Câmara, PEAS</t>
  </si>
  <si>
    <t>Rosa, Luiz Henrique; Coelho, Livia da Costa; Bezerra Pinto, Otavio Henrique; Carvalho-Silva, Micheline; Convey, Peter; Rosa, Carlos Augusto; Camara, Paulo E. A. S.</t>
  </si>
  <si>
    <t>Ecological succession of fungal and bacterial communities in Antarctic mosses affected by a fairy ring disease</t>
  </si>
  <si>
    <t>Antarctica; Climate change; Environmental DNA; Metabarcoding; Plant diseases</t>
  </si>
  <si>
    <t>PIRIFORMOSPORA-INDICA; COMB. NOV.; GEN. NOV.; SP. NOV.; DIVERSITY; REAPPRAISAL; KNUFIA; ISLAND</t>
  </si>
  <si>
    <t>We evaluated fungal and bacterial diversity in an established moss carpet on King George Island, Antarctica, affected by 'fairy ring' disease using metabarcoding. A total of 127 fungal and 706 bacterial taxa were assigned. Ascomycota dominated the fungal assemblages, followed by Basidiomycota, Rozellomycota, Chytridiomycota, Mortierellomycota and Monoblepharomycota. The fungal community displayed high indices of diversity, richness and dominance, which increased from healthy through infected to dead moss samples. A range of fungal taxa were more abundant in dead rather than healthy or fairy ring moss samples. Bacterial diversity and richness were greatest in healthy moss and least within the infected fairy ring. The dominant prokaryotic phyla were Actinobacteriota, Proteobacteria, Bacteroidota and Cyanobacteria. Cyanophyceae sp., whilst consistently dominant, were less abundant in fairy ring samples. Our data confirmed the presence and abundance of a range of plant pathogenic fungi, supporting the hypothesis that the disease is linked with multiple fungal taxa. Further studies are required to characterise the interactions between plant pathogenic fungi and their host Antarctic mosses. Monitoring the dynamics of mutualist, phytopathogenic and decomposer microorganisms associated with moss carpets may provide bioindicators of moss health.</t>
  </si>
  <si>
    <t>[Rosa, Luiz Henrique; Coelho, Livia da Costa; Rosa, Carlos Augusto] Univ Fed Minas Gerais, Inst Ciencias Biol, Dept Microbiol, BR-31270901 Belo Horizonte, MG, Brazil; [Bezerra Pinto, Otavio Henrique] Univ Brasilia, Dept Biol Celular, Brasilia, DF, Brazil; [Carvalho-Silva, Micheline; Camara, Paulo E. A. S.] Univ Brasilia, Dept Bot, Brasilia, DF, Brazil; [Convey, Peter] NERC, British Antarctic Survey, Madingley Rd, Cambridge CB3 0ET, England; [Convey, Peter] Univ Johannesburg, Dept Zool, Johannesburg, South Africa</t>
  </si>
  <si>
    <t>Universidade Federal de Minas Gerais; Universidade de Brasilia; Universidade de Brasilia; UK Research &amp; Innovation (UKRI); Natural Environment Research Council (NERC); NERC British Antarctic Survey; University of Johannesburg</t>
  </si>
  <si>
    <t>Rosa, LH (corresponding author), Univ Fed Minas Gerais, Inst Ciencias Biol, Dept Microbiol, BR-31270901 Belo Horizonte, MG, Brazil.</t>
  </si>
  <si>
    <t>lhrosa@icb.ufmg.br</t>
  </si>
  <si>
    <t>Convey, Peter/0000-0001-8497-9903; Camara, Paulo/0000-0002-3944-996X; Pinto, Otavio/0000-0002-8382-2987</t>
  </si>
  <si>
    <t>PROANTAR CNPq [442258/2018-6]; INCT Criosfera; CAPES; FNDCT; NERC; FAPEMIG; NERC [bas0100036] Funding Source: UKRI</t>
  </si>
  <si>
    <t>PROANTAR CNPq(Conselho Nacional de Desenvolvimento Cientifico e Tecnologico (CNPQ)); INCT Criosfera; CAPES(Coordenacao de Aperfeicoamento de Pessoal de Nivel Superior (CAPES)); FNDCT; NERC(UK Research &amp; Innovation (UKRI)Natural Environment Research Council (NERC)); FAPEMIG(Fundacao de Amparo a Pesquisa do Estado de Minas Gerais (FAPEMIG)); NERC(UK Research &amp; Innovation (UKRI)Natural Environment Research Council (NERC))</t>
  </si>
  <si>
    <t>We acknowledge financial support from PROANTAR CNPq (442258/2018-6), INCT Criosfera, FAPEMIG, CAPES and FNDCT. P. Convey is supported by NERC core funding to the British Antarctic Survey's 'Biodiversity, Evolution and Adaptation' Team. We also thank congresswoman Jo Moraes and the Biological Sciences Institute of the University of Brasilia</t>
  </si>
  <si>
    <t>10.1007/s00792-021-01240-1</t>
  </si>
  <si>
    <t>WOS:000692624100001</t>
  </si>
  <si>
    <t>Zhang, FY; Pang, XP; Lei, RB; Zhai, MX; Zhao, X; Cai, QQ</t>
  </si>
  <si>
    <t>Zhang, Fanyi; Pang, Xiaoping; Lei, Ruibo; Zhai, Mengxi; Zhao, Xi; Cai, Qiongqiong</t>
  </si>
  <si>
    <t>Arctic sea ice motion change and response to atmospheric forcing between 1979 and 2019</t>
  </si>
  <si>
    <t>Arctic; atmospheric circulation pattern; sea ice motion; spatiotemporal change; wind forcing</t>
  </si>
  <si>
    <t>DECADAL TRENDS; PACIFIC SECTOR; CLIMATE-CHANGE; CANADA BASIN; DRIFT; OCEAN; VARIABILITY; WIND; CIRCULATION; DEFORMATION</t>
  </si>
  <si>
    <t>Quantification of the spatial variability and long-term changes of Arctic sea ice motion is important for understanding the mechanisms of rapid Arctic sea ice decline because sea ice motion determines ice mass advection, outflow, thickness redistribution, as well as the formation of leads and ridges associated with ice deformation. The spatiotemporal changes in Arctic sea ice motion between 1979 and 2019 and their responses to atmospheric forcing were analysed using satellite-derived sea ice motion products and atmospheric reanalysis data. The pan-Arctic average sea ice drift speed increased significantly for all seasons between 1979 and 2019 (p &lt; .001). Rates of increase were higher in autumn and winter than in spring and summer. Spatially, rates of increase in the peripheral seas in the Pacific sector-the Beaufort, Chukchi and East Siberian Seas-were higher than in the central Arctic Ocean and the peripheral seas in the Atlantic sector-the Kara and Laptev Seas. On the contrary, Arctic wind speed increased significantly only in autumn (p &lt; .01). However, the correlation between wind speed and ice speed was the lowest in this season, suggesting that wind forcing is unable to completely account for drift speed increase. In general, the trends in above-average drift speeds-retrieved from grid cells with the relatively high drift speeds-were statistically significant and were larger than that in average drift speeds probably because of enhanced response of ice motion to extreme wind forcing. The influence of the Arctic Oscillation, Beaufort High, and North Atlantic Oscillation on the zonal ice speed was symmetrical between the Pacific and Atlantic sectors of the Arctic Ocean, while the influence of the Dipole Anomaly and the east-west surface air pressure gradient in central Arctic on the meridional ice speed was distributed in an annular pattern and was the strongest along the Transpolar Drift Stream.</t>
  </si>
  <si>
    <t>[Zhang, Fanyi; Pang, Xiaoping] Wuhan Univ, Sch Resource &amp; Environm Sci, Wuhan, Peoples R China; [Zhang, Fanyi; Lei, Ruibo; Zhai, Mengxi] Polar Res Inst China, Key Lab Polar Sci, MNR, Shanghai, Peoples R China; [Pang, Xiaoping; Lei, Ruibo; Zhao, Xi] Wuhan Univ, Chinese Antarctic Ctr Surveying &amp; Mapping, Wuhan, Peoples R China; [Cai, Qiongqiong] MNR, Natl Marine Environm Forecasting Ctr, Beijing, Peoples R China</t>
  </si>
  <si>
    <t>Wuhan University; Polar Research Institute of China; Wuhan University; National Marine Environmental Forecasting Center</t>
  </si>
  <si>
    <t>Lei, RB (corresponding author), Polar Res Inst China, Key Lab Polar Sci, MNR, Shanghai, Peoples R China.</t>
  </si>
  <si>
    <t>leiruibo@pric.org.cn</t>
  </si>
  <si>
    <t>National Key Research and Development Program [2018YFA0605903, 2019YFC1509101]; National Natural Science Foundation of China [41976219, 41876223]</t>
  </si>
  <si>
    <t>National Key Research and Development Program; National Natural Science Foundation of China(National Natural Science Foundation of China (NSFC))</t>
  </si>
  <si>
    <t>National Key Research and Development Program, Grant/Award Numbers: 2018YFA0605903, 2019YFC1509101; National Natural Science Foundation of China, Grant/Award Numbers: 41976219, 41876223</t>
  </si>
  <si>
    <t>10.1002/joc.7340</t>
  </si>
  <si>
    <t>ZU8QB</t>
  </si>
  <si>
    <t>WOS:000692644400001</t>
  </si>
  <si>
    <t>Jang, E; Park, KT; Yoon, YJ; Kim, K; Gim, Y; Chung, HY; Lee, K; Choi, J; Park, J; Park, SJ; Koo, JH; Fernandez, RP; Saiz-Lopez, A</t>
  </si>
  <si>
    <t>Jang, Eunho; Park, Ki-Tae; Yoon, Young Jun; Kim, Kitae; Gim, Yeontae; Chung, Hyun Young; Lee, Kitack; Choi, Jinhee; Park, Jiyeon; Park, Sang-Jong; Koo, Ja-Ho; Fernandez, Rafael P.; Saiz-Lopez, Alfonso</t>
  </si>
  <si>
    <t>First-year sea ice leads to an increase in dimethyl sulfide-induced particle formation in the Antarctic Peninsula</t>
  </si>
  <si>
    <t>Dimethyl sulfide; Sulfurous particles; New particle formation; Bromine monoxide; First-Year Sea ice; Antarctic peninsula</t>
  </si>
  <si>
    <t>BOUNDARY-LAYER HALOGENS; KING SEJONG STATION; FORMATION EVENTS; ARCTIC ATMOSPHERE; DIMETHYLSULFONIOPROPIONATE DMSP; SULFUR-COMPOUNDS; SOUTHERN-OCEAN; CLOUD ALBEDO; AEROSOL; MARINE</t>
  </si>
  <si>
    <t>Dimethyl sulfide (DMS) produced by marine algae represents the largest natural emission of sulfur to the atmosphere. The oxidation of DMS is a key process affecting new particle formation that contributes to the radiative forcing of the Earth. In this study, atmospheric DMS and its major oxidation products (methanesulfonic acid, MSA; non-sea-salt sulfate, nss-SO42-) and particle size distributions were measured at King Sejong station located in the Antarctic Peninsula during the austral spring-summer period in 2018-2020. The observatory was surrounded by open ocean and first-year and multi-year sea ice. Importantly, oceanic emissions and atmospheric oxidation of DMS showed distinct differences depending on source regions. A high mixing ratio of atmospheric DMS was observed when air masses were influenced by the open ocean and first-year sea ice due to the abundance of DMS producers such as pelagic phaeocystis and ice algae. However, the concentrations of MSA and nss-SO42- were distinctively increased for air masses originating from first-year sea ice as compared to those originating from the open ocean and multi-year sea ice, suggesting additional influences from the source regions of atmospheric oxidants. Heterogeneous chemical processes that actively occur over first-year sea ice tend to accelerate the release of bromine monoxide (BrO), which is the most efficient DMS oxidant in Antarctica. Model estimates for surface BrO confirmed that high BrO mixing ratios were closely associated with first-year sea ice, thus enhancing DMS oxidation. Consequently, the concentration of newly formed particles originated from first-year sea ice, which was a strong source area for both DMS and BrO was greater than from open ocean (high DMS but low BrO). These results indicate that first-year sea ice plays an important yet overlooked role in DMS-induced new particle formation in polar environments, where warming-induced sea ice changes are pronounced. (C) 2021 The Authors. Published by Elsevier B.V.</t>
  </si>
  <si>
    <t>[Jang, Eunho; Park, Ki-Tae; Yoon, Young Jun; Kim, Kitae; Gim, Yeontae; Chung, Hyun Young; Choi, Jinhee; Park, Jiyeon; Park, Sang-Jong] Korea Polar Res Inst, Incheon, South Korea; [Jang, Eunho; Park, Ki-Tae; Kim, Kitae; Chung, Hyun Young] Univ Sci &amp; Technol, Daejeon, South Korea; [Lee, Kitack] Pohang Univ Sci &amp; Technol, Dept Environm Sci &amp; Engn, Pohang, South Korea; [Koo, Ja-Ho] Yonsei Univ, Dept Atmospher Sci, Seoul, South Korea; [Fernandez, Rafael P.] Natl Res Council CONICET, FCEN UNCuyo, Inst Interdisciplinary Sci ICB, Mendoza, Argentina; [Saiz-Lopez, Alfonso] CSIC, Inst Phys Chem Rocasolano, Dept Atmospher Chem &amp; Climate, Madrid, Spain</t>
  </si>
  <si>
    <t>Korea Polar Research Institute (KOPRI); University of Science &amp; Technology (UST); Pohang University of Science &amp; Technology (POSTECH); Yonsei University; Consejo Nacional de Investigaciones Cientificas y Tecnicas (CONICET); Consejo Superior de Investigaciones Cientificas (CSIC); CSIC - Instituto de Quimica Fisica Rocasolano (IQFR)</t>
  </si>
  <si>
    <t>Park, KT (corresponding author), Korea Polar Res Inst, Incheon, South Korea.</t>
  </si>
  <si>
    <t>ktpark@kopri.re.kr</t>
  </si>
  <si>
    <t>Fernandez, Rafael Pedro/ABF-2323-2020; Park, Ki-Tae/CAF-2480-2022; Saiz-Lopez, Alfonso/B-3759-2015; Park, Sang-Jong/B-7049-2011; Lee, Kitack/G-7184-2015</t>
  </si>
  <si>
    <t>Fernandez, Rafael Pedro/0000-0002-4114-5500; Saiz-Lopez, Alfonso/0000-0002-0060-1581;</t>
  </si>
  <si>
    <t>KOPRI project [PE21030, PE21120]; National Research Foundation of Korea [NRF-2021R1A2C3008748]</t>
  </si>
  <si>
    <t>KOPRI project(Korea Polar Research Institute of Marine Research Placement (KOPRI)); National Research Foundation of Korea(National Research Foundation of Korea)</t>
  </si>
  <si>
    <t>We thank the overwintering staff for assisting us in maintaining the aerosol equipment at the King Sejong station. This study was supported by the KOPRI project (PE21030 and PE21120) . KL was supported by the National Research Foundation of Korea (NRF-2021R1A2C3008748) . The datasets for atmospheric DMS, its oxidative products, and aerosol size distribution are available at the Korea Polar Data Center (https://dx. doi.org/doi:10.22663/KOPRI-KPDC-00001657.4) . The sea ice data can be downloaded from the NSIDC website (https://nsidc.org/data/G02135/versions/3) . The MODIS-Aqua products can be downloaded from the NASA Ocean Color website (https://oceandata.sci.gsfc.nasa. gov/MODIS-Aqua/) . MIMOC is available at https:// www.pmel.noaa. gov/mimoc/. The PHYSAT products can be accessed from the PHYSAT website (https://log.cnrs.fr/Physat-332) . The code for the CAM-Chem model is available at https://www2.acom.ucar.edu/gcm/cam-chem.</t>
  </si>
  <si>
    <t>JAN 10</t>
  </si>
  <si>
    <t>10.1016/j.scitotenv.2021.150002</t>
  </si>
  <si>
    <t>UY8ZI</t>
  </si>
  <si>
    <t>WOS:000701805000007</t>
  </si>
  <si>
    <t>Anderson, A; O'Regan, ST; Parata-Goodall, P; Stevens, M; Tau, T</t>
  </si>
  <si>
    <t>Anderson, Atholl; O'Regan, Sir Tipene; Parata-Goodall, Puamiria; Stevens, Michael; Tau, Te Maire</t>
  </si>
  <si>
    <t>On the improbability of pre-European Polynesian voyages to Antarctica: a response to Priscilla Wehi and colleagues</t>
  </si>
  <si>
    <t>JOURNAL OF THE ROYAL SOCIETY OF NEW ZEALAND</t>
  </si>
  <si>
    <t>Maori; Polynesian voyaging; Antarctic; translation errors; sailing conditions</t>
  </si>
  <si>
    <t>MATAURANGA MAORI</t>
  </si>
  <si>
    <t>Recent publications by Wehi and colleagues assert that Maori or other Polynesians in the pre-European era voyaged to and from the Antarctic. Such ideas have been advanced for more than a century, largely in relation to Rarotongan traditions translated by Percy Smith. As the juxtaposition of unexamined Polynesian traditions with historical archives is problematic for both historiography and matauranga Maori, an analytical approach is taken here to the traditional evidence. It is argued that a key assertion referring to frozen seas has a different and more probable interpretation and that there are no compelling traditions of Antarctic voyaging. In addition, Polynesian voyaging through the circumpolar westerlies would have little chance of success and archaeological evidence of Polynesian voyaging does not extend south of about 50 degrees South. It is concluded that Antarctic voyaging by pre-European Polynesians seems most unlikely.</t>
  </si>
  <si>
    <t>[Anderson, Atholl; O'Regan, Sir Tipene; Parata-Goodall, Puamiria; Stevens, Michael; Tau, Te Maire] Univ Canterbury, Ka Waimaero Ngai Tahu Res Ctr, Christchurch, New Zealand</t>
  </si>
  <si>
    <t>Anderson, A (corresponding author), Univ Canterbury, Ka Waimaero Ngai Tahu Res Ctr, Christchurch, New Zealand.</t>
  </si>
  <si>
    <t>0303-6758</t>
  </si>
  <si>
    <t>1175-8899</t>
  </si>
  <si>
    <t>J ROY SOC NEW ZEAL</t>
  </si>
  <si>
    <t>J. R. Soc. N.Z.</t>
  </si>
  <si>
    <t>10.1080/03036758.2021.1973517</t>
  </si>
  <si>
    <t>5Z4MI</t>
  </si>
  <si>
    <t>WOS:000695403400001</t>
  </si>
  <si>
    <t>Bierlich, KC; Schick, RS; Hewitt, J; Dale, J; Goldbogen, JA; Friedlaender, AS; Johnston, DW</t>
  </si>
  <si>
    <t>Bierlich, K. C.; Schick, R. S.; Hewitt, J.; Dale, J.; Goldbogen, J. A.; Friedlaender, A. S.; Johnston, D. W.</t>
  </si>
  <si>
    <t>Bayesian approach for predicting photogrammetric uncertainty in morphometric measurements derived from drones</t>
  </si>
  <si>
    <t>Bayesian modeling; Photogrammetry; Uncertainty analysis; Drones; Unoccupied aircraft system; UAS; Morphometrics; Marine mammals; Cetaceans</t>
  </si>
  <si>
    <t>AERIAL PHOTOGRAMMETRY; CLASS SEGREGATION; BODY CONDITION; KILLER WHALES; MINKE WHALES; SIZE-CLASS; MORPHOLOGY; PERFORMANCE; PHOCOENA; DOLPHIN</t>
  </si>
  <si>
    <t>Increasingly, drone-based photogrammetry has been used to measure size and body condition changes in marine megafauna. A broad range of platforms, sensors, and altimeters are being applied for these purposes, but there is no unified way to predict photogrammetric uncertainty across this methodological spectrum. As such, it is difficult to make robust comparisons across studies, disrupting collaborations amongst researchers using platforms with varying levels of measurement accuracy. Here we built off previous studies quantifying uncertainty and used an experimental approach to train a Bayesian statistical model using a known-sized object floating at the water's surface to quantify how measurement error scales with altitude for several different drones equipped with different cameras, focal length lenses, and altimeters. We then applied the fitted model to predict the length distributions and estimate age classes of unknown-sized humpback whales Megaptera novaeangliae, as well as to predict the population-level morphological relationship between rostrum to blowhole distance and total body length of Antarctic minke whales Balaenoptera bonaerensis. This statistical framework jointly estimates errors from altitude and length measurements from multiple observations and accounts for altitudes measured with both barometers and laser altimeters while incorporating errors specific to each. This Bayesian model outputs a posterior predictive distribution of measurement uncertainty around length measurements and allows for the construction of highest posterior density intervals to define measurement uncertainty, which allows one to make probabilistic statements and stronger inferences pertaining to morphometric features critical for understanding life history patterns and potential impacts from anthropogenically altered habitats.</t>
  </si>
  <si>
    <t>[Bierlich, K. C.; Schick, R. S.; Dale, J.; Johnston, D. W.] Duke Univ, Nicholas Sch Environm, Div Marine Sci &amp; Conservat, Marine Lab, Beaufort, NC 28516 USA; [Bierlich, K. C.] Oregon State Univ, Hatfield Marine Sci Ctr, Marine Mammal Inst, Dept Fisheries Wildlife &amp; Conservat, Newport, OR 97365 USA; [Hewitt, J.] Duke Univ, Dept Stat Sci, Durham, NC 27708 USA; [Goldbogen, J. A.] Stanford Univ, Dept Biol, Hopkins Marine Stn, Monterey, CA 93950 USA; [Friedlaender, A. S.] Univ Calif Santa Cruz, Inst Marine Sci, Dept Ecol &amp; Evolutionary Biol, Santa Cruz, CA 95604 USA</t>
  </si>
  <si>
    <t>Duke University; Oregon State University; Duke University; Stanford University; University of California System; University of California Santa Cruz</t>
  </si>
  <si>
    <t>Bierlich, KC (corresponding author), Duke Univ, Nicholas Sch Environm, Div Marine Sci &amp; Conservat, Marine Lab, Beaufort, NC 28516 USA.;Bierlich, KC (corresponding author), Oregon State Univ, Hatfield Marine Sci Ctr, Marine Mammal Inst, Dept Fisheries Wildlife &amp; Conservat, Newport, OR 97365 USA.</t>
  </si>
  <si>
    <t>kevin.bierlich@oregonstate.edu</t>
  </si>
  <si>
    <t>Johnston, David/0000-0003-2424-036X</t>
  </si>
  <si>
    <t>Duke University Marine Lab; National Science Foundation Office of Polar Programs [1643877, 1440435]; Directorate For Geosciences; Office of Polar Programs (OPP) [1643877] Funding Source: National Science Foundation</t>
  </si>
  <si>
    <t>Duke University Marine Lab; National Science Foundation Office of Polar Programs(National Science Foundation (NSF)NSF - Directorate for Geosciences (GEO)); Directorate For Geosciences; Office of Polar Programs (OPP)(National Science Foundation (NSF)NSF - Directorate for Geosciences (GEO))</t>
  </si>
  <si>
    <t>We thank Clara Bird and Allison Duprey for assistance in data collection/management; the Duke University Marine Lab for project support; and Dr. Andrew Read for project design and manuscript feedback. Antarctic humpback whale imagery was collected as part of National Science Foundation Office of Polar Programs Grants 1643877 and 1440435 to A.S.F. under NMFS permits 14809 and 23095, ACA Permits 2015-011 and 2016-024, UCSC IACUC Friea1706.</t>
  </si>
  <si>
    <t>SEP 2</t>
  </si>
  <si>
    <t>10.3354/meps13814</t>
  </si>
  <si>
    <t>UN0ER</t>
  </si>
  <si>
    <t>WOS:000693696300014</t>
  </si>
  <si>
    <t>Oosthuizen, WC; Reisinger, RR; Bester, MN; Steinhage, D; Auel, H; Flores, H; Knust, R; Ryan, S; Bornemann, H</t>
  </si>
  <si>
    <t>Oosthuizen, W. C.; Reisinger, R. R.; Bester, M. N.; Steinhage, D.; Auel, H.; Flores, H.; Knust, R.; Ryan, S.; Bornemann, H.</t>
  </si>
  <si>
    <t>Habitat-based density models of pack-ice seal distribution in the southern Weddell Sea, Antarctica</t>
  </si>
  <si>
    <t>Crabeater seal; Weddell seal; Filchner Trough; Euphausia superba; Pleuragramma antarctica; Density surface model; Distance sampling; Marine predator</t>
  </si>
  <si>
    <t>CRAB-EATER SEALS; EXTRAPOLATING CETACEAN DENSITIES; FORAGING BEHAVIOR; LEPTONYCHOTES-WEDDELLII; LOBODON-CARCINOPHAGA; ENVIRONMENTAL-CHANGE; SPATIAL MODELS; SHELF WATERS; ABUNDANCE; KRILL</t>
  </si>
  <si>
    <t>Climate variability and changes in sea ice dynamics have caused several ice-obligate or krill-dependent populations of marine predators to decline, eliciting concern about their demographic persistence and the indirect ecological consequences that predator depletions may have on marine ecosystems. Pack-ice seals are dominant ice-obligate predators in the Antarctic marine ecosystem, but there is considerable uncertainty about their abundance and population trends. We modelled the density and distribution of pack-ice seals as a function of environmental covariates in the southern Weddell Sea, Antarctica. Our density surface modelling approach used data from aerial surveys of pack-ice seals collected in the 2013/14 austral summer. Crabeater seals Lobodon carcinophaga, the most numerous pack-ice seal we observed, occurred at the highest densities in areas with extensive sea ice near the continental shelf break, but were almost absent in areas of similar sea ice concentration in the southern extent of the Weddell Sea. The highest densities of Weddell seals Leptonychotes weddelli, which were less abundant than crabeater seals within the pack-ice habitat, were predicted to occur over the continental shelf, near the shelf break. The distribution of both seal species broadly corresponded with the distribution and relative abundance of their main prey (Antarctic krill Euphausia superba and Antarctic silverfish Pleuragramma antarctica) obtained from concurrent ecosystem surveys. Ross seals Ommatophoca rossii and leopard seals Hydrurga leptonyx were not detected at all and are apparently rare within the southern Weddell Sea. These results can contribute to biodiversity assessments in the context of marine protected area planning in this region of the Southern Ocean.</t>
  </si>
  <si>
    <t>[Oosthuizen, W. C.; Bester, M. N.] Univ Pretoria, Mammal Res Inst, Dept Zool &amp; Entomol, Private Bag X20, ZA-0028 Pretoria, South Africa; [Oosthuizen, W. C.] Nelson Mandela Univ, Inst Coastal &amp; Marine Res, Marine Apex Predator Res Unit, ZA-6031 Port Elizabeth, South Africa; [Oosthuizen, W. C.] Nelson Mandela Univ, Dept Zool, ZA-6031 Port Elizabeth, South Africa; [Reisinger, R. R.] La Rochelle Univ, Ctr Etud Biol Chize, UMR 7372 CNRS, F-79360 Villiers En Bois, France; [Reisinger, R. R.] Univ Calif Santa Cruz, Inst Marine Sci, Santa Cruz, CA 95060 USA; [Steinhage, D.; Flores, H.; Knust, R.; Ryan, S.; Bornemann, H.] Helmholtz Zentrum Polar &amp; Meeresforsch, Alfred Wegener Inst, Handelshafen 12, D-27570 Bremerhaven, Germany; [Auel, H.] Univ Bremen, Marine Zool, FB 02,POB 330 440, D-28334 Bremen, Germany; [Ryan, S.] Woods Hole Oceanog Inst, Woods Hole, MA 02543 USA</t>
  </si>
  <si>
    <t>University of Pretoria; Nelson Mandela University; Nelson Mandela University; Centre National de la Recherche Scientifique (CNRS); CNRS - Institute of Ecology &amp; Environment (INEE); University of California System; University of California Santa Cruz; Helmholtz Association; Alfred Wegener Institute, Helmholtz Centre for Polar &amp; Marine Research; University of Bremen; Woods Hole Oceanographic Institution</t>
  </si>
  <si>
    <t>Oosthuizen, WC (corresponding author), Univ Pretoria, Mammal Res Inst, Dept Zool &amp; Entomol, Private Bag X20, ZA-0028 Pretoria, South Africa.;Oosthuizen, WC (corresponding author), Nelson Mandela Univ, Inst Coastal &amp; Marine Res, Marine Apex Predator Res Unit, ZA-6031 Port Elizabeth, South Africa.;Oosthuizen, WC (corresponding author), Nelson Mandela Univ, Dept Zool, ZA-6031 Port Elizabeth, South Africa.</t>
  </si>
  <si>
    <t>wcoosthuizen@zoology.up.ac.za</t>
  </si>
  <si>
    <t>Flores, Hauke/ABD-1888-2020; Reisinger, Ryan/D-6151-2014; Oosthuizen, W. Chris/I-2947-2016</t>
  </si>
  <si>
    <t>Flores, Hauke/0000-0003-1617-5449; Reisinger, Ryan/0000-0002-8933-6875; Oosthuizen, W. Chris/0000-0003-2905-6297</t>
  </si>
  <si>
    <t>National Research Foundation (NRF) of South Africa; Hanse-Wissenschaftskolleg (Delmenhorst, Germany) fellowships; AWI fellowship; Helmholtz Association Research Programme Polar regions And Coasts in the changing Earth System II (PACES II), Topic 1, WP 5 and WP 6; Helmholtz Association Young Investigators Groups Iceflux: Ice-ecosystem carbon flux in polar oceans [VH-NG-800]; [AWI_PS82_03]</t>
  </si>
  <si>
    <t>National Research Foundation (NRF) of South Africa(National Research Foundation - South Africa); Hanse-Wissenschaftskolleg (Delmenhorst, Germany) fellowships; AWI fellowship; Helmholtz Association Research Programme Polar regions And Coasts in the changing Earth System II (PACES II), Topic 1, WP 5 and WP 6; Helmholtz Association Young Investigators Groups Iceflux: Ice-ecosystem carbon flux in polar oceans;</t>
  </si>
  <si>
    <t>We thank Captain Stefan Schwarze and the officers and crew of RV `Polarstern'; helicopter pilots Lars Vaupel, Michael Gischler and the HeliService International team; the crew of `Polar6' (Dean Emberley, John Gilmour and Roger Hudon, all from Kenn Borek Air); Martina Vortkamp and the RV `Polarstern' scientific teams; and staff of the Department Logistics and Research Platforms of the Alfred-Wegener-Institute (AWI), Helmholtz-Zentrum fur Polar-und Meeresforschung, Germany, for their outstanding support during the expedition PS82. This study was supported by Grant No. AWI_PS82_03, the Helmholtz Association Research Programme Polar regions And Coasts in the changing Earth System II (PACES II), Topic 1, WP 5 and WP 6, and is part of the Helmholtz Association Young Investigators Groups Iceflux: Ice-ecosystem carbon flux in polar oceans (VH-NG-800). Write-up of this work was furthermore supported by a National Research Foundation (NRF) of South Africa postdoctoral grant to W.C.O., Hanse-Wissenschaftskolleg (Delmenhorst, Germany) fellowships to W.C.O. and M.N.B. and an AWI fellowship to W.C.O.</t>
  </si>
  <si>
    <t>10.3354/meps13787</t>
  </si>
  <si>
    <t>WOS:000693696300015</t>
  </si>
  <si>
    <t>Lübcker, N; Newsome, SD; Bester, MN; de Bruyn, PJN</t>
  </si>
  <si>
    <t>Lubcker, Nico; Newsome, Seth D.; Bester, Marthan N.; de Bruyn, P. J. Nico</t>
  </si>
  <si>
    <t>Validating the use of bulk tissue stable isotope and amino acid δ15N values measured in molted hair and epidermis of elephant seals to assess temporal foraging niche specialization</t>
  </si>
  <si>
    <t>Epidermis; Marine mammals; Molt; Hair; Seals; Skin; Temporal consistency; Individual trophic niche specialization/conservatism; Trophic ecology</t>
  </si>
  <si>
    <t>MIROUNGA-LEONINA; MARINE PREDATOR; ANNUAL CYCLE; VARIABILITY; ECOLOGY; PROTEIN; PELAGE; LIPIDS; DIET</t>
  </si>
  <si>
    <t>The degree of dietary generalization versus specialization exhibited by populations can impact their ability to respond to changing environmental conditions. Naturally shed hair and epidermis are easily collected and may provide a suitable substrate for stable isotope analysis to assess trophic niche specialization. Whether fasting influences the isotopic composition of molted tissues has not been assessed. Here, we gauged the validity of using carbon (delta C-13) and nitrogen (delta N-15) isotope analysis of molted hair and the outermost epidermis as proxies to study the foraging ecology of southern elephant seals Mirounga leonina at Marion Island in the southern Indian Ocean. Similarity in both bulk tissue (delta C-13 and delta N-15) and amino acid (delta N-15) isotope values of molted tissues and whiskers known to reflect fasting confirmed that physiological changes associated with fasting influenced hair and epidermis isotope values. We recommend caution when using the isotopic composition of molted hair and epidermis to make ecological inferences regarding diet and/or movement. Despite these limitations, molted hair can be used to detect extreme foraging behaviors, which we show using an extensive data set of hair sampled from marked individuals (n = 331) that hauled out on Marion Island during the 2012-2013 annual pelage molt. Other factors, such as ontogenetic shifts in diet and potential environmental (baseline) isotopic variation, also influence hair delta C-13 and delta N-15 values, which complicates the use of isotopic data from molted tissues to assess the temporal consistency of an individuals' isotopic niche.</t>
  </si>
  <si>
    <t>[Lubcker, Nico; Bester, Marthan N.; de Bruyn, P. J. Nico] Univ Pretoria, Mammal Res Inst, Dept Zool &amp; Entomol, Private Bag X20, ZA-0028 Hatfield, South Africa; [Lubcker, Nico; Newsome, Seth D.] Univ New Mexico, Dept Biol, Albuquerque, NM 87131 USA</t>
  </si>
  <si>
    <t>University of Pretoria; University of New Mexico</t>
  </si>
  <si>
    <t>Lübcker, N (corresponding author), Univ Pretoria, Mammal Res Inst, Dept Zool &amp; Entomol, Private Bag X20, ZA-0028 Hatfield, South Africa.;Lübcker, N (corresponding author), Univ New Mexico, Dept Biol, Albuquerque, NM 87131 USA.</t>
  </si>
  <si>
    <t>nlubcker2021@unm.edu</t>
  </si>
  <si>
    <t>de Bruyn, P. J. Nico/E-4176-2010; Lubcker, Nico/I-7622-2019</t>
  </si>
  <si>
    <t>de Bruyn, P. J. Nico/0000-0002-9114-9569; Lubcker, Nico/0000-0001-7141-6669</t>
  </si>
  <si>
    <t>Animal Ethics Committee of the Faculty of Veterinary Science, University of Pretoria [AUCC 040827022, AUCC 040827-023, AUCC 040827-024, EC030602-016, EC077-15]; Department of Environment, Forestry and Fisheries (DEFF) - National Research Foundation (NRF) under the South African National Antarctic Program (SANAP); Society for Marine Mammalogy (SMM)</t>
  </si>
  <si>
    <t>Animal Ethics Committee of the Faculty of Veterinary Science, University of Pretoria; Department of Environment, Forestry and Fisheries (DEFF) - National Research Foundation (NRF) under the South African National Antarctic Program (SANAP); Society for Marine Mammalogy (SMM)</t>
  </si>
  <si>
    <t>The project has ethics clearance from the Animal Ethics Committee (AEC, formerly the Animal Use and Care Committee AUCC) of the Faculty of Veterinary Science, University of Pretoria, under AUCC 040827022, AUCC 040827-023, AUCC 040827-024, EC030602-016 and EC077-15. All research was carried out under permit from the Director-General: Department of Environmental Affairs, South Africa, supported by the Department of Environment, Forestry and Fisheries (DEFF), funded by the National Research Foundation (NRF) under the South African National Antarctic Program (SANAP). The `Society for Marine Mammalogy (SMM) Small Grant in Aid of Research' provided additional support. The conclusions drawn and discussed are attributed to the authors and not necessarily to the NRF and SMM. We thank staff and colleagues at the University of New Mexico and the University of Pretoria for their assistance. Two anonymous reviewers, as well as Prof C. McCrindle, are thanked for their insightful comments which improved the manuscript.</t>
  </si>
  <si>
    <t>10.3354/meps13772</t>
  </si>
  <si>
    <t>WOS:000693696300016</t>
  </si>
  <si>
    <t>King, AJ; Mason, E; Bates, HC; Schofield, PF; Hanna, KLD; Bowles, NE; Russell, SS</t>
  </si>
  <si>
    <t>King, A. J.; Mason, E.; Bates, H. C.; Schofield, P. F.; Hanna, K. L. Donaldson; Bowles, N. E.; Russell, S. S.</t>
  </si>
  <si>
    <t>Tracing the earliest stages of hydrothermal alteration on the CM chondrite parent body</t>
  </si>
  <si>
    <t>DIFFUSE-REFLECTANCE SPECTRA; FINE-GRAINED RIMS; X-RAY-DIFFRACTION; CARBONACEOUS CHONDRITES; AQUEOUS ALTERATION; MODAL MINERALOGY; MU-M; THERMAL METAMORPHISM; OXYGEN-ISOTOPE; PARIS METEORITE</t>
  </si>
  <si>
    <t>The CM carbonaceous chondrites are an important resource in our efforts to understand the role of volatiles in the formation of planetary systems. We report the bulk mineralogy, water abundance, and infrared (IR) reflectance spectra of the CM chondrites LaPaz Icefield (LAP) 04514, LAP 04796, LAP 04565, and LAP 02333. They contain abundant Fe- and Mg-rich serpentines (similar to 70-80 vol%), and based on their phyllosilicate fractions, we classify LAP 04514, LAP 04796, and LAP 04565 as petrologic subtype 1.6 and LAP 02333 as 1.4. This is consistent with estimated water abundances of 9.9 (+/- 1.1) wt% for LAP 04796, 10.4 (+/- 0.1) wt% for LAP 04565, and 11.5 (+/- 0.5) wt% for LAP 02333. However, LAP 04514 contains less water (8.8 +/- 0.3 wt%), has a shallower 3 mu m band depth, and lacks tochilinite having experienced posthydration temperatures of similar to 300-400 degrees C. We conclude that LAP 04514, LAP 04796, and LAP 04565 are among the least altered CM chondrites, which retain primitive features from the initial building blocks of the CM parent body. Finally, we use the IR spectral features of LAP 04514, LAP 04796, and LAP 04565 to identify C-complex asteroid surfaces that record mild levels of hydration.</t>
  </si>
  <si>
    <t>[King, A. J.; Mason, E.; Bates, H. C.; Schofield, P. F.; Russell, S. S.] Nat Hist Museum, Dept Earth Sci, Planetary Mat Grp, Cromwell Rd, London SW7 5BD, England; [Mason, E.] Imperial Coll London, Dept Earth Sci &amp; Engn, South Kensington Campus, London SW7 2AZ, England; [Bates, H. C.; Hanna, K. L. Donaldson; Bowles, N. E.] Univ Oxford, Clarendon Lab, Planetary Spect Facil Atmospher Ocean &amp; Planetary, Parks Rd, Oxford OX1 3PU, England; [Hanna, K. L. Donaldson] Univ Cent Florida, Dept Phys, Orlando, FL 32816 USA</t>
  </si>
  <si>
    <t>Natural History Museum London; Imperial College London; University of Oxford; State University System of Florida; University of Central Florida</t>
  </si>
  <si>
    <t>King, AJ (corresponding author), Nat Hist Museum, Dept Earth Sci, Planetary Mat Grp, Cromwell Rd, London SW7 5BD, England.</t>
  </si>
  <si>
    <t>a.king@nhm.ac.uk</t>
  </si>
  <si>
    <t>Hanna, Kerri Donaldson/AAC-9941-2020</t>
  </si>
  <si>
    <t>Schofield, Paul/0000-0003-0902-0588; Donaldson Hanna, Kerri/0000-0001-5592-4292; Russell, Sara/0000-0001-5531-7847</t>
  </si>
  <si>
    <t>NSF; Science and Technology Facilities Council (STFC), United Kingdom [ST/R000727/1, 1860431]; NASA; STFC [1860431, ST/R000727/1] Funding Source: UKRI</t>
  </si>
  <si>
    <t>NSF(National Science Foundation (NSF)); Science and Technology Facilities Council (STFC), United Kingdom(UK Research &amp; Innovation (UKRI)Science &amp; Technology Facilities Council (STFC)); NASA(National Aeronautics &amp; Space Administration (NASA)); STFC(UK Research &amp; Innovation (UKRI)Science &amp; Technology Facilities Council (STFC))</t>
  </si>
  <si>
    <t>D US Antarctic meteorite samples, such as those used in this study, are recovered by the Antarctic Search for Meteorites (ANSMET) program which has been funded by NSF and NASA and are characterized and curated by the Department of Mineral Sciences of the Smithsonian Institution and Astromaterials Curation Office at NASA Johnson Space Center. We would like to thank Jens Najorka for ensuring that the PSD-XRD continues to run smoothly, and Lionel Vacher and Ed Cloutis for helpful comments that improved the manuscript. This work was funded by the Science and Technology Facilities Council (STFC), United Kingdom, through grants ST/R000727/1 and 1860431.</t>
  </si>
  <si>
    <t>10.1111/maps.13734</t>
  </si>
  <si>
    <t>US0WV</t>
  </si>
  <si>
    <t>WOS:000693307300001</t>
  </si>
  <si>
    <t>Ding, MH; Zhang, T; Yang, DY; Allison, I; Dou, TF; Xiao, CD</t>
  </si>
  <si>
    <t>Ding, Minghu; Zhang, Tong; Yang, Diyi; Allison, Ian; Dou, Tingfeng; Xiao, Cunde</t>
  </si>
  <si>
    <t>Brief communication: Evaluation of multiple density-dependent empirical snow conductivity relationships in East Antarctica</t>
  </si>
  <si>
    <t>LAND-SURFACE MODEL; THERMAL-CONDUCTIVITY; ICE; DIFFUSIVITY</t>
  </si>
  <si>
    <t>Nine density-dependent empirical thermal conductivity relationships for firn were compared against data from three automatic weather stations at climatically different sites in East Antarctica (Dome A, Eagle, and LGB69). The empirical relationships were validated using a vertical, 1D thermal diffusion model and a phase-change-based firn diffusivity estimation method. The best relationships for the abovementioned sites were identified by comparing the modeled and observed firn temperature at a depth of 1 and 3 m, and from the mean heat conductivities over two depth intervals (1-3 and 3-10 m). Among the nine relationships, that proposed by Calonne et al. (2011) appeared to show the best performance. The density- and temperature-dependent relationship given in Calonne et al. (2019) does not show clear superiority over other density-dependent relationships. This study provides a useful reference for firn thermal conductivity parameterizations in land modeling or snow-air interaction studies on the Antarctica ice sheet.</t>
  </si>
  <si>
    <t>[Ding, Minghu; Zhang, Tong; Yang, Diyi] Chinese Acad Meteorol Sci, State Key Lab Severe Weather, Beijing 100081, Peoples R China; [Ding, Minghu; Zhang, Tong; Yang, Diyi] Chinese Acad Meteorol Sci, Inst Tibetan Plateau &amp; Polar Meteorol, Beijing 100081, Peoples R China; [Zhang, Tong; Xiao, Cunde] Beijing Normal Univ, State Key Lab Earth Surface Proc &amp; Resource Ecol, Beijing 100875, Peoples R China; [Allison, Ian] Antarctic Climate &amp; Ecosyst Cooperat Res Ctr, Hobart, Tas 7004, Australia; [Dou, Tingfeng] Univ Chinese Acad Sci, Coll Resources &amp; Environm, Beijing 100049, Peoples R China</t>
  </si>
  <si>
    <t>China Meteorological Administration; Chinese Academy of Meteorological Sciences (CAMS); China Meteorological Administration; Chinese Academy of Meteorological Sciences (CAMS); Beijing Normal University; Antarctic Climate &amp; Ecosystems Cooperative Research Centre (ACE CRC); Chinese Academy of Sciences; University of Chinese Academy of Sciences, CAS</t>
  </si>
  <si>
    <t>Ding, MH (corresponding author), Chinese Acad Meteorol Sci, State Key Lab Severe Weather, Beijing 100081, Peoples R China.;Ding, MH (corresponding author), Chinese Acad Meteorol Sci, Inst Tibetan Plateau &amp; Polar Meteorol, Beijing 100081, Peoples R China.</t>
  </si>
  <si>
    <t>dingminghu@foxmail.com</t>
  </si>
  <si>
    <t>Ding, Minghu/AFU-3600-2022</t>
  </si>
  <si>
    <t>Ding, Minghu/0000-0002-1142-6598; Yang, Diyi/0000-0002-1844-5900; Allison, Ian/0000-0001-9599-0251</t>
  </si>
  <si>
    <t>National Natural Science Foundation of China [42122047]; National Key R&amp;D Program of China [2019YFC1509100]; Basic Fund of the Chinese Academy of Meteorological Sciences [2021Z006, 2019Z008]</t>
  </si>
  <si>
    <t>National Natural Science Foundation of China(National Natural Science Foundation of China (NSFC)); National Key R&amp;D Program of China; Basic Fund of the Chinese Academy of Meteorological Sciences</t>
  </si>
  <si>
    <t>This Research has been supported by the National Natural Science Foundation of China (grant no. 42122047), the National Key R&amp;D Program of China (grant no. 2019YFC1509100), and the Basic Fund of the Chinese Academy of Meteorological Sciences (grant nos. 2021Z006 and 2019Z008).</t>
  </si>
  <si>
    <t>10.5194/tc-15-4201-2021</t>
  </si>
  <si>
    <t>UL9HY</t>
  </si>
  <si>
    <t>WOS:000692955000001</t>
  </si>
  <si>
    <t>Park, J; Lee, S</t>
  </si>
  <si>
    <t>Park, Jaewoo; Lee, Sangwan</t>
  </si>
  <si>
    <t>A projection-based Laplace approximation for spatial latent variable models</t>
  </si>
  <si>
    <t>dimension reduction; Laplace method; numerical optimization; spatial generalized linear mixed models; spatial interpolation</t>
  </si>
  <si>
    <t>MAXIMUM-LIKELIHOOD; ICE</t>
  </si>
  <si>
    <t>Laplace method is a practical tool for obtaining maximum likelihood estimators for a wide class of latent variable models. The main idea is to approximate the integrand using a Gaussian distribution. However, with increasing observations, the Laplace approximation becomes infeasible because the dimension of the correlated latent variables grows, which results in the high-dimensional optimization problem. One important example is spatial latent variable models, which are widely used in many fields, such as ecology, epidemiology, and sociology. Spatial latent variable models are useful for investigating the relationship between spatial covariates or predicting the unobserved area. Here, we propose a fast Laplace approximation based on the dimension reduction of the latent variables. Our methods are faster and have fewer components to be tuned than simulation-based methods such as Markov chain Monte Carlo maximum likelihood and Monte Carlo expectation-maximization. Our approach can be applied to the large non-Gaussian spatial data sets, commonly used in modern environmental sciences. Especially, we show how we may understand spatial patterns of non-Gaussian responses for two case studies: confirmed COVID-19 cases in the United States and thickness of the Antarctic ice sheet. Through simulation studies under different scenarios, we investigate that our method can provide accurate maximum likelihood estimations and predictions quickly. Our study can be widely applicable for practical maximum likelihood inference for high-dimensional random effect models. We provide a freely available R-package that can implement the proposed method.</t>
  </si>
  <si>
    <t>[Park, Jaewoo; Lee, Sangwan] Yonsei Univ, Dept Stat &amp; Data Sci, Seoul 03722, South Korea; [Park, Jaewoo] Yonsei Univ, Dept Appl Stat, Seoul, South Korea</t>
  </si>
  <si>
    <t>Yonsei University; Yonsei University</t>
  </si>
  <si>
    <t>Park, J (corresponding author), Yonsei Univ, Dept Stat &amp; Data Sci, Seoul 03722, South Korea.</t>
  </si>
  <si>
    <t>jwpark88@yonsei.ac.kr</t>
  </si>
  <si>
    <t>National Research Foundation of Korea [NRF-2020R1C1C1A0100386812]; Yonsei University [2020-22-0501]</t>
  </si>
  <si>
    <t>National Research Foundation of Korea(National Research Foundation of Korea); Yonsei University</t>
  </si>
  <si>
    <t>National Research Foundation of Korea (NRF-2020R1C1C1A0100386812); Yonsei University Research Fund of 2020-22-0501</t>
  </si>
  <si>
    <t>e2703</t>
  </si>
  <si>
    <t>10.1002/env.2703</t>
  </si>
  <si>
    <t>YL1EU</t>
  </si>
  <si>
    <t>WOS:000692030200001</t>
  </si>
  <si>
    <t>Smith, AM; Anker, PGD; Nicholls, KW; Makinson, K; Murray, T; Rios-Costas, S; Brisbourne, AM; Hodgson, DA; Schlegel, R; Anandakrishnan, S</t>
  </si>
  <si>
    <t>Smith, A. M.; Anker, P. G. D.; Nicholls, K. W.; Makinson, K.; Murray, T.; Rios-Costas, S.; Brisbourne, A. M.; Hodgson, D. A.; Schlegel, R.; Anandakrishnan, S.</t>
  </si>
  <si>
    <t>Ice stream subglacial access for ice-sheet history and fast ice flow: the BEAMISH Project on Rutford Ice Stream, West Antarctica and initial results on basal conditions</t>
  </si>
  <si>
    <t>ANNALS OF GLACIOLOGY</t>
  </si>
  <si>
    <t>Antarctic glaciology; ice dynamics; ice streams; subglacial processes; subglacial sediments</t>
  </si>
  <si>
    <t>WEDDELL SEA EMBAYMENT; BENEATH; SYSTEM; CONSTRAINTS; TOPOGRAPHY</t>
  </si>
  <si>
    <t>Three holes were drilled to the bed of Rutford Ice Stream, through ice up to 2154m thick, to investigate the basal processes and conditions associated with fast ice flow and the glacial history of the West Antarctic Ice Sheet. A narrative of the drilling, measuring and sampling activities, as well as some preliminary results and initial interpretations of subglacial conditions, is given. These were the deepest subglacial access holes ever drilled using the hot-water drilling method. Samples of bed and englacial sediments were recovered, and a number of instruments were installed in the ice column and the bed. The ice-bed interface was found to be unfrozen, with an existing, well-developed subglacial hydrological system at high pressure, within similar to 1% of the ice overburden. The bed itself comprises soft, water-saturated sediments, consistent with previous geophysical interpretations. Englacial sediment quantity varies significantly between two locations similar to 2 km apart, and possibly over even shorter (similar to 20 m) distances. Difficulties and unusual observations encountered while connecting to the subglacial hydrological system in one hole possibly resulted from the presence of a large clast embedded in the bottom of the ice.</t>
  </si>
  <si>
    <t>[Smith, A. M.; Anker, P. G. D.; Nicholls, K. W.; Makinson, K.; Rios-Costas, S.; Brisbourne, A. M.; Hodgson, D. A.] British Antarctic Survey, Cambridge, England; [Murray, T.; Schlegel, R.] Swansea Univ, Dept Geog, Swansea, W Glam, Wales; [Anandakrishnan, S.] Penn State Univ, University Pk, PA 16802 USA</t>
  </si>
  <si>
    <t>UK Research &amp; Innovation (UKRI); Natural Environment Research Council (NERC); NERC British Antarctic Survey; Swansea University; Pennsylvania Commonwealth System of Higher Education (PCSHE); Pennsylvania State University; Pennsylvania State University - University Park</t>
  </si>
  <si>
    <t>Smith, AM (corresponding author), British Antarctic Survey, Cambridge, England.</t>
  </si>
  <si>
    <t>amsm@bas.ac.uk</t>
  </si>
  <si>
    <t>Makinson, Keith/A-2495-2013; Anandakrishnan, Sridhar/JCN-5026-2023; Facility, NERC Geophysical Equipment/G-5260-2010; Brisbourne, Alex/E-6198-2013</t>
  </si>
  <si>
    <t>Makinson, Keith/0000-0002-5791-1767; Brisbourne, Alex/0000-0002-9887-7120; SMITH, ANDREW/0000-0001-8577-482X</t>
  </si>
  <si>
    <t>NERC AFI [NE/G014159/1, NE/G013187/1]; US National Science Foundation [NSF 1643961]; National Science Foundation's Seismological Facilities for the Advancement of Geoscience (SAGE) Award [OPP-1851037]; NERC [NE/G013187/1, bas0100033, NE/G014159/1, bas010011, bas0100034, bas0100030] Funding Source: UKRI</t>
  </si>
  <si>
    <t>NERC AFI(UK Research &amp; Innovation (UKRI)Natural Environment Research Council (NERC)); US National Science Foundation(National Science Foundation (NSF)); National Science Foundation's Seismological Facilities for the Advancement of Geoscience (SAGE) Award; NERC(UK Research &amp; Innovation (UKRI)Natural Environment Research Council (NERC))</t>
  </si>
  <si>
    <t>This study was funded by the NERC AFI award Nos. NE/G014159/1 and NE/G013187/1. The authors thank the US National Science Foundation for support for SA through their award NSF 1643961. Geophysical equipment was provided by NERC's Geophysical Equipment Facility, loan number 1017. Seismic instruments were also provided by the Incorporated Research Institutions for Seismology (IRIS) through the PASSCAL Polar Support Services. Seismic data collected will be available through the IRIS Data Management Center. The facilities of the IRIS Consortium are supported by the National Science Foundation's Seismological Facilities for the Advancement of Geoscience (SAGE) Award under the Cooperative Support Agreement OPP-1851037. British Antarctic Survey Operations provided the logistics for the project. The authors are grateful to Catrin Thomas, Stuart Ellis, Sam Bowerman and Ian Hey for their considerable help in the field, and also to two reviewers.</t>
  </si>
  <si>
    <t>0260-3055</t>
  </si>
  <si>
    <t>1727-5644</t>
  </si>
  <si>
    <t>ANN GLACIOL</t>
  </si>
  <si>
    <t>Ann. Glaciol.</t>
  </si>
  <si>
    <t>85-86</t>
  </si>
  <si>
    <t>10.1017/aog.2020.82</t>
  </si>
  <si>
    <t>ZB4ZK</t>
  </si>
  <si>
    <t>WOS:000756851600003</t>
  </si>
  <si>
    <t>Croll, J; Sugden, D</t>
  </si>
  <si>
    <t>Croll, James; Sugden, David</t>
  </si>
  <si>
    <t>On the thickness of the Antarctic ice, and its relations to that of the glacial epoch</t>
  </si>
  <si>
    <t>EARTH AND ENVIRONMENTAL SCIENCE TRANSACTIONS OF THE ROYAL SOCIETY OF EDINBURGH</t>
  </si>
  <si>
    <t>Antarctic ice sheet; ice modelling; ice thickness; James Croll; thermal regime</t>
  </si>
  <si>
    <t>At a time when nobody has yet landed on the Antarctic continent (1879), this presentation and accompanying paper predicts the morphology, dynamics and thermal regime of the Antarctic ice sheet. Mathematical modelling of the ice sheet is based on the assumptions that the thickness of tabular icebergs reflects the average thickness of the ice at the margin and that the surface gradients are comparable to those of reconstructed former ice sheets in the Northern Hemisphere. The modelling shows that (a) ice is thickest near the centre at the South Pole and thins towards the margin; (b) the thickness at the pole is independent of the amount of snowfall at that place; and (c) the mean velocity at the margin, assuming a mean annual snowfall of two inches per year, is 400-500 feet per year. The thermal regime of the ice sheet is influenced by three heat sources - namely, the bed, the internal friction of ice flow and the atmosphere. The latter is the most significant and, since ice has a downwards as well as horizontal motion, this carries cold ice down into the ice sheet. Since the temperature at which ice melts is lowered by pressure at a rate of 0.0137 degrees F for every atmosphere of pressure (something known since 1784), much of the ice sheet and its base must be below the freezing point. Estimates of the thickness of ice at the centre depend closely on the surface gradients assumed and range between 3 and 24 miles. Such uncertainty is of concern since both the volume and gravitational attraction of the ice mass have an effect on global sea level. In order to improve our estimate of the volume of ice, we will have to wait 76 years for John Glen to develop a realistic flow law for ice.</t>
  </si>
  <si>
    <t>[Croll, James] HM Geol Survey Scotland, 1 Victoria St, Edinburgh EH1 2HE, Midlothian, Scotland; [Sugden, David] Univ Edinburgh, Sch Geosci, Drummond St, Edinburgh EH8 9XP, Midlothian, Scotland</t>
  </si>
  <si>
    <t>University of Edinburgh</t>
  </si>
  <si>
    <t>Sugden, D (corresponding author), Univ Edinburgh, Sch Geosci, Drummond St, Edinburgh EH8 9XP, Midlothian, Scotland.</t>
  </si>
  <si>
    <t>David.Sugden@ed.ac.uk</t>
  </si>
  <si>
    <t>1755-6910</t>
  </si>
  <si>
    <t>1755-6929</t>
  </si>
  <si>
    <t>EARTH ENV SCI T R SO</t>
  </si>
  <si>
    <t>Earth Environ. Sci. Trans. R. Soc. Edinb.</t>
  </si>
  <si>
    <t>PII S1755691021000050</t>
  </si>
  <si>
    <t>10.1017/S1755691021000050</t>
  </si>
  <si>
    <t>Geosciences, Multidisciplinary; Paleontology</t>
  </si>
  <si>
    <t>Geology; Paleontology</t>
  </si>
  <si>
    <t>1H1EI</t>
  </si>
  <si>
    <t>WOS:000796288500011</t>
  </si>
  <si>
    <t>Tzedakis, PC; Wolff, EW</t>
  </si>
  <si>
    <t>Tzedakis, Polychronis C.; Wolff, Eric W.</t>
  </si>
  <si>
    <t>James Croll and geological archives: testing astronomical theories of ice ages</t>
  </si>
  <si>
    <t>Croll; eccentricity; Foraminifera; glacials; ice sheets; interglacials; Milankovitch; obliquity; oxygen isotopes; precession</t>
  </si>
  <si>
    <t>MIDDLE PLEISTOCENE; TENAGHI-PHILIPPON; GLACIAL CYCLES; ANTARCTIC CLIMATE; DEEP SECTION; RECORD; CORE; VARIABILITY; PALYNOLOGY; MONSOON</t>
  </si>
  <si>
    <t>James Croll's Physical Theory of Secular Changes of Climate emerged during an age of revolution in geology that included the rise of the glacial theory and the search for its underlying causes. According to Croll, periods of high eccentricity are associated with the persistence of long glacial epochs, within which glaciations occur in alternate hemispheres when winter is at aphelion every similar to 11,000 years; however, astronomical forcing is only able to produce glaciation by means of physical agencies (climate feedbacks) that amplify the small effects of varying seasonal irradiation. Croll understood the importance of interglacial deposits because they provided evidence for the occurrence of multiple glaciations within his long glacial epochs. He was aware of the limitations of the terrestrial record and suggested that deep-sea sediments would contain a continuous succession of glacial-interglacial cycles. Contrary to a widespread view, however, Croll was not envisaging the advent of palaeoceanographic exploration avant la lettre, but instead was drawing attention to the inadequacy of the land record as a testbed of his astronomical theory. Yet, the marine record did eventually deliver a test of astronomical theories almost exactly 100 years after the publication of his 1875 book Climate and Time in their Geological Relations. Here, we provide an historical account of the technological and scientific developments that led to this and a summary of insights on astronomically paced climate changes from marine, terrestrial and ice core records. We finally assess Croll's ideas in the context of our current understanding of the theory of ice ages.</t>
  </si>
  <si>
    <t>[Tzedakis, Polychronis C.] UCL, Environm Change Res Ctr, Dept Geog, London, England; [Wolff, Eric W.] Univ Cambridge, Dept Earth Sci, Cambridge, England</t>
  </si>
  <si>
    <t>University of London; University College London; University of Cambridge</t>
  </si>
  <si>
    <t>Tzedakis, PC (corresponding author), UCL, Environm Change Res Ctr, Dept Geog, London, England.</t>
  </si>
  <si>
    <t>p.c.tzedakis@ucl.ac.uk</t>
  </si>
  <si>
    <t>Wolff, Eric W/D-7925-2014; Tzedakis, Polychronis C/J-1894-2012</t>
  </si>
  <si>
    <t>Wolff, Eric W/0000-0002-5914-8531; Tzedakis, Polychronis/0000-0001-6072-1166</t>
  </si>
  <si>
    <t>10.1017/S1755691021000177</t>
  </si>
  <si>
    <t>WOS:000796288500014</t>
  </si>
  <si>
    <t>Moran, AL; Toh, MWA; Lobert, GT; Ely, T; Marko, PB</t>
  </si>
  <si>
    <t>Moran, A. L.; Toh, M-W A.; Lobert, G. T.; Ely, T.; Marko, P. B.</t>
  </si>
  <si>
    <t>Egg masses and larval development of the Antarctic cephalaspidean snail Waegelea antarctica (Cephalaspidea: Antarctophilinidae), with notes on egg masses of the related Antarctophiline alata</t>
  </si>
  <si>
    <t>JOURNAL OF MOLLUSCAN STUDIES</t>
  </si>
  <si>
    <t>OPISTHOBRANCH MOLLUSKS; MARINE-INVERTEBRATES; PACIFIC-OCEAN; GASTROPODA; SEA; REPRODUCTION; PHILINOIDEA; DISPERSAL; INFERENCE; PATTERNS</t>
  </si>
  <si>
    <t>We describe, for the first time, egg masses and larval developmental mode of a recently described Antarctic philinoid snail, Waegelea antarctica. Egg masses resembled the gelatinous, attached masses of many temperate philinoid species and contained very large offspring that hatched as developmentally advanced veligers with many juvenile features. Like other Antarctic heterobranch egg masses, development in the masses of W. antarctica appeared to be largely synchronous despite low internal oxygen levels. Hatched larvae could both swim and crawl, and we did not observe metamorphosis over several days. Molecular barcoding using cytochrome c oxidase subunit I (COI) showed an almost perfect (&lt;0.002% difference) match between our specimens from McMurdo Sound in the Ross Sea and a single sequence from a specimen collected &gt;8,000 km away in the Weddell Sea, suggesting either high realized larval dispersal or a recent range expansion. We also describe the egg mass of the related Antarctophiline alata (identified using COI barcoding) from the Ross Sea, which differed from published descriptions in having considerably smaller embryos.</t>
  </si>
  <si>
    <t>[Moran, A. L.; Toh, M-W A.; Lobert, G. T.; Ely, T.; Marko, P. B.] Univ Hawaii Manoa, Sch Life Sci, 2538 McCarthy Mall,Edmondson 216, Honolulu, HI 96822 USA</t>
  </si>
  <si>
    <t>University of Hawaii System; University of Hawaii Manoa</t>
  </si>
  <si>
    <t>Moran, AL (corresponding author), Univ Hawaii Manoa, Sch Life Sci, 2538 McCarthy Mall,Edmondson 216, Honolulu, HI 96822 USA.</t>
  </si>
  <si>
    <t>morana@hawaii.edu</t>
  </si>
  <si>
    <t>Moran, Amy L/F-7072-2011</t>
  </si>
  <si>
    <t>Moran, Amy/0000-0002-0604-5096</t>
  </si>
  <si>
    <t>[NSF-OPP-1745130]</t>
  </si>
  <si>
    <t>We thank the United States Antarctic Program ASC staff for invaluable help with field-and laboratory work in 2019 and 2020. We also thank P. Dayton, G. Robillard, B. Brueggeman and C. Collins for insights on past benthic observations near MIJ and Jeff Goddard and an anonymous reviewer for helpful comments on the manuscript. This project was supported by NSF-OPP-1745130 to A.L. Moran. This is publication no. 132 from the School of Life Sciences, University of Hawai'i at M anoa.</t>
  </si>
  <si>
    <t>0260-1230</t>
  </si>
  <si>
    <t>1464-3766</t>
  </si>
  <si>
    <t>J MOLLUS STUD</t>
  </si>
  <si>
    <t>J. Molluscan Stud.</t>
  </si>
  <si>
    <t>eyab027</t>
  </si>
  <si>
    <t>10.1093/mollus/eyab027</t>
  </si>
  <si>
    <t>0P3BV</t>
  </si>
  <si>
    <t>WOS:000784095900001</t>
  </si>
  <si>
    <t>McAfee, CWI; Rix, J; Quirk, SJ; Anker, PGD; Brisbourne, AM; Makinson, K</t>
  </si>
  <si>
    <t>McAfee, Carson W., I; Rix, Julius; Quirk, Sean J.; Anker, Paul G. D.; Brisbourne, Alex M.; Makinson, Keith</t>
  </si>
  <si>
    <t>Non-contact measurement system for hot water drilled ice boreholes</t>
  </si>
  <si>
    <t>Glaciological instruments and methods; ice engineering; remote sensing; subglacial lakes</t>
  </si>
  <si>
    <t>A programmable borehole measurement system was deployed in hot water drilled ice holes during the 'Bed Access and Monitoring of Ice Sheet History' (BEAMISH) project to drill to the bed of the Rutford Ice Stream in West Antarctica. This system operates autonomously (no live data) after deployment, and records borehole diameter (non-contact measurement), water column pressure, heading and inclination. Three cameras, two sideways looking and one vertical, are also included for visual inspection of hole integrity and sediments. The system is small, lightweight (similar to 35.5 kg) and low power using only 6 'D' cell sized lithium batteries, making it ideal for transport and use in remote field sites. The system is 2.81 m long and 165 mm in diameter, and can be deployed attached to the drill hose for measurements during drilling or on its own deployment line afterwards. The full system is discussed in detail, highlighting design strengths and weaknesses. Data from the BEAMISH project are also presented in the form of camera images showing hole integrity, and sensor data used to calculate borehole diameter through the full length of the hole. These data are used to show confidence in hole verticality and subsurface cavity development and connection.</t>
  </si>
  <si>
    <t>[McAfee, Carson W., I; Rix, Julius; Quirk, Sean J.; Anker, Paul G. D.; Brisbourne, Alex M.; Makinson, Keith] British Antarctic Survey, Cambridge, England</t>
  </si>
  <si>
    <t>McAfee, CWI (corresponding author), British Antarctic Survey, Cambridge, England.</t>
  </si>
  <si>
    <t>carmca@bas.ac.uk</t>
  </si>
  <si>
    <t>Makinson, Keith/A-2495-2013; Brisbourne, Alex/E-6198-2013</t>
  </si>
  <si>
    <t>Makinson, Keith/0000-0002-5791-1767; Anker, Paul/0000-0002-4359-4342; McAfee, Carson/0000-0001-6454-3512; Brisbourne, Alex/0000-0002-9887-7120; Rix, Julius/0000-0002-8048-9445; Quirk, Sean/0000-0001-7114-4472</t>
  </si>
  <si>
    <t>UK Natural Environment Research Council under AFI [NE/G014159/1]; Basal Conditions on Rutford Ice Stream: Bed Access, Monitoring and Ice Sheet History (BEAMISH); NERC [NE/R016038/1]; NERC [NE/G014159/1, NE/R016038/1, bas0100034, bas010011, bas0100033] Funding Source: UKRI</t>
  </si>
  <si>
    <t>UK Natural Environment Research Council under AFI; Basal Conditions on Rutford Ice Stream: Bed Access, Monitoring and Ice Sheet History (BEAMISH); NERC(UK Research &amp; Innovation (UKRI)Natural Environment Research Council (NERC)); NERC(UK Research &amp; Innovation (UKRI)Natural Environment Research Council (NERC))</t>
  </si>
  <si>
    <t>This technical development was supported by the UK Natural Environment Research Council under AFI grant NE/G014159/1, Basal Conditions on Rutford Ice Stream: Bed Access, Monitoring and Ice Sheet History (BEAMISH) and NERC grant NE/R016038/1, National Capability Polar Expertise Supporting UK Research.</t>
  </si>
  <si>
    <t>10.1017/aog.2020.85</t>
  </si>
  <si>
    <t>WOS:000756851600005</t>
  </si>
  <si>
    <t>Anker, PGD; Makinson, K; Nicholls, KW; Smith, AM</t>
  </si>
  <si>
    <t>Anker, Paul G. D.; Makinson, Keith; Nicholls, Keith W.; Smith, Andrew M.</t>
  </si>
  <si>
    <t>The BEAMISH hot water drill system and its use on the Rutford Ice Stream, Antarctica</t>
  </si>
  <si>
    <t>glaciological instruments and methods; ice engineering; subglacial sediments</t>
  </si>
  <si>
    <t>TOPOGRAPHY; BENEATH</t>
  </si>
  <si>
    <t>During the 2018/19 Antarctic field season, the British Antarctic Survey (BAS) Basal conditions on Rutford Ice Stream: BEd Access, Monitoring and Ice Sheet History' (BEAMISH) project drilled three holes through the Rutford Ice Stream, West Antarctica. At up to 2154 m, these are the deepest hot water drilled subglacial access holes yet created, enabling the recovery of sediment from the subglacial environment, and instrumenting the ice stream and its bed. The BEAMISH hot-water drill system was built on extensive experience with the BAS ice shelf hot-water drill and utilises many identical components. With up to 1 MW of heating power available, the hot water drill produces 140 L min(-1) of water at 85 degrees C to create a 300 mm diameter access hole to the base of the ice stream. New systems and processes were developed for BEAMISH to aid critical aspects of deep access drilling, most notably the creation of cavities interlinking boreholes at 230 m below the surface and enabling water recirculation throughout the deep drilling operations. The modular design of the BEAMISH drill offers many benefits in its adaptability, redundancy, and minimal logistical footprint. These design features can easily accommodate the modifications needed for future deep, clean access hole creation in the exploration of subglacial environments.</t>
  </si>
  <si>
    <t>[Anker, Paul G. D.; Makinson, Keith; Nicholls, Keith W.; Smith, Andrew M.] British Antarctic Survey, Cambridge, England</t>
  </si>
  <si>
    <t>Anker, PGD (corresponding author), British Antarctic Survey, Cambridge, England.</t>
  </si>
  <si>
    <t>pake1@bas.ac.uk</t>
  </si>
  <si>
    <t>Makinson, Keith/A-2495-2013</t>
  </si>
  <si>
    <t>Makinson, Keith/0000-0002-5791-1767; SMITH, ANDREW/0000-0001-8577-482X</t>
  </si>
  <si>
    <t>UK Natural Environment Research Council under AFI [NE/G014159/1]; Basal Conditions on Rutford Ice Stream: Bed Access, Monitoring, and Ice Sheet History (BEAMISH); NERC [NE/R016038/1]; NERC [NE/G014159/1, bas0100033, bas010011, bas0100034, NE/R016038/1] Funding Source: UKRI</t>
  </si>
  <si>
    <t>UK Natural Environment Research Council under AFI; Basal Conditions on Rutford Ice Stream: Bed Access, Monitoring, and Ice Sheet History (BEAMISH); NERC(UK Research &amp; Innovation (UKRI)Natural Environment Research Council (NERC)); NERC(UK Research &amp; Innovation (UKRI)Natural Environment Research Council (NERC))</t>
  </si>
  <si>
    <t>This technical development was supported by the UK Natural Environment Research Council under AFI grant NE/G014159/1, Basal Conditions on Rutford Ice Stream: Bed Access, Monitoring, and Ice Sheet History (BEAMISH) and NERC grant NE/R016038/1, National Capability Polar Expertise Supporting UK Research.</t>
  </si>
  <si>
    <t>10.1017/aog.2020.86</t>
  </si>
  <si>
    <t>WOS:000756851600006</t>
  </si>
  <si>
    <t>Makinson, K; Anker, PGD; Garcés, J; Goodger, DJ; Polfrey, S; Rix, J; Silva, A; Smith, AM; Uribe, JA; Zamora, R</t>
  </si>
  <si>
    <t>Makinson, Keith; Anker, Paul G. D.; Garces, Jonathan; Goodger, David J.; Polfrey, Scott; Rix, Julius; Silva, Alejandro; Smith, Andrew M.; Uribe, Jose A.; Zamora, Rodrigo</t>
  </si>
  <si>
    <t>Development of a clean hot water drill to access Subglacial Lake CECs, West Antarctica</t>
  </si>
  <si>
    <t>Glaciological instruments and methods; ice engineering; subglacial lakes</t>
  </si>
  <si>
    <t>ICE STREAM; WHILLANS; SYSTEM; WISSARD; DESIGN; SIZE</t>
  </si>
  <si>
    <t>Recent drilling successes on Rutford Ice Stream in West Antarctica demonstrate the viability of hot water drilling subglacial access holes to depths &gt;2000 m. Having techniques to access deep subglacial environments reliably paves the way for subglacial lake exploration beneath the thick central West Antarctic Ice Sheet. An ideal candidate lake, overlain by similar to 2650 m of ice, identified by Centro de Estudios Cientificos (CECs), Chile, has led to collaboration with British Antarctic Survey to access Subglacial Lake CECs (SLCECs). To conform with the Scientific Committee on Antarctic Research code of conduct, which provides a guide to responsible scientific exploration and stewardship of these pristine systems, any access drilling must minimise all aspects of contamination and disturbance of the subglacial environment. To meet these challenges, along with thicker ice and 2000 m elevation, pumping and water treatment systems developed for the Subglacial Lake Ellsworth project, together with new diesel generators, additional water heating and longer drill hose, are currently being integrated with the BEAMISH hot water drill. A dedicated test season near SLCECs will commission the new clean hot water drill, with testing and validation of all clean operating procedures. A subsequent season will then access SLCECs cleanly.</t>
  </si>
  <si>
    <t>[Makinson, Keith; Anker, Paul G. D.; Goodger, David J.; Polfrey, Scott; Rix, Julius; Smith, Andrew M.] British Antarctic Survey, Cambridge, England; [Garces, Jonathan; Silva, Alejandro; Uribe, Jose A.; Zamora, Rodrigo] Ctr Estudios Cient, Valdivia, Chile</t>
  </si>
  <si>
    <t>Makinson, K (corresponding author), British Antarctic Survey, Cambridge, England.</t>
  </si>
  <si>
    <t>kmak@bas.ac.uk</t>
  </si>
  <si>
    <t>Makinson, Keith/0000-0002-5791-1767; Rix, Julius/0000-0002-8048-9445; Uribe Parada, Jose Andres/0000-0002-5281-2719; Anker, Paul/0000-0002-4359-4342; Silva, Alejandro/0000-0003-0553-2893; Garces Pezo, Jonathan Alejandro/0000-0002-1319-9253; SMITH, ANDREW/0000-0001-8577-482X; Goodger, David/0000-0003-3188-6812</t>
  </si>
  <si>
    <t>UK Natural Environment Research Council (NERC); Base Finance program of ANID/PIA APOYO CCTE [AFB170003]; NERC [bas0100033] Funding Source: UKRI</t>
  </si>
  <si>
    <t>UK Natural Environment Research Council (NERC)(UK Research &amp; Innovation (UKRI)Natural Environment Research Council (NERC)); Base Finance program of ANID/PIA APOYO CCTE; NERC(UK Research &amp; Innovation (UKRI)Natural Environment Research Council (NERC))</t>
  </si>
  <si>
    <t>This work was supported by the UK Natural Environment Research Council (NERC) Joint Strategic Response (JSR) funding. CECs is co-funded by the Base Finance program of ANID/PIA APOYO CCTE AFB170003. We thank the four anonymous reviewers and scientific editor Pavel Talalay for their helpful comments.</t>
  </si>
  <si>
    <t>10.1017/aog.2020.88</t>
  </si>
  <si>
    <t>WOS:000756851600007</t>
  </si>
  <si>
    <t>Yu, HB; Zhu, TX; Jiang, X; Tang, YZ; Li, XD; Li, C; Huang, SM; Shi, JG; Sun, YH; Talalay, P; Fan, XP; Li, X; Li, YZ; Peng, SL</t>
  </si>
  <si>
    <t>Yu, Haibin; Zhu, Tianxin; Jiang, Xiao; Tang, Yongzhen; Li, Xiaodong; Li, Chong; Huang, Shengmiao; Shi, Jianguang; Sun, Youhong; Talalay, Pavel; Fan, Xiaopeng; Li, Xiao; Li, Yazhou; Peng, Shilin</t>
  </si>
  <si>
    <t>Recoverable Autonomous Sonde for subglacial lakes exploration: heating control system design</t>
  </si>
  <si>
    <t>Fuzzy PID algorithm; heating control; hot melt drilling; recoverable autonomous sonde (RECAS); solid-state power regulator; subglacial lakes</t>
  </si>
  <si>
    <t>Drilling and sampling are the most direct and effective methods available to study Antarctic subglacial lakes. Based on the Philberth probe, a Recoverable Autonomous Sonde (RECAS) allows for in situ lake water measurement and sampling, through the addition of an upper thermal tip and a cable recoiling mechanism. RECAS-200, a prototype of RECAS, has a drilling depth of 200 m, a surface supply voltage of 800 VAC and a downhole power of similar to 9.6 kW during drilling. In this study, a heating control system for RECAS-200 was designed. The system avoids the need for high-power step-down converters, by separating heating power from control power, thereby reducing the overall weight of the probe and avoiding the need to increase cable diameter. We also introduce a self-developed, small, solid-state, 800 VAC power regulator and a fuzzy PID temperature control algorithm. Their purpose was to manage the power adjustment of each heating element and to provide closed-loop temperature control of certain heating elements which can easily burn out due to overheating. Test results indicated that the proposed RECAS-200 heating control system met all our design specifications and could be easily assembled into the RECAS-200 probe.</t>
  </si>
  <si>
    <t>[Yu, Haibin; Zhu, Tianxin; Tang, Yongzhen; Li, Xiaodong; Li, Chong; Huang, Shengmiao; Shi, Jianguang; Peng, Shilin] Hangzhou Dianzi Univ, Coll Elect &amp; Informat, Hangzhou 310018, Peoples R China; [Yu, Haibin; Shi, Jianguang; Peng, Shilin] Zhejiang Prov Key Lab Equipment Elect, Hangzhou 310018, Peoples R China; [Jiang, Xiao] Hangzhou Dianzi Univ, Ocean Technol &amp; Equipment Ctr, Hangzhou 310018, Peoples R China; [Sun, Youhong] China Univ Geosci, Beijing 100083, Peoples R China; [Sun, Youhong; Talalay, Pavel; Fan, Xiaopeng; Li, Xiao; Li, Yazhou] Jilin Univ, Polar Res Ctr, Changchun 130000, Peoples R China</t>
  </si>
  <si>
    <t>Hangzhou Dianzi University; Hangzhou Dianzi University; China University of Geosciences; Jilin University</t>
  </si>
  <si>
    <t>Peng, SL (corresponding author), Hangzhou Dianzi Univ, Coll Elect &amp; Informat, Hangzhou 310018, Peoples R China.;Peng, SL (corresponding author), Zhejiang Prov Key Lab Equipment Elect, Hangzhou 310018, Peoples R China.</t>
  </si>
  <si>
    <t>psl@hdu.edu.cn</t>
  </si>
  <si>
    <t>sun, rong/JRX-7214-2023; li, xiaofeng/GXF-9442-2022; Wang, Xintong/JJE-1189-2023; Zhou, Yujie/HZI-3990-2023; yang, kun/JGM-4169-2023; Li, Kun/JLL-6505-2023; wang, xu/IAN-4886-2023; liang, liang/IAO-8518-2023; Shi, JG/G-4144-2010; sun, jia/IAM-5263-2023; li, xiao/GSN-6181-2022; li, xiao/HKV-8405-2023; Wang, Shiyao/JLL-7826-2023; li, yang/IQV-3559-2023; liu, jiaming/IWE-3196-2023; ZHOU, yf/IAO-5497-2023; Talalay, Pavel/AAH-2908-2020; ZHU, Licheng/KHT-6106-2024; li, xiao/HJP-5134-2023; Peng, Shilin/HOA-4453-2023</t>
  </si>
  <si>
    <t>Li, Kun/0000-0002-3638-2974; Talalay, Pavel/0000-0002-8230-4600;</t>
  </si>
  <si>
    <t>National Key Research and Development Project of China [2016YFC1400302]; Key Research and Development Program of Zhejiang Province [2020C03098]; Public Welfare Technology Research Project of Zhejiang Province [LGF21E090004]; Fundamental Research Funds for the Universities of Zhejiang Province [GK199900299012-024, GK209907299001-001]; Zhejiang Provincial Key Lab of Equipment Electronics</t>
  </si>
  <si>
    <t>National Key Research and Development Project of China; Key Research and Development Program of Zhejiang Province; Public Welfare Technology Research Project of Zhejiang Province; Fundamental Research Funds for the Universities of Zhejiang Province; Zhejiang Provincial Key Lab of Equipment Electronics</t>
  </si>
  <si>
    <t>This work was supported in part by the National Key Research and Development Project of China (Grants No. 2016YFC1400302); the Key Research and Development Program of Zhejiang Province (Grants No. 2020C03098); the Public Welfare Technology Research Project of Zhejiang Province (Grants No. LGF21E090004); the Fundamental Research Funds for the Universities of Zhejiang Province (Grants No. GK199900299012-024, GK209907299001-001); and Zhejiang Provincial Key Lab of Equipment Electronics. We also thank Mikhail Sysoev for his help in preparing illustrations. We also thank all the reviewers that provided insightful comments on our work and helped us to improve the paper substantially.</t>
  </si>
  <si>
    <t>10.1017/aog.2021.5</t>
  </si>
  <si>
    <t>WOS:000756851600009</t>
  </si>
  <si>
    <t>Hu, ZY; Shi, GT; Talalay, P; Li, YS; Fan, XP; An, CL; Zhang, N; Li, CJ; Liu, K; Yu, JH; Yang, C; Li, B; Liu, BW; Ma, TM</t>
  </si>
  <si>
    <t>Hu, Zhengyi; Shi, Guitao; Talalay, Pavel; Li, Yuansheng; Fan, Xiaopeng; An, Chunlei; Zhang, Nan; Li, Chuanjin; Liu, Ke; Yu, Jinhai; Yang, Cheng; Li, Bing; Liu, Bowen; Ma, Tianming</t>
  </si>
  <si>
    <t>Deep ice-core drilling to 800 m at Dome A in East Antarctica</t>
  </si>
  <si>
    <t>Antarctica; Dome A; ice core; ice coring; ice engineering; ice-core drilling</t>
  </si>
  <si>
    <t>ISOTOPE COMPOSITION; VOSTOK STATION; ACCUMULATION; VARIABILITY; RECORD; SNOW; OLD</t>
  </si>
  <si>
    <t>A deep ice core was drilled at Dome A, Antarctic Plateau, East Antarctica, which started with the installation of a casing in January 2012 and reached 800.8 m in January 2017. To date, a total of 337 successful ice-core drilling runs have been conducted, including 118 runs to drill the pilot hole. The total drilling time was 52 days, of which eight days were required for drilling down and reaming the pilot hole, and 44 days for deep ice coring. The average penetration depths of individual runs were 1 and 3.1 m for the pilot hole drilling and deep ice coring, respectively. The quality of the ice cores was imperfect in the brittle zone (650-800 m). Some of the troubles encountered are discussed for reference, such as armoured cable knotting, screws falling into the hole bottom, and damaged parts, among others.</t>
  </si>
  <si>
    <t>[Hu, Zhengyi; Shi, Guitao; Li, Yuansheng; An, Chunlei; Yu, Jinhai; Ma, Tianming] Polar Res Inst China, Shanghai, Peoples R China; [Shi, Guitao] East China Normal Univ, Key Lab Geog Informat Sci, Minist Educ, Sch Geog Sci, Shanghai, Peoples R China; [Shi, Guitao] East China Normal Univ, State Key Lab Estuarine &amp; Coastal Res, Shanghai, Peoples R China; [Talalay, Pavel; Fan, Xiaopeng; Zhang, Nan; Yang, Cheng; Li, Bing; Liu, Bowen] Jilin Univ, Polar Res Ctr, Changchun, Peoples R China; [Li, Chuanjin] Chinese Acad Sci, Northwest Inst Ecol &amp; Environm Resources, State Key Lab Cryospher Sci, Lanzhou, Peoples R China; [Liu, Ke] Nanjing Univ, Sch Geog &amp; Oceanog Sci, Minist Educ, Key Lab Coast &amp; Isl Dev, Nanjing 200136, Peoples R China</t>
  </si>
  <si>
    <t>Polar Research Institute of China; East China Normal University; East China Normal University; Jilin University; Chinese Academy of Sciences; Nanjing University</t>
  </si>
  <si>
    <t>Hu, ZY; Shi, GT (corresponding author), Polar Res Inst China, Shanghai, Peoples R China.;Shi, GT (corresponding author), East China Normal Univ, Key Lab Geog Informat Sci, Minist Educ, Sch Geog Sci, Shanghai, Peoples R China.;Shi, GT (corresponding author), East China Normal Univ, State Key Lab Estuarine &amp; Coastal Res, Shanghai, Peoples R China.</t>
  </si>
  <si>
    <t>huzhengyi@pric.org.cn; gtshi@geo.ecnu.edu.cn</t>
  </si>
  <si>
    <t>Talalay, Pavel/AAH-2908-2020</t>
  </si>
  <si>
    <t>Talalay, Pavel/0000-0002-8230-4600; Hu, Zhengyi/0000-0003-4643-6291; Li, Bing/0000-0002-5317-4798</t>
  </si>
  <si>
    <t>National Natural Science Foundation of China [41941004, 41941006, 41922046]; National Key Research and Development Program of China [2016YFA0302204]; Chinese Polar Environment Comprehensive Investigation &amp; Assessment Programmes [CHINARE 201X-02-02]; General Project of the National Natural Science Foundation of China [41876225]; Chinese National special environment; special function observation research station sharing service platform, Zhongshan Station</t>
  </si>
  <si>
    <t>National Natural Science Foundation of China(National Natural Science Foundation of China (NSFC)); National Key Research and Development Program of China; Chinese Polar Environment Comprehensive Investigation &amp; Assessment Programmes; General Project of the National Natural Science Foundation of China; Chinese National special environment; special function observation research station sharing service platform, Zhongshan Station</t>
  </si>
  <si>
    <t>First, we would like to extend our sincere gratitude to the 32nd and 33rd CHINARE for logistic support. We are deeply indebted to all Kunlun team members for their direct and indirect help. We especially acknowledge the deep ice-core drilling team members who, through their efforts, overcame hypobaric, hypoxia, and extreme cold severe environmental conditions at the highest altitude of the inland Antarctic to drill to 800 m. We express our sincere thanks to H. Motoyama at the National Institute of Polar Research, Japan, and Japanese drilling experts Y. Tanaka, M. Miyahara, and A. Takahashi for drilling technology support. Finally, we acknowledge Frank Wilhelms, Kenji Kawamura, and one anonymous reviewer for their detailed and constructive comments, which significantly improved this manuscript. This study was supported under the National Natural Science Foundation of China (41922046), the National Key Research and Development Program of China (2016YFA0302204), the Chinese Polar Environment Comprehensive Investigation &amp; Assessment Programmes (CHINARE 201X-02-02), the National Natural Science Foundation of China in 2019 special project polar Basic Science Frontier project (No. 41941004, No. 41941006), the General Project of the National Natural Science Foundation of China (No. 41876225), the Chinese National special environment, and the special function observation research station sharing service platform, Zhongshan Station.</t>
  </si>
  <si>
    <t>10.1017/aog.2021.2</t>
  </si>
  <si>
    <t>WOS:000756851600010</t>
  </si>
  <si>
    <t>Turkeev, AV; Vasilev, NI; Lipenkov, VY; Bolshunov, AV; Ekaykin, AA; Dmitriev, AN; Vasilev, DA</t>
  </si>
  <si>
    <t>Turkeev, Aleksei, V; Vasilev, Nikolai, I; Lipenkov, Vladimir Ya; Bolshunov, Alexey, V; Ekaykin, Alexey A.; Dmitriev, Andrei N.; Vasilev, Dmitrii A.</t>
  </si>
  <si>
    <t>Drilling the new 5G-5 branch hole at Vostok Station for collecting a replicate core of old meteoric ice</t>
  </si>
  <si>
    <t>Ice drilling; old ice; paleoclimate; replicate ice coring; sidetracking</t>
  </si>
  <si>
    <t>Recent studies have shown that stratigraphically disturbed meteoric ice bedded at Vostok Station between 3318 and 3539m dates back to 1.2 Ma BP and possibly beyond. As part of the VOICE (Vostok Oldest Ice Challenge) initiative, a new deviation from parent hole 5G-1 was made at depths of 3270-3291m in the 2018/19 austral season with the aim of obtaining a replicate core of the old ice. Sidetracking was initiated using the standard KEMS-132 electromechanical drill routinely employed for deep ice coring at Vostok, without significant changes to its initial design. Here we describe the method and operating procedures for replicate coring at a targeted depth in an existing slant hole, involving the use of a cable-suspended electromechanical drill. The design of the milling cutter head used for sidetracking is presented. The performance characteristics and the experience of drilling branch-hole 5G-5 at Vostok are described and discussed.</t>
  </si>
  <si>
    <t>[Turkeev, Aleksei, V; Lipenkov, Vladimir Ya; Ekaykin, Alexey A.] Arctic &amp; Antarctic Res Inst, St Petersburg, Russia; [Vasilev, Nikolai, I; Bolshunov, Alexey, V; Dmitriev, Andrei N.; Vasilev, Dmitrii A.] St Petersburg Min Univ, St Petersburg, Russia; [Ekaykin, Alexey A.] St Petersburg State Univ, Inst Earth Sci, St Petersburg, Russia</t>
  </si>
  <si>
    <t>Arctic &amp; Antarctic Research Institute; Saint Petersburg Mining University; Saint Petersburg State University</t>
  </si>
  <si>
    <t>Turkeev, AV (corresponding author), Arctic &amp; Antarctic Res Inst, St Petersburg, Russia.</t>
  </si>
  <si>
    <t>turkeev@aari.ru</t>
  </si>
  <si>
    <t>Васильев, Дмитрий/IAO-0238-2023; Ekaykin, Alexey/K-9894-2015</t>
  </si>
  <si>
    <t>Ekaykin, Alexey/0000-0001-9819-2802; Vasilev, Dmitrii/0000-0001-8132-8881; Vasilev, Dmitri/0000-0001-5552-861X</t>
  </si>
  <si>
    <t>Russian Science Foundation [18-17-00110]; Russian Science Foundation [18-17-00110] Funding Source: Russian Science Foundation</t>
  </si>
  <si>
    <t>Russian Science Foundation(Russian Science Foundation (RSF)); Russian Science Foundation(Russian Science Foundation (RSF))</t>
  </si>
  <si>
    <t>This work was financially supported by the Russian Science Foundation, grant no. 18-17-00110. Logistic support for the drilling operation at Vostok Station was provided by the Russian Antarctic Expedition. The authors thank Alice Lagnado for English editing of the manuscript and two anonymous reviewers whose valuable comments helped to improve the paper.</t>
  </si>
  <si>
    <t>10.1017/aog.2021.4</t>
  </si>
  <si>
    <t>WOS:000756851600011</t>
  </si>
  <si>
    <t>Mulvaney, R; Rix, J; Polfrey, S; Grieman, M; Martìn, C; Nehrbass-Ahles, C; Rowell, I; Tuckwell, R; Wolff, E</t>
  </si>
  <si>
    <t>Mulvaney, Robert; Rix, Julius; Polfrey, Scott; Grieman, Mackenzie; Martin, Carlos; Nehrbass-Ahles, Christoph; Rowell, Isobel; Tuckwell, Rebecca; Wolff, Eric</t>
  </si>
  <si>
    <t>Ice drilling on Skytrain Ice Rise and Sherman Island, Antarctica</t>
  </si>
  <si>
    <t>Glaciological instruments and methods; ice coring; paleoclimate</t>
  </si>
  <si>
    <t>CORE; TEMPERATURE; SHELF; PENINSULA; COMMITMENT; CLIMATE; AGE</t>
  </si>
  <si>
    <t>To understand the long-term climate and glaciological evolution of the ice sheet in the region bordering the Weddell Sea, the British Antarctic Survey has undertaken a series of successful ice core projects drilling to bedrock on Berkner Island, James Ross Island and the Fletcher Promontory. A new project, WACSWAIN, seeks to increase this knowledge by further drilling to bedrock on two further ice rises in this region. In a single-season project, an ice core was recovered to bedrock at 651 m on Skytrain Ice Rise using an ice core drill in a fluid-filled borehole. In a second season, a rapid access drill was used to recover ice chips to 323 m on Sherman Island in a dry borehole, though failing to reach the bedrock which was at an estimated depth of 428 m.</t>
  </si>
  <si>
    <t>[Mulvaney, Robert; Rix, Julius; Polfrey, Scott; Martin, Carlos; Tuckwell, Rebecca] British Antarctic Survey, Madingley Rd, Cambridge CB3 0ET, England; [Grieman, Mackenzie; Nehrbass-Ahles, Christoph; Rowell, Isobel; Wolff, Eric] Univ Cambridge, Dept Earth Sci, Downing St, Cambridge CB2 3EQ, England; [Tuckwell, Rebecca] Thermo Electron, Cambridge, England</t>
  </si>
  <si>
    <t>UK Research &amp; Innovation (UKRI); Natural Environment Research Council (NERC); NERC British Antarctic Survey; University of Cambridge</t>
  </si>
  <si>
    <t>Mulvaney, R (corresponding author), British Antarctic Survey, Madingley Rd, Cambridge CB3 0ET, England.</t>
  </si>
  <si>
    <t>rmu@bas.ac.uk</t>
  </si>
  <si>
    <t>Wolff, Eric W/D-7925-2014; Mulvaney, Robert/K-3929-2012</t>
  </si>
  <si>
    <t>Wolff, Eric W/0000-0002-5914-8531; Grieman, Mackenzie/0000-0001-9610-7141; Rowell, Isobel/0000-0003-0238-2340; Nehrbass-Ahles, Christoph/0000-0002-4009-4633; Rix, Julius/0000-0002-8048-9445; Mulvaney, Robert/0000-0002-5372-8148</t>
  </si>
  <si>
    <t>European Research Council under the Horizon 2020 research and innovation programme [742224]; Royal Society Fellowship; European Research Council (ERC) [742224] Funding Source: European Research Council (ERC)</t>
  </si>
  <si>
    <t>European Research Council under the Horizon 2020 research and innovation programme(European Research Council (ERC)); Royal Society Fellowship(Royal Society); European Research Council (ERC)(European Research Council (ERC)Spanish Government)</t>
  </si>
  <si>
    <t>We thank the ever helpful and enthusiastic BAS Operations and Logistics sections, the Air Unit and all on station at Rothera for their support of the WACSWAIN project field work. The Field Guides Caspar McKeever supported us on Skytrain Ice Rise, and Sarah Crowsley and Tom King supported us on Sherman Island along with research student Dieter Tetzner. This project has received funding from the European Research Council under the Horizon 2020 research and innovation programme (grant agreement No 742224). This material reflects only the author's views and the Commission is not liable for any use that may be made of the information contained therein. E.W. is also supported by a Royal Society Fellowship.</t>
  </si>
  <si>
    <t>10.1017/aog.2021.7</t>
  </si>
  <si>
    <t>gold, Green Accepted, Green Published</t>
  </si>
  <si>
    <t>WOS:000756851600012</t>
  </si>
  <si>
    <t>Goodge, JW; Severinghaus, JP; Johnson, J; Tosi, D; Bay, R</t>
  </si>
  <si>
    <t>Goodge, John W.; Severinghaus, Jeffrey P.; Johnson, Jay; Tosi, Delia; Bay, Ryan</t>
  </si>
  <si>
    <t>Deep ice drilling, bedrock coring and dust logging with the Rapid Access Ice Drill (RAID) at Minna Bluff, Antarctica</t>
  </si>
  <si>
    <t>Antarctic glaciology; glacial tills; ice and climate; ice coring; subglacial sediments</t>
  </si>
  <si>
    <t>BOREHOLE; MCMURDO</t>
  </si>
  <si>
    <t>Rapid Access Ice Drill is a new drilling technology capable of quickly accessing the glacial bed of Antarctic ice sheets, retrieving ice core and rock core samples, and providing boreholes for downhole logging of physical properties. Scientific goals include searching for old ice near the glacial bed and sampling subglacial bedrock. During field trials near McMurdo Station on a piedmont glacier at Minna Bluff in the 2019-20 austral summer, we successfully completed a 'top-to-bottom' operational sequence in three boreholes by (1) augering through firn, (2) creating a borehole packer seal in non-porous ice, (3) establishing fluid circulation, (4) quickly drilling a borehole in ice at penetration rates up to 1.2mmin-1, (5) acquiring a short ice core at depth, (6) penetrating the glacial bed at a depth of similar to 677 m, (7) recovering a 3.2m core of ice, basal till and subglacial bedrock, (8) optically logging the borehole on wireline, (9) testing hydrofracture potential by overpressuring the borehole fluid and (10) operating in an environmentally benign yet rapid field mode. Minna Bluff testing, therefore, demonstrates the effectiveness of this integrated system to drill rapidly through thick ice and penetrate across the glacial bed to take cores of bedrock.</t>
  </si>
  <si>
    <t>[Goodge, John W.] Univ Minnesota, Dept Earth &amp; Environm Sci, Duluth, MN 55812 USA; [Severinghaus, Jeffrey P.] Univ Calif San Diego, Scripps Inst Oceanog, La Jolla, CA 92093 USA; [Johnson, Jay] Univ Wisconsin Madison, US Ice Drilling Program, Madison, WI 53706 USA; [Tosi, Delia] Univ Wisconsin Madison, Wisconsin IceCube Particle Astrophys Ctr, Madison, WI 53703 USA; [Bay, Ryan] Univ Calif Berkeley, Dept Phys &amp; Space Sci Lab, Berkeley, CA 94720 USA</t>
  </si>
  <si>
    <t>University of Minnesota System; University of Minnesota Duluth; University of California System; University of California San Diego; Scripps Institution of Oceanography; University of Wisconsin System; University of Wisconsin Madison; University of Wisconsin System; University of Wisconsin Madison; University of California System; University of California Berkeley</t>
  </si>
  <si>
    <t>Goodge, JW (corresponding author), Univ Minnesota, Dept Earth &amp; Environm Sci, Duluth, MN 55812 USA.</t>
  </si>
  <si>
    <t>jgoodge@d.umn.edu</t>
  </si>
  <si>
    <t>Goodge, John/GQI-3878-2022</t>
  </si>
  <si>
    <t>Goodge, John/0000-0003-2578-3147</t>
  </si>
  <si>
    <t>Division of Polar Programs at the US National Science Foundation [1242027, 1419935, 1242049, 1419979]; Directorate For Geosciences [1242027, 1419935] Funding Source: National Science Foundation; Directorate For Geosciences; Office of Polar Programs (OPP) [1419979] Funding Source: National Science Foundation; Directorate For Geosciences; Office of Polar Programs (OPP) [1242049] Funding Source: National Science Foundation; Division Of Polar Programs [1242027] Funding Source: National Science Foundation; Office of Polar Programs (OPP) [1419935] Funding Source: National Science Foundation</t>
  </si>
  <si>
    <t>Division of Polar Programs at the US National Science Foundation; Directorate For Geosciences(National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Division Of Polar Programs(National Science Foundation (NSF)NSF - Directorate for Geosciences (GEO)); Office of Polar Programs (OPP)(National Science Foundation (NSF)NSF - Directorate for Geosciences (GEO))</t>
  </si>
  <si>
    <t>Successful drilling at Minna Bluff in 2019-20 was accomplished through the hard work and persistence of the RAID Drilling Team, composed of Chris Peone, Thor Hall, Don Kirkpatrick, Owen Little, David Lundberg, Ray Martin, Shawntel Stapleton and Anthony Vecchiarelli. We thank Chris Delahunty, Tanner Kuhl, Karen Marshall, Claudia Rock and Blaise Stephanus for their profound dedication during birth and development of the RAID system. We are also grateful for the technical support provided by Krissy Slawny and the US Ice Drilling Program. Bob Hawley graciously loaned his optical televiewer. Outstanding field operational support for AFT3 was provided by Matthew Kippenhan, Rebecca Ricards, Ioffe Lee and the Minna Bluff camp and traverse staff, including Tyler Gilbertson, Hailey Gruber, Terry Jordan, Joey Preston and Martha Sortland. Very helpful review comments were provided by editor Pavel Talalay, Tanner Kuhl and two anonymous reviewers. The RAID development project is supported by the Division of Polar Programs at the US National Science Foundation with awards to Goodge (1242027 and 1419935) and Severinghaus (1242049 and 1419979).</t>
  </si>
  <si>
    <t>10.1017/aog.2021.13</t>
  </si>
  <si>
    <t>WOS:000756851600013</t>
  </si>
  <si>
    <t>Priscu, JC; Kalin, J; Winans, J; Campbell, T; Siegfried, MR; Skidmore, M; Dore, JE; Leventer, A; Harwood, DM; Duling, D; Zook, R; Burnett, J; Gibson, D; Krula, E; Mironov, A; McManis, J; Roberts, G; Rosenheim, BE; Christner, BC; Kasic, K; Fricker, HA; Lyons, WB; Barker, J; Bowling, M; Collins, B; Davis, C; Gagnon, A; Gardner, C; Gustafson, C; Kim, OS; Li, W; Michaud, A; Patterson, MO; Tranter, M; Venturelli, R; Vick-Majors, T; Elsworth, C</t>
  </si>
  <si>
    <t>Priscu, John C.; Kalin, Jonas; Winans, John; Campbell, Timothy; Siegfried, Matthew R.; Skidmore, Mark; Dore, John E.; Leventer, Amy; Harwood, David M.; Duling, Dennis; Zook, Robert; Burnett, Justin; Gibson, Dar; Krula, Edward; Mironov, Anatoly; McManis, Jim; Roberts, Graham; Rosenheim, Brad E.; Christner, Brent C.; Kasic, Kathy; Fricker, Helen A.; Lyons, W. Berry; Barker, Joel; Bowling, Mark; Collins, Billy; Davis, Christina; Gagnon, Al; Gardner, Christopher; Gustafson, Chloe; Kim, Ok-Sun; Li, Wei; Michaud, Alex; Patterson, Molly O.; Tranter, Martyn; Venturelli, Ryan; Vick-Majors, Trista; Elsworth, Cooper</t>
  </si>
  <si>
    <t>Scientific access into Mercer Subglacial Lake: scientific objectives, drilling operations and initial observations</t>
  </si>
  <si>
    <t>Antarctic glaciology; basal ice; biogeochemistry; glacial sedimentology; subglacial lakes</t>
  </si>
  <si>
    <t>WHILLANS ICE STREAM; WEST ANTARCTICA; CONTINENT-WIDE; SYSTEM; WISSARD; VOSTOK; BOREHOLE; EQUATION; BENEATH</t>
  </si>
  <si>
    <t>The Subglacial Antarctic Lakes Scientific Access (SALSA) Project accessed Mercer Subglacial Lake using environmentally clean hot-water drilling to examine interactions among ice, water, sediment, rock, microbes and carbon reservoirs within the lake water column and underlying sediments. A similar to 0.4m diameter borehole was melted through 1087m of ice and maintained over similar to 10 days, allowing observation of ice properties and collection of water and sediment with various tools. Over this period, SALSA collected: 60 L of lake water and 10 L of deep borehole water; microbes &gt;0.2 mu m in diameter from in situ filtration of similar to 100 L of lake water; 10 multicores 0.32-0.49m long; 1.0 and 1.76m long gravity cores; three conductivity-temperature-depth profiles of borehole and lake water; five discrete depth current meter measurements in the lake and images of ice, the lake water-ice interface and lake sediments. Temperature and conductivity data showed the hydrodynamic character of water mixing between the borehole and lake after entry. Models simulating melting of the similar to 6m thick basal accreted ice layer imply that debris fall-out through the similar to 15m water column to the lake sediments from borehole melting had little effect on the stratigraphy of surficial sediment cores.</t>
  </si>
  <si>
    <t>[Priscu, John C.; Dore, John E.; Li, Wei] Montana State Univ, Dept Land Resources &amp; Environm Sci, Bozeman, MT 59717 USA; [Kalin, Jonas; Duling, Dennis; Zook, Robert; Gibson, Dar; Krula, Edward; Roberts, Graham; Bowling, Mark] Univ Nebraska Lincoln, Antarctic Sci Management Off, Lincoln, NE USA; [Winans, John] Northern Illinois Univ, Dept Comp Sci, De Kalb, IL 60115 USA; [Campbell, Timothy; Skidmore, Mark] Montana State Univ, Dept Earth Sci, Bozeman, MT 59717 USA; [Siegfried, Matthew R.] Colorado Sch Mines, Dept Geophys, Golden, CO 80401 USA; [Leventer, Amy] Colgate Univ, Dept Geol, Hamilton, NY 13346 USA; [Harwood, David M.] Univ Nebraska Lincoln, Dept Earth &amp; Atmospher Sci, Lincoln, NE USA; [Burnett, Justin] Univ Washington, Appl Phys Lab, Seattle, WA 98105 USA; [Mironov, Anatoly] Univ Nebraska Lincoln, Dept Phys &amp; Astron, Lincoln, NE USA; [McManis, Jim] Univ Nebraska, Engn &amp; Sci Res Support Facil, Lincoln, NE USA; [Rosenheim, Brad E.; Venturelli, Ryan] Univ S Florida, Coll Marine Sci, St Petersburg, FL USA; [Christner, Brent C.; Davis, Christina] Univ Florida, Dept Microbiol &amp; Cell Sci, Gainesville, FL 32611 USA; [Kasic, Kathy; Collins, Billy] Calif State Univ Sacramento, Commun Studies, Sacramento, CA 95819 USA; [Fricker, Helen A.] Univ Calif San Diego, Scripps Inst Oceanog, Inst Geophys &amp; Planetary Phys, San Diego, CA 92103 USA; [Lyons, W. Berry; Gardner, Christopher] Ohio State Univ, Dept Earth Sci, Columbus, OH 43210 USA; [Barker, Joel] Univ Minnesota, Dept Earth &amp; Environm Sci, Minneapolis, MN USA; [Gagnon, Al] Woods Hole Oceanog Inst, Geol &amp; Geophys, Woods Hole, MA 02543 USA; [Gustafson, Chloe] Swansea Univ, Swansea, W Glam, Wales; [Kim, Ok-Sun] Korea Polar Res Inst, Div Life Sci, Incheon 21990, South Korea; [Michaud, Alex] Bigelow Lab Ocean Sci, East Boothbay, ME USA; [Patterson, Molly O.] SUNY Binghamton, Geol Sci &amp; Environm Studies, Binghamton, NY USA; [Tranter, Martyn] Univ Bristol, Sch Geog Sci, Bristol, Avon, England; [Vick-Majors, Trista] Michigan Technol Univ, Dept Biol Sci, Houghton, MI 49931 USA; [Elsworth, Cooper] Descartes Labs, Santa Fe, NM USA</t>
  </si>
  <si>
    <t>Montana State University System; Montana State University Bozeman; University of Nebraska System; University of Nebraska Lincoln; Northern Illinois University; Montana State University System; Montana State University Bozeman; Colorado School of Mines; Colgate University; University of Nebraska System; University of Nebraska Lincoln; University of Washington; University of Washington Seattle; University of Nebraska System; University of Nebraska Lincoln; University of Nebraska System; University of Nebraska Lincoln; State University System of Florida; University of South Florida; State University System of Florida; University of Florida; California State University System; California State University Sacramento; University of California System; University of California San Diego; Scripps Institution of Oceanography; University System of Ohio; Ohio State University; University of Minnesota System; University of Minnesota Twin Cities; Woods Hole Oceanographic Institution; Swansea University; Korea Polar Research Institute (KOPRI); Bigelow Laboratory for Ocean Sciences; State University of New York (SUNY) System; State University of New York (SUNY) Binghamton; University of Bristol; Michigan Technological University</t>
  </si>
  <si>
    <t>Priscu, JC (corresponding author), Montana State Univ, Dept Land Resources &amp; Environm Sci, Bozeman, MT 59717 USA.</t>
  </si>
  <si>
    <t>jpriscu@montana.edu</t>
  </si>
  <si>
    <t>Michaud, Alex/AAC-4890-2020; Roberts, Gareth M/H-4496-2011; Tranter, Martyn/E-3722-2010</t>
  </si>
  <si>
    <t>Michaud, Alex/0000-0001-5714-8741; Leventer, Amy/0000-0001-9401-0987; Patterso, Molly/0000-0002-5058-9269; Vick-Majors, Trista/0000-0002-6868-4010</t>
  </si>
  <si>
    <t>US National Science Foundation, Section for Antarctic Sciences, Antarctic Integrated System Science program as part of the interdisciplinary (Subglacial Antarctic Lakes Scientific Access (SALSA): Integrated study of carbon cycling in hydrologically-active [NSF-OPP 1543537, 1543396, 1543405, 1543453, 1543441]; Korean Polar Research Institute; Ice Drilling Program of Dartmouth College [NSF-PLR 1327315]</t>
  </si>
  <si>
    <t>US National Science Foundation, Section for Antarctic Sciences, Antarctic Integrated System Science program as part of the interdisciplinary (Subglacial Antarctic Lakes Scientific Access (SALSA): Integrated study of carbon cycling in hydrologically-active; Korean Polar Research Institute; Ice Drilling Program of Dartmouth College</t>
  </si>
  <si>
    <t>This material is based upon work supported by the US National Science Foundation, Section for Antarctic Sciences, Antarctic Integrated System Science program as part of the interdisciplinary (Subglacial Antarctic Lakes Scientific Access (SALSA): Integrated study of carbon cycling in hydrologically-active subglacial environments) project (NSF-OPP 1543537, 1543396, 1543405, 1543453 and 1543441). Ok-Sun Kim was funded by the Korean Polar Research Institute. We are particularly thankful to the SALSA traverse personnel for crucial technical and logistical support. The United States Antarctic Program enabled our fieldwork; the New York Air National Guard and Kenn Borek Air provided air support; UNAVCO provided geodetic instrument support. Hot water drilling activities, including repair and upgrade modifications of the WISSARD hot water drill system, for the SALSA project were supported by a subaward from the Ice Drilling Program of Dartmouth College (NSF-PLR 1327315) to the University of Nebraska-Lincoln. J. Lawrence assisted with manuscript preparation. Finally, we are grateful to C. Dean, the SALSA Project Manager, and R. Ricards, SALSA Project Coordinator at McMurdo Station, for their organizational skills, and B. Huber of Lamont-Doherty Earth Observatory for providing the SBE39 PT sensors and the Nortek Aquadopp current meter and assisting with interpretation of the data. B. Huber also provided helpful input on programing and calibrating the SBE19PlusV2 6112 CTD. The manuscript benefited from comments made by K. Makinson, P. Talalay and three anonymous reviewers.</t>
  </si>
  <si>
    <t>10.1017/aog.2021.10</t>
  </si>
  <si>
    <t>WOS:000756851600014</t>
  </si>
  <si>
    <t>Markov, A; Talalay, P; Sysoev, M; Miller, A; Cherepakhin, A</t>
  </si>
  <si>
    <t>Markov, Aleksey; Talalay, Pavel; Sysoev, Mikhail; Miller, Andrey; Cherepakhin, Alexander</t>
  </si>
  <si>
    <t>Borehole multi-functional logger for geophysical high-precision monitoring in Antarctic and Greenland ice sheets and glaciers</t>
  </si>
  <si>
    <t>Antarctica; borehole; geophysics; logger; MEMS</t>
  </si>
  <si>
    <t>TEMPERATURE PROFILES</t>
  </si>
  <si>
    <t>This article presents the main aspects of the design solutions (based on the application of sensors MEMS and cantilevers), testing and applying of the multi-functional borehole logger ANTTIC (Antarctic Thermo-barometer, Inclinometer, Caliper) for geophysical high-precision monitoring (when simultaneous registering of temperature, pressure, axis inclination angle and radii of borehole cross-sections at 12 points), which is designed specifically for ultra-low temperatures and ultra-high pressures, and to determine an elliptical borehole shape and registration anisotropy factor in deep ice boreholes in the central region of Eastern Antarctica, in the areas of dome A at the Kunlun station (China) and/or of lake Vostok at the Vostok station (Russia).</t>
  </si>
  <si>
    <t>[Markov, Aleksey; Talalay, Pavel; Sysoev, Mikhail] Jilin Univ, Polar Res Ctr, Changchun, Peoples R China; [Miller, Andrey] St Petersburg Min Univ, St Petersburg, Russia; [Cherepakhin, Alexander] GeoGet Co Ltd, St Petersburg, Russia</t>
  </si>
  <si>
    <t>Jilin University; Saint Petersburg Mining University</t>
  </si>
  <si>
    <t>Markov, A (corresponding author), Jilin Univ, Polar Res Ctr, Changchun, Peoples R China.</t>
  </si>
  <si>
    <t>am100@inbox.ru</t>
  </si>
  <si>
    <t>Talalay, Pavel/0000-0002-8230-4600</t>
  </si>
  <si>
    <t>10.1017/aog.2021.17</t>
  </si>
  <si>
    <t>WOS:000756851600017</t>
  </si>
  <si>
    <t>Makinson, K; Ashurst, D; Anker, PGD; Smith, JA; Hodgson, DA; Davis, PED; Smith, AM</t>
  </si>
  <si>
    <t>Makinson, Keith; Ashurst, Daniel; Anker, Paul G. D.; Smith, James A.; Hodgson, Dominic A.; Davis, Peter E. D.; Smith, Andrew M.</t>
  </si>
  <si>
    <t>A new percussion hammer mechanism for a borehole deployable subglacial sediment corer</t>
  </si>
  <si>
    <t>Ice engineering; glacial sedimentology; subglacial sediments</t>
  </si>
  <si>
    <t>HOT-WATER DRILL; ICE-SHELF</t>
  </si>
  <si>
    <t>Subglacial sediments have the potential to reveal information about the controls on glacier flow, changes in ice-sheet history and characterise life in those environments. Retrieving sediments from beneath the ice, through hot water drilled access holes at remote field locations, present many challenges. Motivated by the need to minimise weight, corer diameter and simplify assembly and operation, British Antarctic Survey, in collaboration with UWITEC, developed a simple mechanical percussion corer. At depths over 1000m however, manual operation of the percussion hammer is compromised by the lack of clear operator feedback at the surface. To address this, we present a new auto-release-recovery percussion hammer mechanism that makes coring operations depth independent and improves hammer efficiency. Using a single rope tether for both the corer and hammer operation, this modified percussion corer is relatively simple to operate, easy to maintain, and has successfully operated at a depth of &gt;2130 m.</t>
  </si>
  <si>
    <t>[Makinson, Keith; Ashurst, Daniel; Anker, Paul G. D.; Smith, James A.; Hodgson, Dominic A.; Davis, Peter E. D.; Smith, Andrew M.] British Antarctic Survey, Cambridge, England</t>
  </si>
  <si>
    <t>UK Natural Environment Research Council under AFI [NE/G014159/1]; NERC [NE/R016038/1]; NERC [NE/G014159/1, bas010011, bas0100033, bas0100030, NE/R016038/1, bas0100034] Funding Source: UKRI</t>
  </si>
  <si>
    <t>UK Natural Environment Research Council under AFI; NERC(UK Research &amp; Innovation (UKRI)Natural Environment Research Council (NERC)); NERC(UK Research &amp; Innovation (UKRI)Natural Environment Research Council (NERC))</t>
  </si>
  <si>
    <t>This technical development was supported by the UK Natural Environment Research Council under AFI grant NE/G014159/1, Basal Conditions on Rutford Ice Stream: Bed Access, Monitoring, and Ice Sheet History (BEAMISH) and NERC grant NE/R016038/1, National Capability Polar Expertise Supporting UK Research. The authors thank Alex Brisbourne for his helpful comments on an earlier version the paper. We also thank the useful feedback from our two anonymous reviewers and scientific editor Pavel Talalay.</t>
  </si>
  <si>
    <t>10.1017/aog.2020.83</t>
  </si>
  <si>
    <t>WOS:000756851600018</t>
  </si>
  <si>
    <t>Souney, JM; Twickler, MS; Aydin, M; Steig, EJ; Fudge, TJ; Street, LV; Nicewonger, MR; Kahle, EC; Johnson, JA; Kuhl, TW; Casey, KA; Fegyveresi, JM; Nunn, RM; Hargreaves, GM</t>
  </si>
  <si>
    <t>Souney, Joseph M.; Twickler, Mark S.; Aydin, Murat; Steig, Eric J.; Fudge, T. J.; Street, Leah V.; Nicewonger, Melinda R.; Kahle, Emma C.; Johnson, Jay A.; Kuhl, Tanner W.; Casey, Kimberly A.; Fegyveresi, John M.; Nunn, Richard M.; Hargreaves, Geoffrey M.</t>
  </si>
  <si>
    <t>Core handling, transportation and processing for the South Pole ice core (SPICEcore) project (vol 62, pg 118, 2021)</t>
  </si>
  <si>
    <t>[Souney, Joseph M.; Twickler, Mark S.] Univ New Hampshire, Inst Study Earth Oceans &amp; Space, Durham, NH 03824 USA; [Aydin, Murat; Nicewonger, Melinda R.] Univ Calif Irvine, Dept Earth Syst Sci, Irvine, CA 92697 USA; [Steig, Eric J.; Fudge, T. J.; Kahle, Emma C.] Univ Washington, Dept Earth &amp; Space Sci, Seattle, WA 98195 USA; [Street, Leah V.] US Antarctic Program, Antarct Support Contract, Denver, CO USA; [Johnson, Jay A.; Kuhl, Tanner W.] Univ Wisconsin Madison, US Ice Drilling Program, Madison, WI USA; [Casey, Kimberly A.] US Geol Survey, Natl Land Imaging Program, 959 Natl Ctr, Reston, VA 22092 USA; [Casey, Kimberly A.] NASA, Goddard Space Flight Ctr, Code 661, Greenbelt, MD 20771 USA; [Fegyveresi, John M.] No Arizona Univ, Sch Earth &amp; Sustainabil, Flagstaff, AZ 86011 USA; [Nunn, Richard M.; Hargreaves, Geoffrey M.] US Geol Survey, NSF Ice Core Facil, Box 25046, Denver, CO 80225 USA; [Nicewonger, Melinda R.] NOAA, ESRL Global Monitoring Div, Boulder, CO USA</t>
  </si>
  <si>
    <t>University System Of New Hampshire; University of New Hampshire; University of California System; University of California Irvine; University of Washington; University of Washington Seattle; University of Wisconsin System; University of Wisconsin Madison; United States Department of the Interior; United States Geological Survey; National Aeronautics &amp; Space Administration (NASA); NASA Goddard Space Flight Center; Northern Arizona University; United States Department of the Interior; United States Geological Survey; National Oceanic Atmospheric Admin (NOAA) - USA</t>
  </si>
  <si>
    <t>Nicewonger, MR (corresponding author), Univ Calif Irvine, Dept Earth Syst Sci, Irvine, CA 92697 USA.</t>
  </si>
  <si>
    <t>Steig, Eric J/G-9088-2015</t>
  </si>
  <si>
    <t>10.1017/aog.2021.18</t>
  </si>
  <si>
    <t>WOS:000756851600020</t>
  </si>
  <si>
    <t>Frederiksen, CS; Zheng, XG; Grainger, S</t>
  </si>
  <si>
    <t>Frederiksen, Carsten S.; Zheng, Xiaogu; Grainger, Simon</t>
  </si>
  <si>
    <t>Decadal and Multidecadal Variability in ERSSTv5 Global SST during 1879-2018</t>
  </si>
  <si>
    <t>ENSO; Pacific decadal oscillation; Climate variability; Decadal variability</t>
  </si>
  <si>
    <t>SEA-SURFACE TEMPERATURE; CLIMATE VARIABILITY; INTERANNUAL VARIABILITY; NCEP-NCAR; ENSO; PREDICTABILITY; OSCILLATION; CIRCULATION; TELECONNECTION; MODULATION</t>
  </si>
  <si>
    <t>Decadal and multidecadal variability in the ERSSTv5 global SST dataset are studied in terms of implicit fast (noise) and slow (signal) processes that affect variability on decadal time scales. Using a new method that better estimates the fast, or noise, component of decadal variability, estimates of the modes of variability in the slow component are possible. The fast component of decadal variability has a leading fast mode, which explains 62% of the variance, and it is shown that this fast variability, or decadal climate noise, is well represented by any of the indices associated with intradecadal or interannual variability in the tropical Pacific Ocean. Three slow modes are identified, representing 69% of the slow multidecadal variance, after removing the radiative forcing trend. These modes are shown to be related to variability in the Atlantic multidecadal oscillation (AMO) and SST multidecadal variability in the central western Pacific and in the Indian Ocean gyre region, respectively. The first and third slow modes represent two phases of a propagating mode with a period of about 80 years. The second slow mode represents multidecadal variability of the western Pacific warm pool, which is less robust than the other two and shown to be weakly related to the AMO with a lag of about 30 years; fast variability in this region is related to the leading fast mode. Three regions of significant slow variability are identified south of Australia, south of Africa, and near the Drake Passage in association with the Antarctic Circumpolar Current.</t>
  </si>
  <si>
    <t>[Frederiksen, Carsten S.] CSIRO Oceans &amp; Atmosphere, Aspendale, Vic, Australia; [Frederiksen, Carsten S.; Grainger, Simon] Bur Meteorol, Melbourne, Vic, Australia; [Zheng, Xiaogu] Chinese Acad Sci, CAS Key Lab Reg ClimateEnvironm Temperate East As, Inst Atmospher Phys, Beijing, Peoples R China</t>
  </si>
  <si>
    <t>Commonwealth Scientific &amp; Industrial Research Organisation (CSIRO); Bureau of Meteorology - Australia; Chinese Academy of Sciences; Institute of Atmospheric Physics, CAS</t>
  </si>
  <si>
    <t>Frederiksen, CS (corresponding author), CSIRO Oceans &amp; Atmosphere, Aspendale, Vic, Australia.;Frederiksen, CS (corresponding author), Bur Meteorol, Melbourne, Vic, Australia.;Zheng, XG (corresponding author), Chinese Acad Sci, CAS Key Lab Reg ClimateEnvironm Temperate East As, Inst Atmospher Phys, Beijing, Peoples R China.</t>
  </si>
  <si>
    <t>carsten.frederiksen@bom.gov.au; x.zheng@bnu.edu.cn</t>
  </si>
  <si>
    <t>National Key R&amp;D Program of China [2016YFC0207703]; National Natural Science Foundation of China [41630523, 41975112, 41575093]</t>
  </si>
  <si>
    <t>National Key R&amp;D Program of China; National Natural Science Foundation of China(National Natural Science Foundation of China (NSFC))</t>
  </si>
  <si>
    <t>This work was supported by the National Key R&amp;D Program of China (Grant 2016YFC0207703) and the National Natural Science Foundation of China (Grants 41630523, 41975112, and 41575093). The authors thank the editor and the reviewers for valuable comments that helped to improve the paper.</t>
  </si>
  <si>
    <t>10.1175/JCLI-D-20-0902.1</t>
  </si>
  <si>
    <t>YV3JK</t>
  </si>
  <si>
    <t>WOS:000752626900009</t>
  </si>
  <si>
    <t>Zhu, CY; Liu, ZY; Zhang, SQ; Wu, LX</t>
  </si>
  <si>
    <t>Zhu, Chenyu; Liu, Zhengyu; Zhang, Shaoqing; Wu, Lixin</t>
  </si>
  <si>
    <t>Global Oceanic Overturning Circulation Forced by the Competition between Greenhouse Gases and Continental Ice Sheets during the Last Deglaciation</t>
  </si>
  <si>
    <t>Meridional overturning circulation; Greenhouse gases; Ice sheets; General circulation models</t>
  </si>
  <si>
    <t>WESTERLY WIND CHANGES; ANTARCTIC SEA-ICE; ATLANTIC-OCEAN; DEEP; MODEL; STRATIFICATION; TRANSPORT; STRENGTH; GEOMETRY; PACIFIC</t>
  </si>
  <si>
    <t>The deglacial change of Atlantic meridional overturning circulation (AMOC) since the Last Glacial Maximum (LGM; similar to 21 ka) has been studied extensively in both reconstructions and model simulations. While reconstructions suggest a shoaling of AMOC at the LGM, the strength of glacial AMOC relative to the modern day remains highly uncertain in both reconstructions and models. Using transient simulations of climate evolution forced by individual deglacial forcings since the LGM, this study shows that the uncertainties in glacial AMOC intensity can be caused by a competition between the elevated glacial Northern Hemisphere (NH) ice sheets and the reduced glacial greenhouse gases, in which the former tend to strengthen the AMOC while the latter play an opposite role. In spite of the dramatic difference of climate between the LGM and the present, the cancellation between the impacts of the two forcings leaves the strength of the glacial AMOC not too different from the modern day (0.5 Sv stronger in our study; 1 Sv 10(6) m(3) s(-1)). Furthermore, consistent with theoretical analysis, the response of the AMOC return flow to either forcing is predominantly compensated by an interbasin exchange between the Indo-Pacific (including the Indo-Pacific sector of Southern Ocean) and Atlantic via the Agulhas Current.</t>
  </si>
  <si>
    <t>[Zhu, Chenyu; Zhang, Shaoqing; Wu, Lixin] Ocean Univ China, Frontiers Sci Ctr Deep Ocean Multispheres &amp; Earth, Coll Ocean &amp; Atmospher Sci, Inst Adv Ocean Study,Key Lab Phys Oceanog, Qingdao, Peoples R China; [Zhu, Chenyu; Zhang, Shaoqing; Wu, Lixin] Qingdao Pilot Natl Lab Marine Sci &amp; Technol, Qingdao, Peoples R China; [Liu, Zhengyu] Ohio State Univ, Dept Geog, Atmospher Sci Program, Columbus, OH 43210 USA; [Zhang, Shaoqing] Int Lab High Resolut Earth Syst Model &amp; Predict i, Qingdao, Peoples R China</t>
  </si>
  <si>
    <t>Ocean University of China; Laoshan Laboratory; University System of Ohio; Ohio State University</t>
  </si>
  <si>
    <t>Zhu, CY (corresponding author), Ocean Univ China, Frontiers Sci Ctr Deep Ocean Multispheres &amp; Earth, Coll Ocean &amp; Atmospher Sci, Inst Adv Ocean Study,Key Lab Phys Oceanog, Qingdao, Peoples R China.;Zhu, CY (corresponding author), Qingdao Pilot Natl Lab Marine Sci &amp; Technol, Qingdao, Peoples R China.;Liu, ZY (corresponding author), Ohio State Univ, Dept Geog, Atmospher Sci Program, Columbus, OH 43210 USA.</t>
  </si>
  <si>
    <t>zhuchenyu@ouc.edu.cn; liu.7022@osu.edu</t>
  </si>
  <si>
    <t>Zhang, Shaoqing/X-3124-2019; Zhu, Chenyu/JAC-9261-2023; Zhu, Chenyu/GNM-9706-2022</t>
  </si>
  <si>
    <t>Zhu, Chenyu/0000-0002-9330-4294</t>
  </si>
  <si>
    <t>Natural Science Foundation of China [41630527]; Ministry of Science and Technology [2017YFA0603801]; U.S. National Science Foundation (NSF) [1656907, 1810681]; Pilot National Laboratory for Marine Science and Technology (Qingdao); Div Atmospheric &amp; Geospace Sciences; Directorate For Geosciences [1656907] Funding Source: National Science Foundation; Division Of Ocean Sciences; Directorate For Geosciences [1810681] Funding Source: National Science Foundation</t>
  </si>
  <si>
    <t>Natural Science Foundation of China(National Natural Science Foundation of China (NSFC)); Ministry of Science and Technology(Spanish Government); U.S. National Science Foundation (NSF)(National Science Foundation (NSF)); Pilot National Laboratory for Marine Science and Technology (Qingdao); Div Atmospheric &amp; Geospace Sciences; Directorate For Geosciences(National Science Foundation (NSF)NSF - Directorate for Geosciences (GEO)); Division Of Ocean Sciences; Directorate For Geosciences(National Science Foundation (NSF)NSF - Directorate for Geosciences (GEO))</t>
  </si>
  <si>
    <t>We thank Drs. Feng He and Wei Liu for helpful discussion on TraCE21 setup and three anonymous reviewers for their valuable comments. Weacknowledge the highperformance computing support from NCAR's Computational and Information Systems Laboratory (CISL). This work is jointly supported by the Natural Science Foundation of China Grant 41630527, Ministry of Science and Technology 2017YFA0603801, U.S. National Science Foundation (NSF) projects 1656907 and 1810681; and the Pilot National Laboratory for Marine Science and Technology (Qingdao).</t>
  </si>
  <si>
    <t>10.1175/JCLI-D-21-0125.1</t>
  </si>
  <si>
    <t>WOS:000752626900014</t>
  </si>
  <si>
    <t>Lu, H; Gray, LJ; Martineau, P; King, JC; Bracegirdle, TJ</t>
  </si>
  <si>
    <t>Lu, Hua; Gray, Lesley J.; Martineau, Patrick; King, John C.; Bracegirdle, Thomas J.</t>
  </si>
  <si>
    <t>Regime Behavior in the Upper Stratosphere as a Precursor of Stratosphere-Troposphere Coupling in the Northern Winter</t>
  </si>
  <si>
    <t>Arctic Oscillation; Planetary waves; Potential vorticity; Rossby waves; Stratospheric circulation; Wave breaking; North Atlantic Oscillation; Pacific-North American pattern/oscillation; Stratosphere-troposphere coupling; Troposphere; Winter/cool season</t>
  </si>
  <si>
    <t>ROSSBY-WAVE BREAKING; QUASI-BIENNIAL OSCILLATION; WARMING EVENTS; ANNULAR MODES; PLANETARY; VORTEX; CLIMATOLOGY; CIRCULATION; DISTURBANCES; TEMPERATURE</t>
  </si>
  <si>
    <t>A new regime index is constructed to capture the seasonal development of the stratospheric polar vortex in the northern winter, based on the standard deviation of Ertel's potential vorticity in the upper stratosphere in November-December. The narrow-jet flow regime is characterized by a polar vortex that is more confined to high latitudes in the early winter upper stratosphere. This upper-level vortex configuration is more susceptible to the disturbances of upward propagating planetary-scale Rossby waves; the stratospheric polar vortex thus weakens earlier and is vertically shallower. The wide-jet flow regime is characterized by a broader-than-average polar vortex that extends further into the subtropics in the early winter upper stratosphere. The polar night jet then gradually strengthens, moves poleward, and penetrates deep into the lowermost stratosphere, with a sharply defined polar vortex edge due to more frequent Rossby wave breaking. Composite difference analyses show that the wide- and narrow-jet regimes, defined in the uppermost stratosphere in November-December, lead to different circulation anomalies of the lower stratosphere and the troposphere in January-February, offering the potential for improved predictability of subseasonal to seasonal forecasts up to two months ahead. The lower-tropospheric responses in January-February are zonally asymmetric. The narrow-jet regime projects most strongly over the North Atlantic, with an equatorward-shifted and/or broader midlatitude westerly jet. The wide-jet-regime response is characterized by a weakened midlatitude westerly jet over the North Pacific. The two flow regimes also differ in their impacts on the storm track over western Europe and the east coast of North America, which may have implications for extreme weather events in those regions.</t>
  </si>
  <si>
    <t>[Lu, Hua; King, John C.; Bracegirdle, Thomas J.] British Antarctic Survey, Cambridge, England; [Gray, Lesley J.] Univ Oxford, Natl Ctr Atmospher Sci, Dept Phys, Clarendon Lab, Oxford, England; [Martineau, Patrick] Japan Agcy Marine Earth Sci &amp; Technol, Yokosuka, Kanagawa, Japan</t>
  </si>
  <si>
    <t>UK Research &amp; Innovation (UKRI); Natural Environment Research Council (NERC); NERC British Antarctic Survey; University of Oxford; UK Research &amp; Innovation (UKRI); Natural Environment Research Council (NERC); NERC National Centre for Atmospheric Science; Japan Agency for Marine-Earth Science &amp; Technology (JAMSTEC)</t>
  </si>
  <si>
    <t>Lu, H (corresponding author), British Antarctic Survey, Cambridge, England.</t>
  </si>
  <si>
    <t>hlu@bas.ac.uk</t>
  </si>
  <si>
    <t>Lu, Hua/GXA-0276-2022</t>
  </si>
  <si>
    <t>Lu, Hua/0000-0001-9485-5082; Martineau, Patrick/0000-0002-2370-6765</t>
  </si>
  <si>
    <t>NERC North Atlantic Climate System Integrated Study (ACSIS) [NE/N018028]; Japan Society for the Promotion of Science (JSPS); Japanese Ministry of Education, Culture, Sports, Science and Technology (MEXT) through the Arctic Challenge for Sustainability (ArCS) Program [JPMXD1300000000]; NERC [NE/N018001/1, bas0100032, NE/V013130/1] Funding Source: UKRI</t>
  </si>
  <si>
    <t>NERC North Atlantic Climate System Integrated Study (ACSIS); Japan Society for the Promotion of Science (JSPS)(Ministry of Education, Culture, Sports, Science and Technology, Japan (MEXT)Japan Society for the Promotion of Science); Japanese Ministry of Education, Culture, Sports, Science and Technology (MEXT) through the Arctic Challenge for Sustainability (ArCS) Program; NERC(UK Research &amp; Innovation (UKRI)Natural Environment Research Council (NERC))</t>
  </si>
  <si>
    <t>This study is part of the British Antarctic Survey (BAS) Polar Science for Planet Earth programme and the National Centre for Atmospheric Science (NCAS) of the Natural Environment Research Council (NERC). HL, LJG, JCK, and TJB also were supported by the NERC North Atlantic Climate System Integrated Study (ACSIS) (NE/N018028). PM was supported by the Japan Society for the Promotion of Science (JSPS) and the Japanese Ministry of Education, Culture, Sports, Science and Technology (MEXT) through the Arctic Challenge for Sustainability (ArCS) Program (JPMXD1300000000). We acknowledge use NCEP CFSR reanalysis data on isentropic coordinates (https://www.ncdc.noaa.gov/data-access/).We thank two anonymous reviewers for constructive comments on earlier versions of the paper.</t>
  </si>
  <si>
    <t>10.1175/JCLI-D-20-0831.1</t>
  </si>
  <si>
    <t>WOS:000752626900021</t>
  </si>
  <si>
    <t>Hu, AX; Meehl, GA; Rosenbloom, N; Molina, MJ; Strand, WG</t>
  </si>
  <si>
    <t>Hu, Aixue; Meehl, Gerald A.; Rosenbloom, Nan; Molina, Maria J.; Strand, Warren G.</t>
  </si>
  <si>
    <t>The Influence of Variability in Meridional Overturning on Global Ocean Circulation</t>
  </si>
  <si>
    <t>Meridional overturning circulation; Ocean circulation; Coupled models; Oceanic variability</t>
  </si>
  <si>
    <t>ANTARCTIC CIRCUMPOLAR CURRENT; FRESH-WATER; NORTH-ATLANTIC; BERING STRAIT; THERMOHALINE CIRCULATION; TIME-SERIES; INDONESIAN THROUGHFLOW; HEMISPHERIC-ASYMMETRY; CLIMATE VARIABILITY; VOLUME TRANSPORT</t>
  </si>
  <si>
    <t>The Atlantic meridional overturning circulation (AMOC) is an important global-scale circulation and changes in AMOC can induce significant regional and global climate impacts. Here we study the stability of AMOC and its influence on global ocean circulation and the surface climate though analyzing a set of sensitivity experiments using the Community Earth System Model version 1 (CESM1). Results show that a collapsed AMOC can induce changes in global ocean circulation, such as reduced (or reversed) Bering Strait transport and weakened Indonesian Throughflow and Agulhas Current, but strengthened Drake Passage transport. It also changes the global wind pattern and surface temperature, such as a seesaw-like surface temperature change between Northern and Southern Hemispheres, a weakening of the Indian-Australian summer monsoon, and a southward shift of the Southern Ocean westerlies. We also found that AMOC and the Pacific deep meridional overturning circulation (PMOC) do not form a natural seesaw under modern-day climate and geography. A collapsed AMOC (active PMOC) is not stable under modern conditions if there is no additional freshwater (salt) input in the subpolar North Atlantic (Pacific), suggesting that the modern mean state of AMOC (PMOC) does not depend on local haline forcing although its variability and changes do.</t>
  </si>
  <si>
    <t>[Hu, Aixue; Meehl, Gerald A.; Rosenbloom, Nan; Molina, Maria J.; Strand, Warren G.] Natl Ctr Atmospher Res, Climate &amp; Global Dynam Lab, Boulder, CO 80303 USA</t>
  </si>
  <si>
    <t>National Center Atmospheric Research (NCAR) - USA</t>
  </si>
  <si>
    <t>Hu, AX (corresponding author), Natl Ctr Atmospher Res, Climate &amp; Global Dynam Lab, Boulder, CO 80303 USA.</t>
  </si>
  <si>
    <t>ahu@ucar.edu</t>
  </si>
  <si>
    <t>Hu, Aixue/E-1063-2013; Molina, Maria J./JJC-1915-2023; Molina, Maria/P-5465-2018</t>
  </si>
  <si>
    <t>Hu, Aixue/0000-0002-1337-287X; Molina, Maria/0000-0001-8539-8916</t>
  </si>
  <si>
    <t>Regional and Global Model Analysis (RGMA) component of the Earth and Environmental System Modeling Program of the U.S. Department of Energy's Office of Biological and Environmental Research (BER) via National Science Foundation [IA 1844590]; National Science Foundation of the United States of America; National Science Foundation [ark:/85065/d7wd3xhc]; Office of Science of the U.S. Department of Energy [DE-AC02-05CH11231]</t>
  </si>
  <si>
    <t>Regional and Global Model Analysis (RGMA) component of the Earth and Environmental System Modeling Program of the U.S. Department of Energy's Office of Biological and Environmental Research (BER) via National Science Foundation; National Science Foundation of the United States of America(National Science Foundation (NSF)); National Science Foundation(National Science Foundation (NSF)); Office of Science of the U.S. Department of Energy(United States Department of Energy (DOE))</t>
  </si>
  <si>
    <t>We thank Val Byfield andMeric Srokosz from the UK National Oceanography Centre for providing the editable PDF version of the AMOC schematic figure. Portions of this study were supported by the Regional and Global Model Analysis (RGMA) component of the Earth and Environmental System Modeling Program of the U.S. Department of Energy's Office of Biological and Environmental Research (BER) via National Science Foundation IA 1844590. The National Center for Atmospheric Research is sponsored by National Science Foundation of the United States of America. Computing resources (ark:/85065/d7wd3xhc) were partially provided by the Climate Simulation Laboratory at NCAR's Computational and Information Systems Laboratory, sponsored by the National Science Foundation and other agencies. This research also used resources of the National Energy Research Scientific Computing Center, a DOE Office of Science User Facility supported by the Office of Science of the U.S. Department of Energy under Contract DE-AC02-05CH11231.</t>
  </si>
  <si>
    <t>10.1175/JCLI-D-21-0119.1</t>
  </si>
  <si>
    <t>Bronze, Green Submitted</t>
  </si>
  <si>
    <t>WOS:000752626900022</t>
  </si>
  <si>
    <t>Nemirovskaya, IA; Gordeev, VV</t>
  </si>
  <si>
    <t>Nemirovskaya, Inna A.; Gordeev, Vyacheslav V.</t>
  </si>
  <si>
    <t>Features of suspended matter distribution at the atmosphere-water boundary in the Atlantic and Southern Oceans</t>
  </si>
  <si>
    <t>RUSSIAN JOURNAL OF EARTH SCIENCES</t>
  </si>
  <si>
    <t>Aerosols; surface water; suspended particulate matter; organic matter; C-org; chlorophyll a; lipids; hydrocarbons</t>
  </si>
  <si>
    <t>SEDIMENTARY MATTER; ORGANIC-COMPOUNDS; MARINE AEROSOLS; SURFACE WATERS; SAHARAN DUST; TRANSECT; FRONTS; STORMS</t>
  </si>
  <si>
    <t>The new results of studying the particle size distribution of aerosol, suspended matter and organic compounds in the suspended matter of surface waters of the South and Atlantic Oceans along the Africa-Antarctic-Southern America-English Channel route are presented. The measurements show that the fraction of 0-3 mu m prevails in the particle size distribution of aerosols. The maximum amount of aerosols was found in the coastal regions of Europe (on average 29,353 p/L), and the minimum - in the coastal regions of Antarctica (on average 5197 p/L), that is due to the Antarctic ice cover on the continent. In surface waters, the distribution of suspended particulate matter and organic matter in it is mainly influenced by the frontal zones. In the Antarctic region, the development of phytoplankton at the ice - water interface in the surface water layer leads to an increase in the concentrations of suspended particulate matter and chlorophyll a and, to a lesser extent, of lipids and hydrocarbons. In the open waters of the arid oceanic zones, the influx of aerosols from the atmosphere has the most significant effect on the formation of suspended matter and organic matter in surface waters in comparison with the another parts of the oceans.</t>
  </si>
  <si>
    <t>[Nemirovskaya, Inna A.; Gordeev, Vyacheslav V.] RAS, Shirshov Inst Oceanol, 36 Nahimovskiy Pr, Moscow 117997, Russia</t>
  </si>
  <si>
    <t>Nemirovskaya, IA (corresponding author), RAS, Shirshov Inst Oceanol, 36 Nahimovskiy Pr, Moscow 117997, Russia.</t>
  </si>
  <si>
    <t>nemir44@mail.ru</t>
  </si>
  <si>
    <t>Nemirovskaya, Inna/GYD-8003-2022</t>
  </si>
  <si>
    <t>Nemirovskaya, Inna/0000-0002-2772-6982</t>
  </si>
  <si>
    <t>Russian Antarctic Expedition [0128-2021-0006]; [19-17-00234]; Russian Science Foundation [19-17-00234] Funding Source: Russian Science Foundation</t>
  </si>
  <si>
    <t>Russian Antarctic Expedition; ; Russian Science Foundation(Russian Science Foundation (RSF))</t>
  </si>
  <si>
    <t>The results of the studies were obtained within the state task (#0128-2021-0006); the sampling was supported by the Russian Antarctic Expedition, the generalization of results and the paper composition were supported by the Russian Science Foundation (grant 19-17-00234).</t>
  </si>
  <si>
    <t>GEOPHYSICAL CENTER RAS</t>
  </si>
  <si>
    <t>MOSCOW</t>
  </si>
  <si>
    <t>MOLODEZHNAYA ST 3, MOSCOW, 119296, RUSSIA</t>
  </si>
  <si>
    <t>1681-1208</t>
  </si>
  <si>
    <t>RUSS J EARTH SCI</t>
  </si>
  <si>
    <t>Russ. J. Earth Sci.</t>
  </si>
  <si>
    <t>SEP-OCT</t>
  </si>
  <si>
    <t>ES5005</t>
  </si>
  <si>
    <t>10.2205/2021ES000777</t>
  </si>
  <si>
    <t>YY9HW</t>
  </si>
  <si>
    <t>WOS:000755096900005</t>
  </si>
  <si>
    <t>Cerovecki, I; Meijers, AJS</t>
  </si>
  <si>
    <t>Cerovecki, Ivana; Meijers, Andrew J. S.</t>
  </si>
  <si>
    <t>Strong Quasi-Stationary Wintertime Atmospheric Surface Pressure Anomalies Drive a Dipole Pattern in the Subantarctic Mode Water Formation</t>
  </si>
  <si>
    <t>Atmosphere-ocean interaction; Oceanic mixed layer; Interannual variability; Oceanic variability</t>
  </si>
  <si>
    <t>SOUTHERN-OCEAN; VARIABILITY; SEA; PACIFIC</t>
  </si>
  <si>
    <t>The deepest wintertime (July-September) mixed layers associated with Subantarctic Mode Water (SAMW) formation develop in the Indian and Pacific sectors of the Southern Ocean. In these two sectors the dominant interannual variability of both deep wintertime mixed layers and SAMW volume is an east-west dipole pattern in each basin. The variability of these dipoles is strongly correlated with the interannual variability of overlying winter quasi-stationary mean sea level pressure (MSLP) anomalies. Anomalously strong positive MSLP anomalies are found to result in the deepening of the wintertime mixed layers and an increase in the SAMW formation in the eastern parts of the dipoles in the Pacific and Indian sectors. These effects are due to enhanced cold southerly meridional winds, strengthened zonal winds, and increased surface ocean heat loss. The opposite occurs in the western parts of the dipoles in these sectors. Conversely, strong negative MSLP anomalies result in shoaling (deepening) of the wintertime mixed layers and a decrease (increase) in SAMW formation in the eastern (western) regions. The MSLP variabilities of the Pacific and Indian basin anomalies are not always in phase, especially in years with a strong El Nino, resulting in different patterns of SAMW formation in the western versus eastern parts of the Indian and Pacific sectors. Strong isopycnal depth and thickness anomalies develop in the SAMW density range in years with strong MSLP anomalies. When advected eastward, they act to precondition downstream SAMW formation in the subsequent winter.</t>
  </si>
  <si>
    <t>[Cerovecki, Ivana] Scripps Inst Oceanog, La Jolla, CA 92093 USA; [Meijers, Andrew J. S.] British Antarctic Survey, Cambridge, England</t>
  </si>
  <si>
    <t>University of California System; University of California San Diego; Scripps Institution of Oceanography; UK Research &amp; Innovation (UKRI); Natural Environment Research Council (NERC); NERC British Antarctic Survey</t>
  </si>
  <si>
    <t>Cerovecki, I (corresponding author), Scripps Inst Oceanog, La Jolla, CA 92093 USA.</t>
  </si>
  <si>
    <t>icerovecki@ucsd.edu</t>
  </si>
  <si>
    <t>National Science Foundation [OCE-1658001]; NASA [80NSSC19K1115]; NERC [bas0100033, NE/N018095/1] Funding Source: UKRI</t>
  </si>
  <si>
    <t>National Science Foundation(National Science Foundation (NSF)); NASA(National Aeronautics &amp; Space Administration (NASA)); NERC(UK Research &amp; Innovation (UKRI)Natural Environment Research Council (NERC))</t>
  </si>
  <si>
    <t>IC received support from National Science Foundation Award OCE-1658001 and NASA Grant 80NSSC19K1115. IC would like to thank Mark Bourassa for particularly helpful suggestions. The Nino-3.4 index has been obtained from http://www.cpc.ncep.noaa.gov/data/indices/sstoi.indices, while the SAM index has been retrieved from https://climatedataguide.ucar.edu/climate-data/marshall-southernannular-mode-sam-index-station-based.</t>
  </si>
  <si>
    <t>10.1175/JCLI-D-20-0593.1</t>
  </si>
  <si>
    <t>YV2UO</t>
  </si>
  <si>
    <t>WOS:000752587000003</t>
  </si>
  <si>
    <t>Zhang, CR; Zhang, J; Wu, QG</t>
  </si>
  <si>
    <t>Zhang, Chongran; Zhang, Jing; Wu, Qigang</t>
  </si>
  <si>
    <t>Antarctic Peninsula Regional Circulation and Its Impact on the Surface Melt of Larsen C Ice Shelf</t>
  </si>
  <si>
    <t>Atmosphere; Antarctica; Atmospheric circulation; Empirical orthogonal functions; Regression analysis; Interannual variability; Trends</t>
  </si>
  <si>
    <t>WEST ANTARCTICA; CLIMATE; RETREAT</t>
  </si>
  <si>
    <t>Enhanced surface melt over the ice shelves of the Antarctic Peninsula (AP) is one of the precursors to their collapse, which can be proceeded by accelerated ground glacier flow and increased contribution to sea level rise. With the collapse of Larsen A and B and the major 2017 calving event from Larsen C, whether Larsen C is bound for a similar fate has received increasing attention. Here, the interannual variation of regional circulation over the AP region is studied using the empirical orthogonal function (EOF)/principal component (PC) analysis on the sea level pressure of ERAS. The EOF modes capture the variations of depth, location, and extent of Amundsen Sea low and Weddell Sea low in each season. Statistically significant positive correlations exist between Larsen C surface temperature and the PC time series of EOF mode 1 in winter and spring through northerly/northwesterly wind anomalies west of the AP. The PC time series of EOF mode 2 is negatively correlated with Larsen C surface temperature in autumn and summer and surface melt in summer, all due to southerly wind anomalies east of the AP. Surface energy budget analysis associated with EOF mode 2 shows that downwelling longwave radiation over Larsen C has negative statistically significant correlations with EOF mode 2 and is the major atmospheric forcing regulating the variation of Larsen C surface melt. Positively enhanced EOF mode 2 since 2004 is responsible for the recent cooling and decline of surface melt over Larsen C.</t>
  </si>
  <si>
    <t>[Zhang, Chongran; Zhang, Jing] North Carolina A&amp;T State Univ, Greensboro, NC 27411 USA; [Wu, Qigang] Fudan Univ, Shanghai, Peoples R China</t>
  </si>
  <si>
    <t>University of North Carolina; North Carolina A&amp;T State University; Fudan University</t>
  </si>
  <si>
    <t>Zhang, CR (corresponding author), North Carolina A&amp;T State Univ, Greensboro, NC 27411 USA.</t>
  </si>
  <si>
    <t>chongran.zhang@gmail.com</t>
  </si>
  <si>
    <t>Zhang, Jing/B-3465-2009; Zhang, Chongran/GWQ-6559-2022</t>
  </si>
  <si>
    <t>Zhang, Jing/0000-0001-7530-1121</t>
  </si>
  <si>
    <t>NSF [OPP-1649713, OPP-1543445]</t>
  </si>
  <si>
    <t>This study was sponsored by the NSF Grants OPP-1649713 and OPP-1543445. Computational resources were mainly provided by the Research Computing Systems (RCS) at the University of Alaska Fairbanks. The authors acknowledge the two anonymous reviewers whose suggestions helped to improve the manuscript.</t>
  </si>
  <si>
    <t>10.1175/JCLI-D-20-1002.1</t>
  </si>
  <si>
    <t>WOS:000752587000020</t>
  </si>
  <si>
    <t>Balwada, D; Xiao, QY; Smith, S; Abernathey, R; Gray, AR</t>
  </si>
  <si>
    <t>Balwada, Dhruv; Xiao, Qiyu; Smith, Shafer; Abernathey, Ryan; Gray, Alison R.</t>
  </si>
  <si>
    <t>Vertical Fluxes Conditioned on Vorticity and Strain Reveal Submesoscale Ventilation</t>
  </si>
  <si>
    <t>Ocean; Southern Ocean; Channel flows; Mass fluxes/transport; Transport; Upwelling/downwelling; Vertical motion; Frontogenesis/frontolysis; Tracers</t>
  </si>
  <si>
    <t>MIXED-LAYER INSTABILITIES; PART II; OCEAN; TRANSPORT; MESOSCALE; SUBDUCTION; CIRCULATION; DYNAMICS; TURBULENCE; CURVATURE</t>
  </si>
  <si>
    <t>It has been hypothesized that submesoscale flows play an important role in the vertical transport of climatically important tracers, due to their strong associated vertical velocities. However, the multiscale, nonlinear, and Lagrangian nature of transport makes it challenging to attribute proportions of the tracer fluxes to certain processes, scales, regions, or features. Here we show that criteria based on the surface vorticity and strain joint probability distribution function (JPDF) effectively decompose the surface velocity field into distinguishable flow regions, and different flow features, like fronts or eddies, are contained in different flow regions. The JPDF has a distinct shape and approximately parses the flow into different scales, as stronger velocity gradients are usually associated with smaller scales. Conditioning the vertical tracer transport on the vorticity-strain JPDF can therefore help to attribute the transport to different types of flows and scales. Applied to a set of idealized Antarctic Circumpolar Current simulations that vary only in horizontal resolution, this diagnostic approach demonstrates that small-scale strain-dominated regions that are generally associated with submesoscale fronts, despite their minuscule spatial footprint, play an outsized role in exchanging tracers across the mixed layer base and are an important contributor to the large-scale tracer budgets. Resolving these flows not only adds extra flux at the small scales, but also enhances the flux due to the larger-scale flows.</t>
  </si>
  <si>
    <t>[Balwada, Dhruv; Gray, Alison R.] Univ Washington, Sch Oceanog, Seattle, WA 98195 USA; [Xiao, Qiyu; Smith, Shafer] NYU, Courant Inst Math Sci, New York, NY USA; [Abernathey, Ryan] Columbia Univ, Lamont Doherty Earth Observ, Palisades, NY USA</t>
  </si>
  <si>
    <t>University of Washington; University of Washington Seattle; New York University; Columbia University</t>
  </si>
  <si>
    <t>Balwada, D (corresponding author), Univ Washington, Sch Oceanog, Seattle, WA 98195 USA.</t>
  </si>
  <si>
    <t>dbalwada@uw.edu</t>
  </si>
  <si>
    <t>Balwada, Dhruv/0000-0001-6632-0187; Gray, Alison/0000-0002-1644-7654</t>
  </si>
  <si>
    <t>NSF [OCE-1756882]; NASA [80NSSC20K1142]</t>
  </si>
  <si>
    <t>DB and ARG acknowledge support from the NSF Grant OCE-1756882. KSS, RPA, and QXacknowledge support from NASA Award 80NSSC20K1142. This work would not have been possible without the tools provided by and maintained by the Pangeo community (https:// pangeo.io/). The code for the analysis presented here is available at https://github.com/dhruvbalwada/vorticity-strain-conditioning, and most of the necessary data are at https://catalog.pangeo.io/ browse/master/ocean/channel/, which allows the analysis to be done directly on the cloud (Abernathey et al. 2021).</t>
  </si>
  <si>
    <t>10.1175/JPO-D-21-0016.1</t>
  </si>
  <si>
    <t>YV4NO</t>
  </si>
  <si>
    <t>WOS:000752706700011</t>
  </si>
  <si>
    <t>Yang, LW; Nikurashin, M; Hogg, AM; Sloyan, BM</t>
  </si>
  <si>
    <t>Yang, Luwei; Nikurashin, Maxim; Hogg, Andrew McC; Sloyan, Bernadette M.</t>
  </si>
  <si>
    <t>The Impact of Lee Waves on the Southern Ocean Circulation</t>
  </si>
  <si>
    <t>Eddies; Internal waves; Ocean circulation; Wind stress</t>
  </si>
  <si>
    <t>ANTARCTIC CIRCUMPOLAR CURRENT; MERIDIONAL OVERTURNING CIRCULATION; SMALL-SCALE TOPOGRAPHY; INTERNAL WAVES; MESOSCALE EDDIES; TEMPERATURE RESPONSE; DYNAMICAL BALANCE; EDDY SATURATION; DRIVEN; DISSIPATION</t>
  </si>
  <si>
    <t>Lee waves play an important role in transferring energy from the geostrophic eddy field to turbulent mixing in the Southern Ocean. As such, lee waves can impact the Southern Ocean circulation and modulate its response to changing climate through their regulation on the eddy field and turbulent mixing. The drag effect of lee waves on the eddy field and the mixing effect of lee waves on the tracer field have been studied separately to show their importance. However, it remains unclear how the drag and mixing effects act together to modify the Southern Ocean circulation. In this study, a lee-wave parameterization that includes both lee-wave drag and its associated lee-wave-driven mixing is developed and implemented in an eddy-resolving idealized model of the Southern Ocean to simulate and quantify the impacts of lee waves on the Southern Ocean circulation. The results show that lee waves enhance the baroclinic transport of the Antarctic Circumpolar Current (ACC) and strengthen the lower overturning circulation. The impact of lee waves on the large-scale circulation are explained by the control of lee-wave drag on isopycnal slopes through their effect on eddies, and by the control of lee-wave-driven mixing on deep stratification and water mass transformation. The results also show that the drag and mixing effects are coupled such that they act to weaken one another. The implication is that the future parameterization of lee waves in global ocean and climate models should take both drag and mixing effects into consideration for a more accurate representation of their impact on the ocean circulation.</t>
  </si>
  <si>
    <t>[Yang, Luwei; Nikurashin, Maxim] Univ Tasmania, Inst Marine &amp; Antarctic Studies, Hobart, Tas, Australia; [Yang, Luwei] Univ Tasmania, ARC Ctr Excellence Climate Syst Sci, Hobart, Tas, Australia; [Nikurashin, Maxim] Univ Tasmania, ARC Ctr Excellence Climate Extremes, Australian Antarctic Program Partnership, Hobart, Tas, Australia; [Hogg, Andrew McC] Australian Natl Univ, Res Sch Earth Sci, Canberra, ACT, Australia; [Hogg, Andrew McC] Australian Natl Univ, ARC Ctr Excellence Climate Extremes, Canberra, ACT, Australia; [Sloyan, Bernadette M.] CSIRO, Oceans &amp; Atmosphere, Hobart, Tas, Australia; [Sloyan, Bernadette M.] Ctr Southern Hemisphere Ocean Res, Hobart, Tas, Australia</t>
  </si>
  <si>
    <t>University of Tasmania; ARC Centre of Excellence for Climate System Science; University of Tasmania; University of Tasmania; Australian National University; Australian National University; Commonwealth Scientific &amp; Industrial Research Organisation (CSIRO)</t>
  </si>
  <si>
    <t>Yang, LW (corresponding author), Univ Tasmania, Inst Marine &amp; Antarctic Studies, Hobart, Tas, Australia.;Yang, LW (corresponding author), Univ Tasmania, ARC Ctr Excellence Climate Syst Sci, Hobart, Tas, Australia.</t>
  </si>
  <si>
    <t>luweiy@atmos.ucla.edu</t>
  </si>
  <si>
    <t>Hogg, Andy/AAZ-8733-2021; Hogg, Andy McC./A-7553-2011; Sloyan, Bernadette/N-8989-2014</t>
  </si>
  <si>
    <t>Hogg, Andy/0000-0001-5898-7635; Hogg, Andy McC./0000-0001-5898-7635; Sloyan, Bernadette/0000-0003-0250-0167; Nikurashin, Maxim/0000-0002-5714-8343</t>
  </si>
  <si>
    <t>Australian Government; joint CSIRO-UTAS QMS program; Australian Research Council (ARC) [DP170102162]; CSIRO; Earth Systems and Climate Change Hub of the Australian Government's National Environmental Science Program</t>
  </si>
  <si>
    <t>Australian Government(Australian Government); joint CSIRO-UTAS QMS program; Australian Research Council (ARC)(Australian Research Council); CSIRO(Commonwealth Scientific &amp; Industrial Research Organisation (CSIRO)); Earth Systems and Climate Change Hub of the Australian Government's National Environmental Science Program</t>
  </si>
  <si>
    <t>This research was undertaken on the NCI National Facility in Canberra, Australia, which is supported by the Australian Government. LY was supported by the joint CSIRO-UTAS QMS program. MN was supported by the Australian Research Council (ARC) Discovery Project (DP170102162). BMS was jointly funded through CSIRO and the Earth Systems and Climate Change Hub of the Australian Government's National Environmental Science Program. We thank Aidan Heerdegen, Angus Gibson, and Alistair Adcroft for their help onMOM6-related issues during the implementation of lee-wave parameterization.</t>
  </si>
  <si>
    <t>10.1175/JPO-D-20-0263.1</t>
  </si>
  <si>
    <t>WOS:000752706700014</t>
  </si>
  <si>
    <t>Li, Z; England, MH; Groeskamp, S; Cerovecki, I; Luo, YY</t>
  </si>
  <si>
    <t>Li, Zhi; England, Matthew H.; Groeskamp, Sjoerd; Cerovecki, Ivana; Luo, Yiyong</t>
  </si>
  <si>
    <t>The Origin and Fate of Subantarctic Mode Water in the Southern Ocean</t>
  </si>
  <si>
    <t>Southern Ocean; Oceanic mixed layer; Water masses/storage; Upwelling/downwelling; Ekman pumping/transport; Meridional overturning circulation</t>
  </si>
  <si>
    <t>AIR-SEA FLUXES; INTERMEDIATE WATER; MASS TRANSFORMATION; SUBDUCTION RATES; NORTH-ATLANTIC; VARIABILITY; PACIFIC; CIRCULATION; ICE</t>
  </si>
  <si>
    <t>Subantarctic Mode Water (SAMW) forms in deep mixed layers just north of the Antarctic Circumpolar Current in winter, playing a fundamental role in the ocean uptake of heat and carbon. Using a gridded Argo product and the ERA-Interim reanalysis for years 2004-18, the seasonal evolution of the SAMW volume is analyzed using both a kinematic estimate of the subduction rate and a thermodynamic estimate of the air-sea formation rate. The seasonal SAMW volume changes are separately estimated within the monthly mixed layer and in the interior below it. We find that the variability of SAMW volume is dominated by changes in SAMW volume in the mixed layer. The seasonal variability of SAMW volume in the mixed layer is governed by formation due to air-sea buoyancy fluxes (45%, lasting from July to August), entrainment (35%), and northward Ekman transport across the Subantarctic Front (10%). The interior SAMW formation is entirely controlled by exchanges between the mixed layer and the interior (i.e., instantaneous subduction), which occurs mainly during August-October. The annual mean subduction estimate from a Lagrangian approach shows strong regional variability with hotspots of large SAMW subduction. The SAMW subduction hotspots are consistent with the distribution and export pathways of SAMW over the central and eastern parts of the south Indian and Pacific Oceans. Hotspots in the south Indian Ocean produce strong subduction of 8 and 9 Sv (1 Sv equivalent to 10(6) m(3) s(-1)) for the light and southeast Indian SAMW, respectively, while SAMW subduction of 6 and 4 Sv occurs for the central and southeast Pacific SAMW, respectively.</t>
  </si>
  <si>
    <t>[Li, Zhi; England, Matthew H.] Univ New South Wales, Climate Change Res Ctr, Sydney, NSW, Australia; [Li, Zhi; England, Matthew H.] Univ New South Wales, Australian Res Council Ctr Excellence Climate Sys, Sydney, NSW, Australia; [Groeskamp, Sjoerd] Univ Utrecht, NIOZ Royal Netherlands Inst Sea Res, Dept Ocean Syst, Texel, Netherlands; [Cerovecki, Ivana] Univ Calif San Diego, Scripps Inst Oceanog, La Jolla, CA 92093 USA; [Luo, Yiyong] Ocean Univ China, Phys Oceanog Lab CIMST, Qingdao, Peoples R China; [Luo, Yiyong] Qingdao Natl Lab Marine Sci &amp; Technol, Qingdao, Peoples R China</t>
  </si>
  <si>
    <t>University of New South Wales Sydney; University of New South Wales Sydney; Utrecht University; Royal Netherlands Institute for Sea Research (NIOZ); University of California System; University of California San Diego; Scripps Institution of Oceanography; Ocean University of China; Laoshan Laboratory</t>
  </si>
  <si>
    <t>Li, Z (corresponding author), Univ New South Wales, Climate Change Res Ctr, Sydney, NSW, Australia.;Li, Z (corresponding author), Univ New South Wales, Australian Res Council Ctr Excellence Climate Sys, Sydney, NSW, Australia.</t>
  </si>
  <si>
    <t>zhi.li4@student.unsw.edu.au</t>
  </si>
  <si>
    <t>England, Matthew/A-7539-2011</t>
  </si>
  <si>
    <t>England, Matthew/0000-0001-9696-2930; Li, Zhi/0000-0002-0166-9289</t>
  </si>
  <si>
    <t>Foundation of China Scholarship Council [201806330075]; Climate Change Research Centre (CCRC); University of New SouthWales; Centre for Southern Hemisphere Ocean Research (CSHOR); QNLM; CSIRO; UNSW; UTAS; Australian Research Council (ARC ) [CE17010023]; Centre for SouthernHemisphere Oceans Research (CSHOR); National Science Foundation [OCE-1658001]; NASA [80NSSC19K1115]; National Key Research and Development Program of China [2018YFA0605702]; National Natural Science Foundation of China [41976006]</t>
  </si>
  <si>
    <t>Foundation of China Scholarship Council(China Scholarship Council); Climate Change Research Centre (CCRC); University of New SouthWales; Centre for Southern Hemisphere Ocean Research (CSHOR); QNLM; CSIRO(Commonwealth Scientific &amp; Industrial Research Organisation (CSIRO)); UNSW; UTAS; Australian Research Council (ARC )(Australian Research Council); Centre for SouthernHemisphere Oceans Research (CSHOR); National Science Foundation(National Science Foundation (NSF)); NASA(National Aeronautics &amp; Space Administration (NASA)); National Key Research and Development Program of China; National Natural Science Foundation of China(National Natural Science Foundation of China (NSFC))</t>
  </si>
  <si>
    <t>ZhiLi received support fromtheFoundation of China Scholarship Council (201806330075), Climate Change Research Centre (CCRC), University of New SouthWales, and Centre for Southern Hemisphere Ocean Research (CSHOR), a joint research centre between QNLM, CSIRO, UNSW, and UTAS. This study was supported by the Australian Research Council (ARC Grant CE17010023). M.H.E. is also supported by the Centre for SouthernHemisphere Oceans Research (CSHOR), a joint research center between QNLM, CSIRO, UNSW, and UTAS. IC received support from National Science Foundation AwardOCE-1658001 and NASAGrant 80NSSC19K1115. YYL is supported by the National Key Research and Development Program of China (2018YFA0605702) and the National Natural Science Foundation of China (41976006). We thank George Nurser and Esther Portela for their insightful comments that helped to improve this paper. The gridded RG09 Argo data product has been continuously updated at http://sio-argo.ucsd.edu/ RG_Climatology.html. These data were collected and made freely available by the International Argo Program and the national programs that contribute to it (http://www. argo. ucsd.edu, http://argo.jcommops.org). The Argo Program is part of the Global Ocean Observing System. The ERA-Interim dataset, developed by the EuropeanCentre forMedium-RangeWeather Forecasts, was obtained from https://www.ecmwf.int/en/forecasts/ datasets/reanalysis-datasets/era-interim. The observationally based velocity fields were downloaded at http://apdrc.soest.hawaii. edu/projects/yomaha/ and http://alisonrgray.com/ agva/. GSW Toolbox, http://www.teos-10.org/software. htm.</t>
  </si>
  <si>
    <t>10.1175/JPO-D-20-0174.1</t>
  </si>
  <si>
    <t>WOS:000752706700015</t>
  </si>
  <si>
    <t>Vélez-Belchí, P; Cainzos, V; Romero, E; Casanova-Masjoan, M; Arumí-Planas, C; Santana-Toscano, D; González-Santana, A; Pérez-Hernández, MD; Hernández-Guerra, A</t>
  </si>
  <si>
    <t>Velez-Belchi, P.; Cainzos, V; Romero, E.; Casanova-Masjoan, M.; Arumi-Planas, C.; Santana-Toscano, D.; Gonzalez-Santana, A.; Perez-Hernandez, M. D.; Hernandez-Guerra, A.</t>
  </si>
  <si>
    <t>The Canary Intermediate Poleward Undercurrent: Not Another Poleward Undercurrent in an Eastern Boundary Upwelling System</t>
  </si>
  <si>
    <t>Continental shelf/slope; North Atlantic Ocean; Boundary currents; Meridional overturning circulation; Ocean circulation; Upwelling/downwelling</t>
  </si>
  <si>
    <t>MERIDIONAL OVERTURNING CIRCULATION; CONTINENTAL-SLOPE; MEAN STRUCTURE; WATER MASSES; WEST-COAST; ATLANTIC; OCEAN; VARIABILITY; CALIFORNIA; TRANSPORT</t>
  </si>
  <si>
    <t>Poleward undercurrents are well-known features in eastern boundary upwelling systems. In the California Current upwelling system, the California poleward undercurrent has been widely studied, and it has been demonstrated that it transports nutrients from the equatorial waters to the northern limit of the subtropical gyre. However, in the Canary Current upwelling system, the Canary intermediate poleward undercurrent (CiPU) has not been properly characterized, despite recent studies arguing that the dynamics of the eastern Atlantic Ocean play an important role in the Atlantic meridional overturning circulation, specifically on its seasonal cycle. Here, we use trajectories of Argo floats and model simulations to characterize the CiPU, including its seasonal variability and its driving mechanism. The Argo observations show that the CiPU flows from 26 degrees N, near Cape Bojador, to approximately 45 degrees N, near Cape Finisterre and flows deeper than any poleward undercurrent in other eastern boundaries, with a core at a mean depth of around 1000 dbar. Model simulations manifest that the CiPU is driven by the meridional alongshore pressure gradient due to general ocean circulation and, contrary to what is observed in the other eastern boundaries, is still present at 1000 dbar as a result of the pressure gradient between the Antarctic Intermediate Waters in the south and Mediterranean Outflow waters in the north. The high seasonal variability of the CiPU, with its maximum strength in autumn and minimum in spring, is due to the poleward extension of AAIW, forced by Ekman pumping in the tropics.</t>
  </si>
  <si>
    <t>[Velez-Belchi, P.; Gonzalez-Santana, A.] Inst Espanol Oceanog, Ctr Oceanog Canarias, Santa Cruz De Tenerife, Canary Islands, Spain; [Cainzos, V; Romero, E.; Casanova-Masjoan, M.; Arumi-Planas, C.; Santana-Toscano, D.; Perez-Hernandez, M. D.; Hernandez-Guerra, A.] Univ Las Palmas Gran Canaria, Inst Oceanog &amp; Cambio Global, Unidad Asociada ULPGC CSIC, Unidad Oceano &amp; Clima, Las Palmas Gran Canaria, Canary Islands, Spain</t>
  </si>
  <si>
    <t>Spanish Institute of Oceanography; Universidad de Las Palmas de Gran Canaria</t>
  </si>
  <si>
    <t>Vélez-Belchí, P (corresponding author), Inst Espanol Oceanog, Ctr Oceanog Canarias, Santa Cruz De Tenerife, Canary Islands, Spain.</t>
  </si>
  <si>
    <t>pedro.velez@ieo.es</t>
  </si>
  <si>
    <t>Hernandez-Guerra, Alonso/A-4747-2008; Masjoan, Maria Casanova/B-4310-2018; Caínzos, Verónica/AFF-6353-2022; Santana, Alberto González/HJY-6720-2023; Pérez-Hernández, Maria Dolores/J-5330-2014</t>
  </si>
  <si>
    <t>Hernandez-Guerra, Alonso/0000-0002-4883-8123; Masjoan, Maria Casanova/0000-0003-2215-2729; Caínzos, Verónica/0000-0003-2666-1862; Santana, Alberto González/0000-0001-5781-9330; Pérez-Hernández, Maria Dolores/0000-0001-7293-9584; Arumi-Planas, Cristina/0000-0001-5700-3550; Santana Toscano, Daniel/0000-0002-6699-8809</t>
  </si>
  <si>
    <t>Ministerio de Economia y Competividad [RTI2018-100844-B-C32]; European Union [H2020- INFRADEV- 2018-2020824131]; BOUNDARY [2017010083]; PO Feder Canarias; Agencia Canaria de Investigacion, Innovacion y Sociedad de la Informacion (ACIISI); University of Las Palmas de Gran Canaria; National Oceanic and Atmospheric Administration (NOAA)</t>
  </si>
  <si>
    <t>Ministerio de Economia y Competividad(Spanish Government); European Union(European Union (EU)); BOUNDARY; PO Feder Canarias; Agencia Canaria de Investigacion, Innovacion y Sociedad de la Informacion (ACIISI); University of Las Palmas de Gran Canaria; National Oceanic and Atmospheric Administration (NOAA)(National Oceanic Atmospheric Admin (NOAA) - USA)</t>
  </si>
  <si>
    <t>This study has been carried out as part of the RAPROCAN Project, the Canary Islands component of the core observational program of the Instituto Espanol de Oceanografia; the SAGA project (RTI2018-100844-B-C32), funded by the Ministerio de Economia y Competividad; the EA-RISE (Euro-Argo Research Infrastructure Sustainability and Enhancement) project, funded by European Union's Horizon 2020 research and innovation program under Grant Agreement H2020- INFRADEV- 2018-2020824131); and BOUNDARY (ProID2017010083), funded by PO Feder Canarias. Author Cainzos thanks the Agencia Canaria de Investigacion, Innovacion y Sociedad de la Informacion (ACIISI) for grant Apoyo al Personal Investigador en Formacion. ArumiPlanas, Santana Toscano, and Cainzos are Ph.D. students in the IOCAG Doctoral Program in Oceanography and Global Change. Author Perez-Hernandez is funded through the postdoctoral program of the University of Las Palmas de Gran Canaria. The model data were provided by Asia-Pacific Data Research Center, which is a part of the International Pacific Research Center at the University of Hawai`i at M~anoa, funded in part by the National Oceanic and Atmospheric Administration (NOAA). The color maps in Figs. 3, 10, and 11 are from the cmocean toolbox provided by Thyng et al. (2016). Themaps in Figs. 1, 3, 10, 11, and 12 use the set ofmapping tools written by Pawlowicz (2020). The Argo data are collected and made freely available by the International Argo Program and the national programs that contribute to it (http://www.argo.ucsd.edu, http://argo.jcommops.org). The Argo Program is part of the Global Ocean Observing System. Sadly for us, and unexpectedly, Maria Casanova-Masjoan died on 15 October 2020. She was a Ph.D. student in the IOCAGDoctoral Program inOceanography and Global Change, and this work is dedicated to her memory. Maria was a great scientist, great colleague, and great friend.</t>
  </si>
  <si>
    <t>10.1175/JPO-D-20-0130.1</t>
  </si>
  <si>
    <t>Green Submitted, Bronze</t>
  </si>
  <si>
    <t>WOS:000752706700016</t>
  </si>
  <si>
    <t>Kafarowski, J</t>
  </si>
  <si>
    <t>Kafarowski, Joanna</t>
  </si>
  <si>
    <t>ANTARCTIC RESOLUTION</t>
  </si>
  <si>
    <t>ARCTIC</t>
  </si>
  <si>
    <t>Book Review</t>
  </si>
  <si>
    <t>[Kafarowski, Joanna] 205-365 Waterfront Crescent, Victoria, BC V8T 0A6, Canada</t>
  </si>
  <si>
    <t>Kafarowski, J (corresponding author), 205-365 Waterfront Crescent, Victoria, BC V8T 0A6, Canada.</t>
  </si>
  <si>
    <t>joannakafarowski@gmail.com</t>
  </si>
  <si>
    <t>Kafarowski, Joanna/0009-0001-3178-4720</t>
  </si>
  <si>
    <t>ARCTIC INST N AMER</t>
  </si>
  <si>
    <t>CALGARY</t>
  </si>
  <si>
    <t>UNIV OF CALGARY 2500 UNIVERSITY DRIVE NW 11TH FLOOR LIBRARY TOWER, CALGARY, ALBERTA T2N 1N4, CANADA</t>
  </si>
  <si>
    <t>0004-0843</t>
  </si>
  <si>
    <t>1923-1245</t>
  </si>
  <si>
    <t>Arctic</t>
  </si>
  <si>
    <t>Environmental Sciences; Geography, Physical</t>
  </si>
  <si>
    <t>WM4MJ</t>
  </si>
  <si>
    <t>WOS:000711060600011</t>
  </si>
  <si>
    <t>Morozov, EG; Krechik, VA; Frey, DI; Zamshin, VV</t>
  </si>
  <si>
    <t>Morozov, E. G.; Krechik, V. A.; Frey, D. I.; Zamshin, V. V.</t>
  </si>
  <si>
    <t>Currents in the Western Part of the Weddell Sea and Drift of Large Iceberg A68A</t>
  </si>
  <si>
    <t>Keywords; large iceberg A68A; satellite images; currents; fronts; Sentinel-1; Weddell Sea</t>
  </si>
  <si>
    <t>ANTARCTIC ICEBERGS; CIRCULATION; IDENTIFICATION; VARIABILITY; TRACKING; SIZE; TIP</t>
  </si>
  <si>
    <t>The drift of the large (length 160 km, area 5800 km(2)) A68A iceberg in the western part of the Weddell Sea is considered. Analysis was carried out on the basis of satellite images and field measurements in the region of the iceberg. The iceberg calved from the Larsen Glacier in July 2017 and slowly drifted northward. In February 2020, during cruise 79 of the R/V Akademik Mstislav Keldysh, hydrophysical observations were carried out near the iceberg. The presence of an iceberg in the western part of the Weddell Sea caused displacement of currents and fronts to the west in the space between the iceberg and the Antarctic Peninsula.</t>
  </si>
  <si>
    <t>[Morozov, E. G.; Krechik, V. A.; Frey, D. I.] Russian Acad Sci, Shirshov Inst Oceanol, Moscow, Russia; [Zamshin, V. V.] Sci Res Inst Aerosp Monitoring AEROCOSMOS, Moscow, Russia</t>
  </si>
  <si>
    <t>Russian Academy of Sciences; Shirshov Institute of Oceanology; AEROCOSMOS Research Institute for Aerospace Monitoring</t>
  </si>
  <si>
    <t>Morozov, EG (corresponding author), Russian Acad Sci, Shirshov Inst Oceanol, Moscow, Russia.</t>
  </si>
  <si>
    <t>egmorozov@mail.ru</t>
  </si>
  <si>
    <t>Morozov, Eugene G/L-3023-2018; Zamshin, Viktor/G-3224-2014; Krechik, Viktor/J-9941-2016</t>
  </si>
  <si>
    <t>Zamshin, Viktor/0000-0003-4285-172X; Krechik, Viktor/0000-0001-6440-060X</t>
  </si>
  <si>
    <t>Shirshov Institute of Oceanology, Russian Academy of Sciences [0128-2019-008]; Scientific Research Institute of Aerospace Monitoring [05882019-0030]; [MK-1492.2021.1.5]</t>
  </si>
  <si>
    <t>Shirshov Institute of Oceanology, Russian Academy of Sciences; Scientific Research Institute of Aerospace Monitoring;</t>
  </si>
  <si>
    <t>This study was performed within the framework of the state assignment of the Shirshov Institute of Oceanology, Russian Academy of Sciences (no. 0128-2019-008) and Scientific Research Institute of Aerospace Monitoring 05882019-0030. The analysis of field observations in the Antarctic Sound was supported by grant MK-1492.2021.1.5.</t>
  </si>
  <si>
    <t>10.1134/S000143702105009X</t>
  </si>
  <si>
    <t>XC2XA</t>
  </si>
  <si>
    <t>WOS:000721881000001</t>
  </si>
  <si>
    <t>Kapustina, MV; Krechik, VA</t>
  </si>
  <si>
    <t>Kapustina, M. V.; Krechik, V. A.</t>
  </si>
  <si>
    <t>Propagation of Antarctic Bottom Water in the Discovery Gap (Northeast Atlantic) Based on Measurements from 2019</t>
  </si>
  <si>
    <t>Antarctic bottom water (AABW); Northeast Atlantic Ocean; Azores-Gibraltar Fracture Zone; Discovery Gap</t>
  </si>
  <si>
    <t>OVERTURNING CIRCULATION; TRANSPORT; FLOW; DEEP; FRACTURES; CLOSURE; RIDGE; PART</t>
  </si>
  <si>
    <t>The results of the analysis of the thermohaline water parameters of the bottom layer in the Discovery Gap (Azores-Gibraltar Fracture Zone, Northeast Atlantic) are presented. The data were obtained during cruise 43rd of the research vessel Akademik Nikolaj Strakhov in October 2019. The collected data were supplemented with published hydrological data and a new digital elevation model of the Discovery Gap. The analysis of the potential temperature distribution in the bottom layer and new high-resolution bottom topography data enabled us to refine the pathways, the location of the upper boundary, and the temporal variability of properties of Antarctic Bottom Water in the study area. The presence of water with a potential temperature less than 2 degrees C was detected within the Discovery Gap for the first time.</t>
  </si>
  <si>
    <t>[Kapustina, M. V.; Krechik, V. A.] Russian Acad Sci, Shirshov Inst Oceanol, Moscow, Russia; [Krechik, V. A.] Immanuel Kant Balt Fed Univ, Kaliningrad, Russia</t>
  </si>
  <si>
    <t>Kapustina, MV (corresponding author), Russian Acad Sci, Shirshov Inst Oceanol, Moscow, Russia.</t>
  </si>
  <si>
    <t>kapustina.mariya@ya.ru</t>
  </si>
  <si>
    <t>Krechik, Viktor/J-9941-2016</t>
  </si>
  <si>
    <t>Krechik, Viktor/0000-0001-6440-060X</t>
  </si>
  <si>
    <t>Russian Science Foundation [19-17-00246]; Russian Foundation for Basic Research [20-08-00246]; [0128-2021-0012]; Russian Science Foundation [19-17-00246] Funding Source: Russian Science Foundation</t>
  </si>
  <si>
    <t>Russian Science Foundation(Russian Science Foundation (RSF)); Russian Foundation for Basic Research(Russian Foundation for Basic Research (RFBR)Spanish Government); ; Russian Science Foundation(Russian Science Foundation (RSF))</t>
  </si>
  <si>
    <t>The expedition and the initial processing of the data obtained during cruise 43 of the R/V Akademik Nikolaj Strakhov were supported by the state assignment of IO RAS, (theme no. 0128-2021-0012). The analysis and interpreta-tion of the data were supported by the Russian Science Foundation (project no. 19-17-00246). The analysis of the data obtained during cruise 34 of the R/V Akademik Sergey Vavilov was funded by the Russian Foundation for Basic Research (project no. 20-08-00246).</t>
  </si>
  <si>
    <t>10.1134/S0001437021050052</t>
  </si>
  <si>
    <t>WOS:000721881000002</t>
  </si>
  <si>
    <t>Polukhin, AA; Morozov, EG; Tishchenko, PP; Frey, DI; Artemiev, VA; Borisenko, GV; Vidnichuk, AV; Marina, EN; Medvedev, EV; Popov, OS; Seliverstova, AM; Chultsova, AL</t>
  </si>
  <si>
    <t>Polukhin, A. A.; Morozov, E. G.; Tishchenko, P. P.; Frey, D. I.; Artemiev, V. A.; Borisenko, G. V.; Vidnichuk, A. V.; Marina, E. N.; Medvedev, E. V.; Popov, O. S.; Seliverstova, A. M.; Chultsova, A. L.</t>
  </si>
  <si>
    <t>Water Structure in the Bransfield Strait (Antarctica) in January 2020: Hydrophysical, Optical, and Hydrochemical Features</t>
  </si>
  <si>
    <t>Southern Ocean; Bransfield Strait; thermohaline structure; current; bio-optical parameters; hydrochemical structure; nutrients</t>
  </si>
  <si>
    <t>ATLANTIC SECTOR; SHELF WATER; CIRCULATION; NUTRIENTS; ECOSYSTEM; ISLAND; SEA; BAY</t>
  </si>
  <si>
    <t>Abiotic characteristics of the waters in the Bransfield Strait were studied in a section from the South Shetland Islands to the Antarctic Peninsula. The Bransfield Current was recorded northeastward flowing along the archipelago with a speed of 20-47 cm/s. It is marked by the water temperature and salinity in the core (2.7 degrees C and 34.18%). The depth of the lower boundary of the euphotic layer varies from 40 m near the South Shetland Islands to 80 m on the shelf of the Antarctic Peninsula. The oxygen content and parameters of the carbonate system indicate the predominance of production over destructive processes in the surface layer of the central part of the Strait during the period under study. A countercurrent from the Weddell Sea was recorded on the shelf of the Antarctic Peninsula, which is distinguished by the oxygen saturation (90%) and silica content (74 mu M). Four water masses were identified in the region under studied: Antarctic Surface Water, Circumpolar Deep Water, modified water of the north-western Weddell Sea shelf, and Bottom Bransfield Water.</t>
  </si>
  <si>
    <t>[Polukhin, A. A.; Morozov, E. G.; Frey, D. I.; Artemiev, V. A.; Borisenko, G. V.; Seliverstova, A. M.; Chultsova, A. L.] Russian Acad Sci, Shirshov Inst Oceanol, Moscow, Russia; [Tishchenko, P. P.; Marina, E. N.; Popov, O. S.] Russian Acad Sci, Ilichev Pacific Oceanol Inst, Far Eastern Branch, Vladivostok, Russia; [Vidnichuk, A. V.; Medvedev, E. V.] Russian Acad Sci, Inst Marine Hydrophys, Sevastopol, Crimea, Ukraine</t>
  </si>
  <si>
    <t>Russian Academy of Sciences; Shirshov Institute of Oceanology; Russian Academy of Sciences; Russian Academy of Sciences</t>
  </si>
  <si>
    <t>Polukhin, AA (corresponding author), Russian Acad Sci, Shirshov Inst Oceanol, Moscow, Russia.</t>
  </si>
  <si>
    <t>polukhin@ocean.ru</t>
  </si>
  <si>
    <t>Morozov, Eugene G/L-3023-2018; Masevich, Anna/AAO-2592-2020; Polukhin, Alexander A/S-2879-2016; Tishchenko, Petr P./E-3044-2018</t>
  </si>
  <si>
    <t>Masevich, Anna/0000-0002-0889-020X; Polukhin, Alexander A/0000-0003-1708-1428;</t>
  </si>
  <si>
    <t>Ministry of Sciences and Higher Education of the Russian Federation (State Assignment of the Institute of Oceanology, Russian Academy of Sciences) [0128-2019-0008]; Ministry of Sciences and Higher Education of the Russian Federation (Pacific Oceanological Institute, Far Eastern Branch, Russian Academy of Sciences) [FWMM-2019-0007]; Pacific Oceanological Institute, Far Eastern Branch, Russian Academy of Sciences(Marine Hydrophysical Institute, Russian Academy of Sciences) [0555-2019-0003]; President of the Russian Federation [MK-1492.2021.1.5]</t>
  </si>
  <si>
    <t>Ministry of Sciences and Higher Education of the Russian Federation (State Assignment of the Institute of Oceanology, Russian Academy of Sciences); Ministry of Sciences and Higher Education of the Russian Federation (Pacific Oceanological Institute, Far Eastern Branch, Russian Academy of Sciences); Pacific Oceanological Institute, Far Eastern Branch, Russian Academy of Sciences(Marine Hydrophysical Institute, Russian Academy of Sciences)(Russian Academy of Sciences); President of the Russian Federation</t>
  </si>
  <si>
    <t>The study was supported by the Ministry of Sciences and Higher Education of the Russian Federation (State Assignment of the Institute of Oceanology, Russian Academy of Sciences, no. 0128-2019-0008, of the Pacific Oceanological Institute, Far Eastern Branch, Russian Academy of Sciences, no. FWMM-2019-0007, and of the Marine Hydrophysical Institute, Russian Academy of Sciences, no. 0555-2019-0003). The analysis of hydrophysical data was supported by the President of the Russian Federation (grant no. MK-1492.2021.1.5).</t>
  </si>
  <si>
    <t>10.1134/S0001437021050106</t>
  </si>
  <si>
    <t>WOS:000721881000005</t>
  </si>
  <si>
    <t>Ravasio, C; Cremonesi, L; Artoni, C; Delmonte, B; Maggi, V; Potenza, MAC</t>
  </si>
  <si>
    <t>Ravasio, Claudia; Cremonesi, Llorenc; Artoni, Claudio; Delmonte, Barbara; Maggi, Valter; Potenza, Marco A. C.</t>
  </si>
  <si>
    <t>Optical Characterization of Mineral Dust from the EAIIST Project with Digital Holography</t>
  </si>
  <si>
    <t>Digital Holography; Mineral dust; Aerosols; Ice core; Optical properties</t>
  </si>
  <si>
    <t>CONTINUOUS-FLOW ANALYSIS; CENTRAL EAST ANTARCTICA; SIZE; PARTICLES; SYSTEM; SHAPE</t>
  </si>
  <si>
    <t>We describe an optical approach based on Digital Holography for single-particle characterization of mineral dust and micrometric particles, focusing on the analysis of airborne particles in meltwater from Antarctic ice cores. We record the holograms formed by the superposition of the transilluminating reference beam and the waves scattered by single particles. Taking a cue from recent approaches in the field and holography methods, we process the holograms to recover both optical and morphological properties of single dust grains. As a considerable advantage over traditional light-scattering-based methods, holograms give the extinction cross section of each particle and, by numerically reconstructing the wavefront propagation, an unambiguous image of each particle whereby we derive its cross-sectional shape and size. Measurements have been carried out on samples collected from the recent EAIIST (East Antarctic International Ice Sheet Traverse) project, some of which show evidence of volcanic events. The vast majority of the detected particles show significant deviations from the isometric shape, as confirmed by both image reconstruction and extinction cross section analysis. By our analysis, we observe that experimental data have an extinction cross section up to 3 times lower than that of spherical particles with the same volume. Therefore, these deviations have an appreciable impact on the aerosol contribution to radiative forcing: retrieving particle shape may improve the modeling of the radiative properties of mineral dust and reduce the associated uncertainties.</t>
  </si>
  <si>
    <t>[Ravasio, Claudia; Cremonesi, Llorenc; Potenza, Marco A. C.] Univ Milan, Dept Phys, I-20133 Milan, Italy; [Artoni, Claudio; Delmonte, Barbara; Maggi, Valter] Univ Milano Bicocca, Dept Earth &amp; Environm Sci, I-20126 Milan, Italy; [Artoni, Claudio] Ca Foscari Univ Venice, Dept Environm Sci Informat &amp; Stat, I-30172 Venice, Italy; [Maggi, Valter] Natl Inst Nucl Phys, Milano Bicocca Sect, I-20126 Milan, Italy; [Potenza, Marco A. C.] Univ Milan, CIMAINA, I-20133 Milan, Italy</t>
  </si>
  <si>
    <t>University of Milan; University of Milano-Bicocca; Universita Ca Foscari Venezia; Istituto Nazionale di Fisica Nucleare (INFN); University of Milan</t>
  </si>
  <si>
    <t>Ravasio, C (corresponding author), Univ Milan, Dept Phys, I-20133 Milan, Italy.</t>
  </si>
  <si>
    <t>claudia.ravasio@unimi.it</t>
  </si>
  <si>
    <t>Cremonesi, Llorenc/IUP-4805-2023; Delmonte, Barbara/L-2555-2015</t>
  </si>
  <si>
    <t>Cremonesi, Llorenc/0000-0002-4276-0660; Delmonte, Barbara/0000-0002-9074-2061; Ravasio, Claudia/0000-0001-5986-1081; Potenza, Marco/0000-0002-9379-6540; Artoni, Claudio/0000-0002-3304-4582</t>
  </si>
  <si>
    <t>ANR EAIIST project of French Agence Nationale de la Recherche [ANR-16CE01-0011-01]; BNP-Paribas foundation; Institut Polaire Francais IPEV; LabEx OSUG@2020 [ANR10 LABX56]; F2G (French National platform for Coring and Drilling); MIUR (Ministry of Education, University and Research) -PNRA (National Antarctic Research Program) [EAIIST PNRA16 00049-B]; Australian Antarctic Science [AAS 4537]; AAD; Institute of Marine and Antarctic Studies (IMAS); Italian Regional Affair Ministry; INSU</t>
  </si>
  <si>
    <t>ANR EAIIST project of French Agence Nationale de la Recherche(Agence Nationale de la Recherche (ANR)); BNP-Paribas foundation; Institut Polaire Francais IPEV; LabEx OSUG@2020; F2G (French National platform for Coring and Drilling); MIUR (Ministry of Education, University and Research) -PNRA (National Antarctic Research Program)(Ministry of Education, Universities and Research (MIUR)); Australian Antarctic Science; AAD; Institute of Marine and Antarctic Studies (IMAS); Italian Regional Affair Ministry; INSU(Centre National de la Recherche Scientifique (CNRS))</t>
  </si>
  <si>
    <t>The authors thank the ANR EAIIST project, grant ANR-16CE01-0011-01 of the French Agence Nationale de la Recherche, the BNP-Paribas foundation and its Climate Initiative Program, the Institut Polaire Francais IPEV, the LabEx OSUG@2020 (Investissements d'avenir -ANR10 LABX56), the technical support from the F2G (French National platform for Coring and Drilling supported by INSU, the MIUR (Ministry of Education, University and Research) -PNRA (National Antarctic Research Program) through the EAIIST PNRA16 00049-B project, Australian Antarctic Science project number AAS 4537, the AAD, and the Institute of Marine and Antarctic Studies (IMAS). The authors thank Andrea Spolaor, Alexis Leluc, Anthony Vende, Quentin Celle, and Nicolas Rambauts for their technical support during the field traverse and the sampling of the snowpits. Laboratory activities were partially funded by the Italian Regional Affair Ministry.</t>
  </si>
  <si>
    <t>10.1021/acsearthspacechem.1c00224</t>
  </si>
  <si>
    <t>WOS:000714116400028</t>
  </si>
  <si>
    <t>Imae, N; Kimura, M</t>
  </si>
  <si>
    <t>Imae, Naoya; Kimura, Makoto</t>
  </si>
  <si>
    <t>Quantitative determination of the shock stage of L6 ordinary chondrites using X-ray diffraction</t>
  </si>
  <si>
    <t>Olivine; orthopyroxene; ordinary chondrites; X-ray diffraction; lattice strain; shock metamorphism</t>
  </si>
  <si>
    <t>HIGH-PRESSURE MINERALS; THERMAL HISTORIES; MODAL MINERALOGY; ORTHO-PYROXENE; METAMORPHISM; DEFORMATION; ORIENTATION; INVERSION; STRESS; VEINS</t>
  </si>
  <si>
    <t>The shock stages of 14 L6 ordinary chondrites are estimated using the random X-ray diffraction patterns of polished thin section samples and the in-plane rotation method. The mean lattice strains and grain size factors for olivine and orthopyroxene are determined from the analyses based on the Williamson-Hall plots, which depict the tangent Bragg angle and integral breadth beta. The lattice strain in olivine, epsilon(Ol), is distributed from similar to 0.05% to similar to 0.25%, while that in orthopyroxene, epsilon(Opx), is distributed from similar to 0.1 to similar to 0.4%, where we selected the isolated peaks of olivine and orthopyroxene. The olivine peaks have Miller indices of (130), (211), (222), and (322), while the orthopyroxene peaks have Miller indices of (610), (511), (421), (631), and (12.1.2). The intercept for integral breadth beta(Ol)(0) and beta(Opx)(0) for the Williamson-Hall plots correlates with the grain size of the constituent minerals. The grain size is proportional to the inverse of beta(0) since the beta intercept increases with the shock stage. Introducing a new parameter, -epsilon/log beta(0) for olivine (0.04-0.16) and orthopyroxene (0.07-0.32) reveals a clear relationship between them: -epsilon(Opx)/log beta(Opx)(0) = -0.01+2.0 (-epsilon(Ol)/log beta(Ol)(0)) (R &gt; 0.9). In addition, the isolated peak of plagioclase ((2) over bar 01) systematically changes as the shock stage increases, suggesting the progress of amorphization (maskelynitization). Another parameter, (I/FWHM)(Pl((2) over bar 01)) reveals additional relationships: -epsilon(Ol)/log beta(Ol)(0) = 0.14(+/- 0.01) - 5.2 x 10(-5) (+/- 5.7 x 10(-6)) x (I/FWHM)(Pl(201)), and -epsilon(Opx)/log beta(Opx)(0) = 0.25(+/- 0.04) - 8.9 x 10(-5) (+/- 2.6 x 10(-5)) x 10(-5) x (I/FWHM)(Pl((2) over bar 01)). These three parameters systematically change with the shock stage, suggesting that they are suitable shock barometers. The present method is useful to evaluate the shock stage of L6 chondrites and potentially enables quantitative shock stage classification for stony meteorites.</t>
  </si>
  <si>
    <t>[Imae, Naoya; Kimura, Makoto] Natl Inst Polar Res, 10-3 Midori Cho, Tachikawa, Tokyo 1908518, Japan; [Imae, Naoya] SOKENDAI, 10-3 Midori Cho, Tachikawa, Tokyo 1908518, Japan</t>
  </si>
  <si>
    <t>Research Organization of Information &amp; Systems (ROIS); National Institute of Polar Research (NIPR) - Japan</t>
  </si>
  <si>
    <t>Imae, N (corresponding author), Natl Inst Polar Res, 10-3 Midori Cho, Tachikawa, Tokyo 1908518, Japan.;Imae, N (corresponding author), SOKENDAI, 10-3 Midori Cho, Tachikawa, Tokyo 1908518, Japan.</t>
  </si>
  <si>
    <t>imae@nipr.ac.jp</t>
  </si>
  <si>
    <t>KAKENHI [17K05721]; NIPR Research Project [KP-307]; Grants-in-Aid for Scientific Research [17K05721] Funding Source: KAKEN</t>
  </si>
  <si>
    <t>KAKENHI(Ministry of Education, Culture, Sports, Science and Technology, Japan (MEXT)Japan Society for the Promotion of ScienceGrants-in-Aid for Scientific Research (KAKENHI)); NIPR Research Project; Grants-in-Aid for Scientific Research(Ministry of Education, Culture, Sports, Science and Technology, Japan (MEXT)Japan Society for the Promotion of ScienceGrants-in-Aid for Scientific Research (KAKENHI))</t>
  </si>
  <si>
    <t>The study is partly supported by KAKENHI 17K05721 and NIPR Research Project KP-307. The polished thin sections of the Antarctic meteorites and Tenham were on loan from NIPR.</t>
  </si>
  <si>
    <t>10.2138/am-2021-7554</t>
  </si>
  <si>
    <t>WT4ND</t>
  </si>
  <si>
    <t>WOS:000715841700005</t>
  </si>
  <si>
    <t>Makhotina, IA; Chechin, DG; Makshtas, AP</t>
  </si>
  <si>
    <t>Makhotina, I. A.; Chechin, D. G.; Makshtas, A. P.</t>
  </si>
  <si>
    <t>Cloud Radiative Forcing over Sea Ice in the Arctic during the Polar Night According to North Pole-37,-39, and-40 Drifting Stations</t>
  </si>
  <si>
    <t>IZVESTIYA ATMOSPHERIC AND OCEANIC PHYSICS</t>
  </si>
  <si>
    <t>cloud radiative forcing; sea-ice heat balance; Arctic climate; ceilometer; cloud base height</t>
  </si>
  <si>
    <t>SURFACE; BUDGET</t>
  </si>
  <si>
    <t>In the paper, we present the results of an analysis of ceilometer measurements at North Pole (NP) drifting station 37, 39, and 40. The frequencies of the total cloud amount (in tenth) = TCA and the cloud base heights (CBHs) are calculated for the period of the polar night. A comparison of the cloud-cover score according to the ceilometer data with the visual observation data showed good agreement. However, the value of the correlation coefficient depends on the interpretation of the ceilometer data. In general, a bimodal distribution of the cloud-cover score with the highest frequency of clear sky and overcast clouds are characteristic for indicated stations. The analysis of the frequency of the CBH showed that the most characteristic CBHs are below 600 m. In November, cloud heights in the range of 1000-2000 m are also observed, while their frequency decreases during the winter. Cloudiness during the polar night is characterized by a strong positive radiative forcing, which has a warming effect on the surface temperature of ice and air. However, cloud radiative forcing, as well as the cloudiness frequency and its effect on the temperature regime, varies significantly from station to station. These differences may become the subject of further research on the interrelation of cloud characteristics with other processes in the Arctic climate system. These statistical estimates significantly supplement the available data on the cloud cover of the Central Arctic.</t>
  </si>
  <si>
    <t>[Makhotina, I. A.; Makshtas, A. P.] Arctic &amp; Antarctic Res Inst, St Petersburg 199397, Russia; [Chechin, D. G.] Russian Acad Sci, Obukhov Inst Atmospher Phys, Moscow 119017, Russia</t>
  </si>
  <si>
    <t>Arctic &amp; Antarctic Research Institute; Russian Academy of Sciences; Obukhov Institute of Atmospheric Physics of Russian Academy of Sciences</t>
  </si>
  <si>
    <t>Makhotina, IA (corresponding author), Arctic &amp; Antarctic Res Inst, St Petersburg 199397, Russia.</t>
  </si>
  <si>
    <t>ir@aari.ru</t>
  </si>
  <si>
    <t>Makshtas, Alexander P./K-7538-2016; Chechin, Dmitry/J-9923-2016</t>
  </si>
  <si>
    <t>Chechin, Dmitry/0000-0003-0021-9945</t>
  </si>
  <si>
    <t>Russian Science Foundation [18-77-10072]; Russian Science Foundation [18-77-10072] Funding Source: Russian Science Foundation</t>
  </si>
  <si>
    <t>This work was supported by the Russian Science Foundation, project no. 18-77-10072.</t>
  </si>
  <si>
    <t>MAIK NAUKA/INTERPERIODICA/SPRINGER</t>
  </si>
  <si>
    <t>233 SPRING ST, NEW YORK, NY 10013-1578 USA</t>
  </si>
  <si>
    <t>0001-4338</t>
  </si>
  <si>
    <t>1555-628X</t>
  </si>
  <si>
    <t>IZV ATMOS OCEAN PHY+</t>
  </si>
  <si>
    <t>Izv. Atmos. Ocean. Phys.</t>
  </si>
  <si>
    <t>10.1134/S0001433821050091</t>
  </si>
  <si>
    <t>WT4GL</t>
  </si>
  <si>
    <t>WOS:000715824300002</t>
  </si>
  <si>
    <t>Reahl, JN; Cantine, MD; Wilcots, J; Mackey, TJ; Bergmann, KD</t>
  </si>
  <si>
    <t>Reahl, Jocelyn N.; Cantine, Marjorie D.; Wilcots, Julia; Mackey, Tyler J.; Bergmann, Kristin D.</t>
  </si>
  <si>
    <t>META-ANALYSIS OF CRYOGENIAN THROUGH MODERN QUARTZ MICROTEXTURES REVEALS SEDIMENT TRANSPORT HISTORIES</t>
  </si>
  <si>
    <t>JOURNAL OF SEDIMENTARY RESEARCH</t>
  </si>
  <si>
    <t>SCANNING-ELECTRON-MICROSCOPY; GRAIN SURFACE TEXTURES; ALGODONES DUNEFIELD; SAND GRAINS; LAKE JOYCE; GLACIATION; TRANSITION; SEM; CONSTRAINTS; CALIFORNIA</t>
  </si>
  <si>
    <t>Quantitative analysis of quartz microtextures by means of scanning electron microscopy (SEM) can reveal the transport histories of modern and ancient sediments. However, because workers identify and count microtextures differently, it is difficult to directly compare quantitative microtextural data analyzed by different workers. As a result, the defining microtextures of certain transport modes and their probabilities of occurrence are not well constrained. We used principal-component analysis (PCA) to directly compare modern and ancient aeolian, fluvial, and glacial samples from the literature with nine new samples from active aeolian and glacial environments. Our results demonstrate that PCA can group microtextural samples by transport mode and differentiate between aeolian transport and fluvial and glacial transport across studies. The PCA ordination indicates that aeolian samples are distinct from fluvial and glacial samples, which are in turn difficult to disambiguate from each other. Ancient and modern sediments are also shown to have quantitatively similar microtextural relationships. Therefore, PCA may be a useful tool to constrain the ambiguous transport histories of some ancient sediment grains. As a case study, we analyzed two samples with ambiguous transport histories from the Cryogenian Bravika Member (Svalbard). Integrating PCA with field observations, we find evidence that the Bravika Member facies investigated here includes aeolian deposition and may be analogous to syn-glacial Marinoan aeolian units including the Bakoye Formation in Mali and the Whyalla Sandstone in South Australia.</t>
  </si>
  <si>
    <t>[Reahl, Jocelyn N.; Cantine, Marjorie D.; Wilcots, Julia; Mackey, Tyler J.; Bergmann, Kristin D.] MIT, Dept Earth Atmospher &amp; Planetary Sci, Cambridge, MA 02139 USA; [Reahl, Jocelyn N.] CALTECH, Div Geol &amp; Planetary Sci, Pasadena, CA 91125 USA; [Cantine, Marjorie D.] Goethe Univ, Inst Geowissensch, Altenhoferallee 1, D-60438 Frankfurt, Germany; [Mackey, Tyler J.] Univ New Mexico, Dept Earth &amp; Planetary Sci, Albuquerque, NM 87131 USA</t>
  </si>
  <si>
    <t>Massachusetts Institute of Technology (MIT); California Institute of Technology; Goethe University Frankfurt; University of New Mexico</t>
  </si>
  <si>
    <t>Reahl, JN (corresponding author), MIT, Dept Earth Atmospher &amp; Planetary Sci, Cambridge, MA 02139 USA.;Reahl, JN (corresponding author), CALTECH, Div Geol &amp; Planetary Sci, Pasadena, CA 91125 USA.</t>
  </si>
  <si>
    <t>jreahl@caltech.edu</t>
  </si>
  <si>
    <t>Reahl, Jocelyn/0000-0001-5544-2138; /0000-0002-6106-2059</t>
  </si>
  <si>
    <t>National Science Foundation (NSF) [1541959]; Victor P. Starr Development Chair; David and Lucille Packard Foundation; National Defense Science and Engineering Graduate Fellowship; MIT; Agouron Geobiology Institute; MIT Wade Fund; NASA Astrobiology's Exobiology and Evolutionary Biology Program [NNX08AO19G]; New Zealand Foundation for Research, Science, and Technology [C01X0306]; NSF Division of Polar Programs' McMurdo Long Term Ecological Research Project [1115245]; National Association of Geoscience Teachers (NAGT) Scholarship; Directorate For Geosciences; Office of Polar Programs (OPP) [1115245] Funding Source: National Science Foundation; NASA [97030, NNX08AO19G] Funding Source: Federal RePORTER</t>
  </si>
  <si>
    <t>National Science Foundation (NSF)(National Science Foundation (NSF)National Research Foundation of Korea); Victor P. Starr Development Chair; David and Lucille Packard Foundation(The David &amp; Lucile Packard Foundation); National Defense Science and Engineering Graduate Fellowship; MIT; Agouron Geobiology Institute; MIT Wade Fund; NASA Astrobiology's Exobiology and Evolutionary Biology Program; New Zealand Foundation for Research, Science, and Technology(New Zealand Foundation for Research, Science and Technology); NSF Division of Polar Programs' McMurdo Long Term Ecological Research Project; National Association of Geoscience Teachers (NAGT) Scholarship; Directorate For Geosciences; Office of Polar Programs (OPP)(National Science Foundation (NSF)NSF - Directorate for Geosciences (GEO)); NASA(National Aeronautics &amp; Space Administration (NASA))</t>
  </si>
  <si>
    <t>We thank the Salt River Pima-Maricopa Indian Community Cultural Resource Department, Justin Brundin (Cultural Resources Manager, Cocopah Indian Tribe), Andrea A. Hunter (Tribal Historic Preservation Officer, Osage Nation), Gary McAdams (Cultural Planner, Wichita and Affiliated Tribes), and Benjamin Louter (Heritage Coordinator, Taku River Tlingit First Nation) for assistance with acknowledging Indigenous territory. Adam B. Jost (Massachusetts Institute of Technology, MIT) performed field work in Svalbard with M.D.C., J.W., T.J.M., and K.D.B., collected photographs, and trained and assisted J.N.R. in the laboratory. We thank Steven M. Adams and Gerilyn S. Soreghan (University of Oklahoma) for collecting and providing samples from the Algodones Dunes and the Waynoka Dunes. The Juneau Icefield Research Program (JIRP), Foundation for Glacier and Environmental Research (FGER), and Coastal Helicopters in Juneau, Alaska provided logistical support, food, and lodging on the Juneau Icefield. This work began as J.N.R.'s undergraduate thesis project at Wellesley College. We thank Daniel J. Brabander, Katrin Monecke, and Wesley A. Watters at Wellesley College for being on the thesis committee. We thank Timothy J. Cavanaugh at the Harvard University Center for Nanoscale Systems (CNS) for assistance operating the SEM. The Harvard CNS is a member of the National Nanotechnology Coordinated Infrastructure Network (NNCI), which is supported by the National Science Foundation (NSF) under NSF award no. 1541959. K.D.B. acknowledges support from the Victor P. Starr Development Chair and the David and Lucille Packard Foundation. M.D.C. received support from a National Defense Science and Engineering Graduate Fellowship. J.W. received support from the Dean of the School of Science Fellowship at MIT. T.J.M. received support from the Agouron Geobiology Institute. Field work in Svalbard was supported by the MIT Wade Fund awarded to K.D.B. Samples from Antarctic lakes were collected during field work in the McMurdo Dry Valleys supported by NASA Astrobiology's Exobiology and Evolutionary Biology Program (award no. NNX08AO19G); the New Zealand Foundation for Research, Science, and Technology (award no. C01X0306); and the NSF Division of Polar Programs' McMurdo Long Term Ecological Research Project (award no. 1115245). Field work on the Juneau Icefield was partially funded by the National Association of Geoscience Teachers (NAGT) Scholarship for Field Study awarded to J.N.R. Thoughtful feedback from Pedro J.M. Costa and an anonymous reviewer improved the manuscript.</t>
  </si>
  <si>
    <t>SEPM-SOC SEDIMENTARY GEOLOGY</t>
  </si>
  <si>
    <t>TULSA</t>
  </si>
  <si>
    <t>6128 EAST 38TH ST, STE 308, TULSA, OK 74135-5814 USA</t>
  </si>
  <si>
    <t>1527-1404</t>
  </si>
  <si>
    <t>1938-3681</t>
  </si>
  <si>
    <t>J SEDIMENT RES</t>
  </si>
  <si>
    <t>J. Sediment. Res.</t>
  </si>
  <si>
    <t>10.2110/jsr.2020.151</t>
  </si>
  <si>
    <t>WG0RU</t>
  </si>
  <si>
    <t>WOS:000706707000001</t>
  </si>
  <si>
    <t>Mangel, M</t>
  </si>
  <si>
    <t>Mangel, Marc</t>
  </si>
  <si>
    <t>Sidney Holt on principles for the conservation of wild living resources, whaling in the Antarctic, and the Beverton-Holt stock-recruitment relationship</t>
  </si>
  <si>
    <t>conservation; special permit whaling; steepness; stock-recruitment relationship; wild living resources</t>
  </si>
  <si>
    <t>STEEPNESS; MANAGEMENT</t>
  </si>
  <si>
    <t>I review my interactions with Sidney Holt concerning principles for the conservation of wild living resources, the whaling case between Australia and Japan in the International Court of Justice, and the Beverton-Holt stock-recruitment relationship (BH-SRR). Holt and Lee Talbot published a monograph on principles for conservation in 1977; I lead the publication of an update similar to 20years later. I compare the two versions and discuss Holt's contributions. Holt was active in the world-wide campaign to cease whaling and in efforts to have the Japanese special permit whaling programme in the Antarctic recognized as violating the moratorium on commercial whaling. I describe my involvement in the case and my interactions with him during oral arguments in the case and when the International Court of Justice rendered its decision that the Japanese programme of special permit whaling contravened the international treaty for the regulation of whaling because it was not for purposes of scientific research. In response to a paper of mine concerning steepness, Holt wrote to me that the BH-SSR is a one-, not two-, parameter function. I explain my current understanding of his reasoning, which involves how we use the SRR in fishery management.</t>
  </si>
  <si>
    <t>[Mangel, Marc] Univ Bergen, Dept Biol, N-9020 Bergen, Norway; [Mangel, Marc] Univ Washington, Puget Sound Inst, Tacoma, WA 98402 USA; [Mangel, Marc] Univ Calif Santa Cruz, Inst Marine Sci, Santa Cruz, CA 95060 USA</t>
  </si>
  <si>
    <t>University of Bergen; University of Washington; University of Washington Tacoma; University of California System; University of California Santa Cruz</t>
  </si>
  <si>
    <t>Mangel, M (corresponding author), Univ Bergen, Dept Biol, N-9020 Bergen, Norway.;Mangel, M (corresponding author), Univ Washington, Puget Sound Inst, Tacoma, WA 98402 USA.;Mangel, M (corresponding author), Univ Calif Santa Cruz, Inst Marine Sci, Santa Cruz, CA 95060 USA.</t>
  </si>
  <si>
    <t>msmangel@ucsc.edu</t>
  </si>
  <si>
    <t>US Office of Naval Research [N00014-19-2494]</t>
  </si>
  <si>
    <t>US Office of Naval Research(Office of Naval Research)</t>
  </si>
  <si>
    <t>This work was partially funded by the US Office of Naval Research through Grant N00014-19-2494.</t>
  </si>
  <si>
    <t>10.1093/icesjms/fsaa187</t>
  </si>
  <si>
    <t>WE2LR</t>
  </si>
  <si>
    <t>WOS:000705457300025</t>
  </si>
  <si>
    <t>Harding, J; MacKinnon, K; Sangster-Gormley, E; Gordon, C</t>
  </si>
  <si>
    <t>Harding, Jillian; MacKinnon, Karen; Sangster-Gormley, Esther; Gordon, Carol</t>
  </si>
  <si>
    <t>Indigenous peoples' positive experiences of culturally safe health care: a qualitative systematic review protocol</t>
  </si>
  <si>
    <t>JBI EVIDENCE SYNTHESIS</t>
  </si>
  <si>
    <t>cultural safety; experience; health care; Indigenous; nursing</t>
  </si>
  <si>
    <t>Objective: The purpose of this systematic review is to explore what is known about Indigenous peoples' positive experiences with culturally safe health care. Introduction: Research indicates that Indigenous people often experience stigma and discrimination from non-Indigenous health care providers when accessing health care services. One approach that has been put forward to address Indigenous health inequities is cultural safety. Studies have been conducted to identify what comprises culturally safe care for Indigenous people, however, many of these studies target the health care provider's perspective, rather than the perspective of the Indigenous person who is receiving the care. Inclusion criteria: This review will consider studies that involve Indigenous peoples' positive experiences with culturally safe health care from any study setting. Studies that present relevant qualitative findings including descriptions, examples, or stories about how a health care provider enacted cultural safety from Indigenous perspectives will be considered. Methods: MEDLINE, CINAHL, Embase, PsycINFO, First Nations Periodical Index, the Native Health Database, the Indigenous Studies Portal, and the Arctic and Antarctic Regions Database will be searched for published studies. The search for unpublished studies will include Google and Google Scholar, ProQuest Dissertations and Theses, and OpenGrey. Databases will be searched from 1988 onward and only studies published in English will be included. The JBI systematic review guidelines will be followed. The JBI process of meta-aggregation will be used to identify categories and synthesize findings. The ConQual approach will be used to assess confidence in the review findings. Systematic review registration number: PROSPERO CRD42020173003</t>
  </si>
  <si>
    <t>[Harding, Jillian; MacKinnon, Karen; Sangster-Gormley, Esther; Gordon, Carol] Univ Victoria UVic Victoria, Victoria, BC, Canada; [Harding, Jillian; MacKinnon, Karen; Gordon, Carol] Univ Victoria UVic, Ctr Evidence Informed Nursing &amp; Healthcare CEiNHC, Victoria, BC, Canada; [Harding, Jillian] Univ British Columbia UBC, Vancouver, BC, Canada</t>
  </si>
  <si>
    <t>University of Victoria; University of British Columbia</t>
  </si>
  <si>
    <t>Harding, J (corresponding author), Univ Victoria UVic Victoria, Victoria, BC, Canada.;Harding, J (corresponding author), Univ Victoria UVic, Ctr Evidence Informed Nursing &amp; Healthcare CEiNHC, Victoria, BC, Canada.;Harding, J (corresponding author), Univ British Columbia UBC, Vancouver, BC, Canada.</t>
  </si>
  <si>
    <t>jillian.harding@ubc.ca</t>
  </si>
  <si>
    <t>LIPPINCOTT WILLIAMS &amp; WILKINS</t>
  </si>
  <si>
    <t>TWO COMMERCE SQ, 2001 MARKET ST, PHILADELPHIA, PA 19103 USA</t>
  </si>
  <si>
    <t>2689-8381</t>
  </si>
  <si>
    <t>JBI EVID SYNTH</t>
  </si>
  <si>
    <t>JBI Evid. Synth.</t>
  </si>
  <si>
    <t>10.11124/JBIES-20-00181</t>
  </si>
  <si>
    <t>Health Care Sciences &amp; Services</t>
  </si>
  <si>
    <t>WI7KM</t>
  </si>
  <si>
    <t>WOS:000708536300014</t>
  </si>
  <si>
    <t>Guitián, J; Stoll, HM</t>
  </si>
  <si>
    <t>Guitian, Jose; Stoll, Heather M.</t>
  </si>
  <si>
    <t>Evolution of Sea Surface Temperature in the Southern Mid-latitudes From Late Oligocene Through Early Miocene</t>
  </si>
  <si>
    <t>LONG-CHAIN ALKENONES; OFFSHORE WILKES LAND; ICE-SHEET; ALKYL ALKENOATES; NORTH-ATLANTIC; CLIMATE; CALIBRATION; DISTRIBUTIONS; PALEOCEANOGRAPHY; ANTARCTICA</t>
  </si>
  <si>
    <t>Large Antarctic ice volume changes characterized the middle to Late Oligocene and the first million years of climate evolution during the Miocene. However, the sea surface temperature (SST) evolution over this period remains poorly constrained, as only a few records from contrasting proxies are available. In this study, we present a long-term alkenone-derived SST record from sediments drilled by the Ocean Drilling Program (ODP) at Site 1168 in the west Tasmanian Sea spanning 29.8 Ma to 16.7 Ma. The SST record highlight that the long-term warming in the Late Oligocene linked to the end of the Middle Oligocene Glacial Interval can be recognized also at mid-to-high latitudes of the Southern Hemisphere. Warmer average temperatures (25.5 degrees C) characterize the period from 24.6 to 22 Ma; average temperatures then decrease by 1 degrees C-2 degrees C into the Miocene and stabilize by 20.1 Ma. The reconstructed temperatures are highly variable in the warm Late Oligocene waters, and more stable and slightly colder in the Early to Middle Miocene. We confirm that this temperature trend is not an artifact of the latitudinal drift of the site, as the temperature anomaly relative to the modern water temperature at the paleolocation confirms the SST trends of the Oligocene. This is the first alkenone-derived continuous record to reproduce the long-term Oligocene climate trend previously interpreted from the benthic delta O-18, which recorded a warming and/or reduction in ice volume from the Middle Oligocene Glacial Interval through the latest Oligocene.</t>
  </si>
  <si>
    <t>[Guitian, Jose; Stoll, Heather M.] Swiss Fed Inst Technol, Geol Inst, Zurich, Switzerland</t>
  </si>
  <si>
    <t>Swiss Federal Institutes of Technology Domain; ETH Zurich</t>
  </si>
  <si>
    <t>Guitián, J (corresponding author), Swiss Fed Inst Technol, Geol Inst, Zurich, Switzerland.</t>
  </si>
  <si>
    <t>jose.paleocean@gmail.com</t>
  </si>
  <si>
    <t>Guitian, Jose/GLN-7735-2022; Guitián, José/AAB-1241-2021; Stoll, Heather/G-9066-2012</t>
  </si>
  <si>
    <t>Guitian, Jose/0000-0002-3346-4472; Guitián, José/0000-0002-3346-4472; Stoll, Heather/0000-0002-2953-7835</t>
  </si>
  <si>
    <t>Swiss National Science Foundation [200021_182070]; ERC [802835]; Swiss National Science Foundation (SNF) [200021_182070] Funding Source: Swiss National Science Foundation (SNF); European Research Council (ERC) [802835] Funding Source: European Research Council (ERC)</t>
  </si>
  <si>
    <t>Swiss National Science Foundation(Swiss National Science Foundation (SNSF)); ERC(European Research Council (ERC)); Swiss National Science Foundation (SNF)(Swiss National Science Foundation (SNSF)); European Research Council (ERC)(European Research Council (ERC)Spanish Government)</t>
  </si>
  <si>
    <t>Sediment samples were provided by the Ocean Drilling Program (ODP). This study was supported by the Swiss National Science Foundation (Award 200021_182070 to Heather Stoll). Authors are very thankful to Madalina Jaggi, Stewart Bishop, and Thierry Solms for their assistance in the laboratory. The authors also thank Lena Thole and Mariska Hoorweg for providing the subset of samples from Utrecht University with an ERC starting grant n802835 OceaNice to Peter K. Bijl.</t>
  </si>
  <si>
    <t>e2020PA004199</t>
  </si>
  <si>
    <t>10.1029/2020PA004199</t>
  </si>
  <si>
    <t>WE9MW</t>
  </si>
  <si>
    <t>WOS:000705942700008</t>
  </si>
  <si>
    <t>Lu, Y; Wang, DF; Jiang, XD; Lin, ZY; Yang, YP; Liu, QS</t>
  </si>
  <si>
    <t>Lu, Yang; Wang, Dunfan; Jiang, Xiaodong; Lin, Zhiyong; Yang, Yiping; Liu, Qingsong</t>
  </si>
  <si>
    <t>Paleoenvironmental Significance of Magnetofossils in Pelagic Sediments in the Equatorial Pacific Ocean Before and After the Eocene/Oligocene Boundary</t>
  </si>
  <si>
    <t>environmental magnetism; magnetofossils; EOT; equatorial Pacific</t>
  </si>
  <si>
    <t>EOCENE-OLIGOCENE TRANSITION; ORGANIC-CARBON FLUX; DEEP-SEA; BACTERIAL MAGNETITE; ICE GROWTH; RECORD; PRODUCTIVITY; TEMPERATURES; GLACIATION; COMPONENTS</t>
  </si>
  <si>
    <t>Magnetotactic bacteria (MTB), sensitive to redox status, leave fossil bacterial magnetite (magnetofossils) in sediments. The relative contents of cuboctahedral, elongated prismatic, and bullet-shaped magnetofossils archive changes in redox conditions, which indicate paleoenvironmental variations. The Eocene-Oligocene transition (EOT) is a turning point in the Cenozoic climate evolution from greenhouse to icehouse. Global cooling, Antarctic glaciation, and/or a new tectonic structure modified the global ocean and atmosphere circulation mode. In the eastern equatorial Pacific Ocean (EEPO), the organic matter and aeolian supply, which are important for the proliferation of MTB, did not vary synchronously. Here, we study the magnetic particles and environmental magnetism characteristics of samples from EEPO to test the hypothesis that magnetofossil assemblages respond to the dramatic paleoclimatic changes across the EOT. Results show that the abundances of all kinds of magnetic particles are significantly decreased with the reduction of aeolian supply after the EOT. However, the relative abundance of magnetofossils and the proportion of bullet-shaped ones both increased. Simultaneously, organic matter input was enhanced as indicated by (a) similar productivity but decreased organic carbon consumption and (b) the increased mass accumulation rates of total organic carbon after the EOT. The enhanced organic matter flux increased redox gradient in pelagic sediment, which together with sufficient iron from aeolian particles, supported the metabolism of MTB, especially those synthesizing bullet-shaped magnetofossils. Therefore, the magnetofossils in the EEPO vary synchronously with the evolution of paleoenvironment before and after the EOT, which thus supports the use of magnetofossil as an effective proxy archiving paleoenvironment.</t>
  </si>
  <si>
    <t>[Lu, Yang; Wang, Dunfan; Jiang, Xiaodong; Liu, Qingsong] Southern Univ Sci &amp; Technol, Dept Ocean Sci &amp; Engn, Ctr Marine Magnetism CM2, Shenzhen, Peoples R China; [Lu, Yang] Univ Hamburg, Inst Geol, Ctr Erdsyst Forsch &amp; Nachhaltigkeit, Hamburg, Germany; [Lin, Zhiyong] Sun Yat Sen Univ, Sch Marine Sci, Guangzhou, Peoples R China; [Yang, Yiping] Chinese Acad Sci, Guangzhou Inst Geochem, CAS Key Lab Mineral &amp; Metallogeny, Guangdong Prov Key Lab Mineral Phys &amp; Mat, Guangzhou, Peoples R China; [Yang, Yiping] CAS Ctr Excellence Deep Earth Sci, Guangzhou, Peoples R China; [Liu, Qingsong] Pilot Natl Lab Marine Sci &amp; Technol Qingdao, Lab Marine Geol, Qingdao, Peoples R China; [Liu, Qingsong] Southern Marine Sci &amp; Engn Guangdong Lab Guangzho, Guangzhou, Peoples R China</t>
  </si>
  <si>
    <t>Southern University of Science &amp; Technology; University of Hamburg; Sun Yat Sen University; Chinese Academy of Sciences; Guangzhou Institute of Geochemistry, CAS; Laoshan Laboratory; Hong Kong Branch of the Southern Marine Science &amp; Engineering Guangdong Laboratory (Guangzhou)</t>
  </si>
  <si>
    <t>Liu, QS (corresponding author), Southern Univ Sci &amp; Technol, Dept Ocean Sci &amp; Engn, Ctr Marine Magnetism CM2, Shenzhen, Peoples R China.;Liu, QS (corresponding author), Pilot Natl Lab Marine Sci &amp; Technol Qingdao, Lab Marine Geol, Qingdao, Peoples R China.;Liu, QS (corresponding author), Southern Marine Sci &amp; Engn Guangdong Lab Guangzho, Guangzhou, Peoples R China.</t>
  </si>
  <si>
    <t>qsliu@sustech.edu.cn</t>
  </si>
  <si>
    <t>Lu, Yang/0000-0001-6189-6806; Lin, Zhiyong/0000-0002-0793-7686</t>
  </si>
  <si>
    <t>National Key Research &amp; Development Program of China [2016YFA0601903]; National Natural Science Foundation of China [41874078, U1606401]; National Program on Global Change and Air Sea Interaction [GASI-GEOGE-03]; Shenzhen Science and Technology Program [KQTD20170810111725321]; K. C. Wong Education Foundation; Guangzhou Elite Project [JY201223]; International Postdoctoral Exchange Fellowship Program of the China Postdoctoral Council [20180053]; DAAD</t>
  </si>
  <si>
    <t>National Key Research &amp; Development Program of China; National Natural Science Foundation of China(National Natural Science Foundation of China (NSFC)); National Program on Global Change and Air Sea Interaction; Shenzhen Science and Technology Program; K. C. Wong Education Foundation; Guangzhou Elite Project; International Postdoctoral Exchange Fellowship Program of the China Postdoctoral Council; DAAD(Deutscher Akademischer Austausch Dienst (DAAD))</t>
  </si>
  <si>
    <t>This work benefits from the support of National Key Research &amp; Development Program of China (2016YFA0601903), National Natural Science Foundation of China (41874078 and U1606401), National Program on Global Change and Air Sea Interaction (GASI-GEOGE-03), and Shenzhen Science and Technology Program (Grant No. KQTD20170810111725321). Yang Lu gratefully acknowledges the support of K. C. Wong Education Foundation, DAAD, and Guangzhou Elite Project (No. JY201223). Z. Lin acknowledges the International Postdoctoral Exchange Fellowship Program of the China Postdoctoral Council (No. 20180053). The authors appreciate the help from D. Yang, P. Han, J. Wu, and W. Dong on the experiments. Insightful comments by Editor M. Dekkers, Associate Editor A. Kontny, R. Harrison, an anonymous reviewer, and T. Yamazaki helped to improve the manuscript and are greatly appreciated.</t>
  </si>
  <si>
    <t>e2021JB022221</t>
  </si>
  <si>
    <t>10.1029/2021JB022221</t>
  </si>
  <si>
    <t>WA7TM</t>
  </si>
  <si>
    <t>WOS:000703087900038</t>
  </si>
  <si>
    <t>Coxon, JC; Fear, RC; Reidy, JA; Fryer, LJ; Plank, J</t>
  </si>
  <si>
    <t>Coxon, John C.; Fear, Robert C.; Reidy, Jade A.; Fryer, Laura J.; Plank, James</t>
  </si>
  <si>
    <t>Hot Plasma in the Magnetotail Lobes Shows Characteristics Consistent With Closed Field Lines Trapped in the Lobes</t>
  </si>
  <si>
    <t>transpolar arcs; theta aurora; IMF BY; magnetotail; hot plasma; northward IMF</t>
  </si>
  <si>
    <t>INTERPLANETARY MAGNETIC-FIELD; LATITUDE BOUNDARY-LAYER; IMF B-Y; IMAGE SPACECRAFT; NORTHWARD; CLUSTER; MAGNETOSPHERE; COMPONENT; DYNAMICS; MISSION</t>
  </si>
  <si>
    <t>We examine the magnetotail using data from the Hot Ion Analyzer on Cluster 1 during 2001-2009. We develop and utilize an algorithm in order to identify times during which Cluster 1 is in the magnetotail lobe but observes plasma, which is hotter than our expectations of the lobe. We analyze the prevailing Interplanetary Magnetic Field (IMF) B-Z conditions for our algorithm and a reference algorithm (with no particle energy criteria) and find that the periods we select are, on average, similar to 2 nT more toward northward IMF. Examining the temperature in the magnetotail for our periods shows that the morphology of the average temperature is consistent with the Milan et al. (2005, ) model of a magnetotail structure during northward IMF, in which closed field lines are prevented from convecting to the dayside, causing them and the plasma trapped on them to protrude into the magnetotail lobes. We also find evidence that similar to 0.5% of our identified periods may be driven by direct entry into the magnetosphere from the solar wind.</t>
  </si>
  <si>
    <t>[Coxon, John C.; Fear, Robert C.; Fryer, Laura J.; Plank, James] Univ Southampton, Sch Phys &amp; Astron, Southampton, Hants, England; [Reidy, Jade A.] British Antarctic Survey, Cambridge, England</t>
  </si>
  <si>
    <t>University of Southampton; UK Research &amp; Innovation (UKRI); Natural Environment Research Council (NERC); NERC British Antarctic Survey</t>
  </si>
  <si>
    <t>Coxon, JC (corresponding author), Univ Southampton, Sch Phys &amp; Astron, Southampton, Hants, England.</t>
  </si>
  <si>
    <t>work@johncoxon.co.uk</t>
  </si>
  <si>
    <t>Coxon, John/AAN-9355-2021</t>
  </si>
  <si>
    <t>Coxon, John/0000-0002-0166-6854; Fryer, Laura/0000-0002-5215-6942; Plank, James/0000-0001-8281-059X</t>
  </si>
  <si>
    <t>Science and Technology Facilities Council (STFC) [ST/R000719/1, ST/V000942/1]; Natural Environment Research Council (NERC) Highlight Topic Grant [NE/P01738X/1623]; STFC studentship [ST/T506424/1, 2279917, ST/V507064/1, 2502298]</t>
  </si>
  <si>
    <t>Science and Technology Facilities Council (STFC)(UK Research &amp; Innovation (UKRI)Science &amp; Technology Facilities Council (STFC)Science and Technology Development Fund (STDF)); Natural Environment Research Council (NERC) Highlight Topic Grant(UK Research &amp; Innovation (UKRI)Natural Environment Research Council (NERC)); STFC studentship(UK Research &amp; Innovation (UKRI)Science &amp; Technology Facilities Council (STFC))</t>
  </si>
  <si>
    <t>J. C. Coxon and R. C. Fear were supported by Science and Technology Facilities Council (STFC) Consolidated Grants ST/R000719/1 and ST/V000942/1. J. A. Reidy was supported by Natural Environment Research Council (NERC) Highlight Topic Grant NE/P01738X/1623 (Rad-Sat). L. J. Fryer was supported by STFC studentship ST/T506424/1 (2279917). J. Plank was supported by STFC studentship ST/V507064/1 (2502298). J. C. Coxon would like to thank A. Burrell for her expertise on AACGM coordinates.</t>
  </si>
  <si>
    <t>e2021JA029516</t>
  </si>
  <si>
    <t>10.1029/2021JA029516</t>
  </si>
  <si>
    <t>UZ6VH</t>
  </si>
  <si>
    <t>WOS:000702340700031</t>
  </si>
  <si>
    <t>Miyashita, Y; Chang, TF; Miyoshi, Y; Hori, T; Kadokura, A; Kasahara, S; Wang, SY; Keika, K; Matsuoka, A; Tanaka, Y; Kasahara, Y; Teramoto, M; Jun, CW; Asamura, K; Kazama, Y; Tam, SWY; Wang, BJ; Yokota, S; Kumamoto, A; Tsuchiya, F; Shoji, M; Kurita, S; Imajo, S; Shinohara, I</t>
  </si>
  <si>
    <t>Miyashita, Yukinaga; Chang, Tzu-Fang; Miyoshi, Yoshizumi; Hori, Tomoaki; Kadokura, Akira; Kasahara, Satoshi; Wang, Shiang-Yu; Keika, Kunihiro; Matsuoka, Ayako; Tanaka, Yoshimasa; Kasahara, Yoshiya; Teramoto, Mariko; Jun, Chae-Woo; Asamura, Kazushi; Kazama, Yoichi; Tam, Sunny W. Y.; Wang, Bo-Jhou; Yokota, Shoichiro; Kumamoto, Atsushi; Tsuchiya, Fuminori; Shoji, Masafumi; Kurita, Satoshi; Imajo, Shun; Shinohara, Iku</t>
  </si>
  <si>
    <t>Magnetic Field and Energetic Particle Flux Oscillations and High-Frequency Waves Deep in the Inner Magnetosphere During Substorm Dipolarization: ERG Observations</t>
  </si>
  <si>
    <t>dipolarization; ballooning instability</t>
  </si>
  <si>
    <t>CURRENT DISRUPTION; BALLOONING INSTABILITY; PLASMA SHEET; ONSET; EXPANSION; FLOW; LOCATION; GROWTH; REGION; SLOW</t>
  </si>
  <si>
    <t>Using Exploration of energization and Radiation in Geospace (ERG or Arase) spacecraft data, we studied low-frequency magnetic field and energetic particle flux oscillations and high-frequency waves deep in the inner magnetosphere at a radial distance of similar to 4-5 R-E during substorm dipolarization. The magnetic field oscillated alternately between dipole-like and taillike configuration at a period of similar to 1 min during dipolarization. When the magnetic field was dipole-like, the parallel magnetic component of the Pi2 waves was at trough. Both energetic ion and electron fluxes with a few to tens of kiloelectronvolts enhanced out of phase, indicating that magnetosonic waves were in slow mode. Field-aligned currents also oscillated. These observations are consistent with signatures of ballooning instability. In addition, we found that broadband waves from the Pi1 range to above the electron cyclotron frequency tended to appear intermittently in the central plasma sheet near dipole-like configuration.</t>
  </si>
  <si>
    <t>[Miyashita, Yukinaga] Korea Astron &amp; Space Sci Inst, Space Sci Div, Daejeon, South Korea; [Miyashita, Yukinaga] Korea Univ Sci &amp; Technol, Dept Astron &amp; Space Sci, Daejeon, South Korea; [Chang, Tzu-Fang; Tam, Sunny W. Y.] Natl Cheng Kung Univ, Inst Space &amp; Plasma Sci, Tainan, Taiwan; [Miyoshi, Yoshizumi; Hori, Tomoaki; Jun, Chae-Woo; Shoji, Masafumi] Nagoya Univ, Inst Space Earth Environm Res, Nagoya, Aichi, Japan; [Kadokura, Akira; Tanaka, Yoshimasa] Natl Inst Polar Res, Tachikawa, Tokyo, Japan; [Kasahara, Satoshi; Keika, Kunihiro] Univ Tokyo, Dept Earth &amp; Planetary Sci, Grad Sch Sci, Bunkyo Ku, Tokyo, Japan; [Wang, Shiang-Yu; Kazama, Yoichi; Wang, Bo-Jhou] Acad Sinica, Inst Astron &amp; Astrophys, Taipei, Taiwan; [Matsuoka, Ayako; Imajo, Shun] Kyoto Univ, Data Anal Ctr Geomagnetism &amp; Space Magnetism, Grad Sch Sci, Kyoto, Japan; [Kasahara, Yoshiya] Kanazawa Univ, Grad Sch Nat Sci &amp; Technol, Kanazawa, Ishikawa, Japan; [Teramoto, Mariko] Kyushu Inst Technol, Fac Engn, Kitakyushu, Japan; [Asamura, Kazushi; Shinohara, Iku] Japan Aerosp Explorat Agcy, Inst Space &amp; Astronaut Sci, Sagamihara, Kanagawa, Japan; [Yokota, Shoichiro] Osaka Univ, Dept Earth &amp; Space Sci, Grad Sch Sci, Toyonaka, Osaka, Japan; [Kumamoto, Atsushi] Tohoku Univ, Dept Geophys, Grad Sch Sci, Sendai, Miyagi, Japan; [Tsuchiya, Fuminori] Tohoku Univ, Planetary Plasma &amp; Atmospher Res Ctr, Grad Sch Sci, Sendai, Miyagi, Japan; [Kurita, Satoshi] Kyoto Univ, Res Inst Sustainable Humanosphere, Uji, Kyoto, Japan</t>
  </si>
  <si>
    <t>Korea Astronomy &amp; Space Science Institute (KASI); University of Science &amp; Technology (UST); National Cheng Kung University; Nagoya University; Research Organization of Information &amp; Systems (ROIS); National Institute of Polar Research (NIPR) - Japan; University of Tokyo; Academia Sinica - Taiwan; Kyoto University; Kanazawa University; Kyushu Institute of Technology; Japan Aerospace Exploration Agency (JAXA); Institute of Space &amp; Astronautical Science (ISAS); Osaka University; Tohoku University; Tohoku University; Kyoto University</t>
  </si>
  <si>
    <t>Miyashita, Y (corresponding author), Korea Astron &amp; Space Sci Inst, Space Sci Div, Daejeon, South Korea.;Miyashita, Y (corresponding author), Korea Univ Sci &amp; Technol, Dept Astron &amp; Space Sci, Daejeon, South Korea.</t>
  </si>
  <si>
    <t>miyasita@kasi.re.kr</t>
  </si>
  <si>
    <t>Tsuchiya, Fuminori/T-1957-2019; Tam, Sunny W. Y./AAP-2715-2020; Wang, Shiang-Yu/AAZ-2695-2020; KASAHARA, Yoshiya/E-7073-2015; 熊本, 篤志/JBS-8512-2023; Kazama, Yusuke/L-7253-2015; Miyoshi, Yoshizumi/B-5834-2015</t>
  </si>
  <si>
    <t>Tsuchiya, Fuminori/0000-0003-3386-6794; Wang, Shiang-Yu/0000-0001-6491-1901; 熊本, 篤志/0000-0002-3988-1488; Miyashita, Yukinaga/0000-0001-5622-8141; Keika, Kunihiro/0000-0003-0265-4318; Hori, Tomoaki/0000-0001-8451-6941; KADOKURA, AKIRA/0000-0002-6105-9562; Imajo, Shun/0000-0002-9862-844X; Miyoshi, Yoshizumi/0000-0001-7998-1240</t>
  </si>
  <si>
    <t>Japan Society for the Promotion of Science [20H01957]; Research Program of Japanese Antarctic Research Expedition (JARE) of the Ministry of Education, Culture, Sports, Science, and Technology of Japan (MEXT); Inter-university Upper atmosphere Global Observation NETwork (IUGONET) project - MEXT; Grants-in-Aid for Scientific Research [20H01957, 20H00194, 20K04039] Funding Source: KAKEN</t>
  </si>
  <si>
    <t>Japan Society for the Promotion of Science(Ministry of Education, Culture, Sports, Science and Technology, Japan (MEXT)Japan Society for the Promotion of Science); Research Program of Japanese Antarctic Research Expedition (JARE) of the Ministry of Education, Culture, Sports, Science, and Technology of Japan (MEXT); Inter-university Upper atmosphere Global Observation NETwork (IUGONET) project - MEXT; Grants-in-Aid for Scientific Research(Ministry of Education, Culture, Sports, Science and Technology, Japan (MEXT)Japan Society for the Promotion of ScienceGrants-in-Aid for Scientific Research (KAKENHI))</t>
  </si>
  <si>
    <t>This work was in part carried out by a joint research program of Institute for Space-Earth Environmental Research, Nagoya University, and was in part supported by a Grant-in-Aid for Scientific Research of Japan Society for the Promotion of Science (20H01957 Scientific Research B). The ERG Science Center (Miyoshi et al., 2018a; https://ergsc.isee.nagoya-u.ac.jp/) was operated by Institute of Space and Astronautical Science, Japan Aerospace Exploration Agency, and Institute for Space-Earth Environmental Research, Nagoya University. Auroral Observation at Syowa Station and the Upper Atmosphere Physics Monitoring Observation at Syowa Station were mainly supported by the Research Program of Japanese Antarctic Research Expedition (JARE) of the Ministry of Education, Culture, Sports, Science, and Technology of Japan (MEXT). The distribution of the Syowa data was partly supported by the Inter-university Upper atmosphere Global Observation NETwork (IUGONET) project (http://www.iugonet.org/) funded by the MEXT. We thank J. H. King and N. E. Papitashvili for the OMNI solar wind data and the Sym-H index. The Sym-H index is originally produced and distributed by World Data Center for Geomagnetism, Kyoto (http://wdc.kugi.kyoto-u.ac.jp/aeasy/index.html).</t>
  </si>
  <si>
    <t>e2020JA029095</t>
  </si>
  <si>
    <t>10.1029/2020JA029095</t>
  </si>
  <si>
    <t>WOS:000702340700047</t>
  </si>
  <si>
    <t>Stauning, P</t>
  </si>
  <si>
    <t>Stauning, Peter</t>
  </si>
  <si>
    <t>Invalid Polar Cap Indices: Erroneous Scaling Parameters</t>
  </si>
  <si>
    <t>polar cap index; invalid scaling parameters</t>
  </si>
  <si>
    <t>IMF SECTOR STRUCTURE; NEAR-REAL TIME; IDENTIFICATION</t>
  </si>
  <si>
    <t>In the publication Troshichev et al. (2006) () on the polar cap (PC) indices, PCN and PCS, an error was made by using components of the interplanetary magnetic field (IMF) in their geocentric solar ecliptic (GSE) representation instead of the prescribed geocentric solar magnetospheric (GSM) representation for calculations of index scaling parameters. The mistake has caused a trail of incorrect relations and wrong conclusions extending since 2006 up to now (2020) which should be discontinued, for instance, by issuing a corrigendum note from the authors. The present contribution explains the error and discusses in an extended example its consequences for one of the publications that have referred to the invalid scaling parameter set. Further investigations reported here of the PC index versions recommended by the International Association for Geomagnetism and Aeronomy (IAGA) indicate occurrences of similar problems in the present derivation of index scaling parameters.</t>
  </si>
  <si>
    <t>[Stauning, Peter] Danish Meteorol Inst, Copenhagen, Denmark</t>
  </si>
  <si>
    <t>Danish Meteorological Institute DMI</t>
  </si>
  <si>
    <t>Stauning, P (corresponding author), Danish Meteorol Inst, Copenhagen, Denmark.</t>
  </si>
  <si>
    <t>pst@dmi.dk</t>
  </si>
  <si>
    <t>Stauning, Peter/0000-0002-8804-7932</t>
  </si>
  <si>
    <t>Danish Meteorological Institute (DMI); Danish Space Research Institute (DTU Space); Arctic and Antarctic Research Institute in St. Petersburg, Russia (AARI)</t>
  </si>
  <si>
    <t>The staffs at the observatories in Qaanaaq and Vostok and their supporting institutes, the Danish Meteorological Institute (DMI), the Danish Space Research Institute (DTU Space), and the Arctic and Antarctic Research Institute in St. Petersburg, Russia (AARI), are gratefully acknowledged for providing high-quality geomagnetic data for this study. The efficient provision of geomagnetic data from the INTERMAGNET data service center, the provision of space data from the IMP, ACE, WIND, and GeoTail missions and the excellent performance of the OMNIweb and ISGI data portals are greatly appreciated. The author gratefully acknowledges the collaboration and many rewarding discussions in the past with Drs. O. A. Troshichev and A. S. Janzhura at the Arctic and Antarctic Research Institute in St. Petersburg, Russia.</t>
  </si>
  <si>
    <t>e2020JA028292</t>
  </si>
  <si>
    <t>10.1029/2020JA028292</t>
  </si>
  <si>
    <t>WOS:000702340700038</t>
  </si>
  <si>
    <t>Wang, ZW; Hu, HQ; Lu, JY; Han, DS; Liu, JJ; Wu, YW; Hu, ZJ</t>
  </si>
  <si>
    <t>Wang, Zhiwei; Hu, Hongqiao; Lu, Jianyong; Han, Desheng; Liu, Jianjun; Wu, Yewen; Hu, Zejun</t>
  </si>
  <si>
    <t>Observational Evidence of Transient Lobe Reconnection Triggered by Sudden Northern Enhancement of IMF Bz</t>
  </si>
  <si>
    <t>lobe reconnection; ionospheric convection; IMF Bz; solar wind-magnetosphere interactions</t>
  </si>
  <si>
    <t>INTERPLANETARY MAGNETIC-FIELD; SUPERDARN HF-RADARS; HIGH-LATITUDE; ENERGY-TRANSFER; NORTHWARD; CONVECTION; CUSP; MAGNETOPAUSE; BOUNDARY; EVOLUTION</t>
  </si>
  <si>
    <t>In general, lobe reconnection occurs under northward interplanetary magnetic field (IMF) Bz. However, what process can trigger lobe reconnection has not been fully understood. Using observations from SuperDARN radar and Defense Meteorological Satellite Program (DMSP) spacecraft, we found that (a) short-term sunward ionospheric flow bursts observed by SuperDARN poleward of the cusp showed one-to-one correspondent with the sudden increase of the IMF Bz, (b) the sunward flow bursts observed by SurperDARN were associated with sunward ion drifts identified from the DMSP satellite, and (c) a cusp auroral spot, together with an inverse ion energy dispersion, was observed in association with one of the flow bursts. We suggest that these observations provide evidence that the lobe reconnections can be triggered by a sudden increase of the IMF Bz component. What's more, we found that the reconnection signatures disappeared quickly after the IMF Bz enhancement being over, which indicates that the lobe reconnection triggered by the sudden increase of the IMF Bz is a transient process.</t>
  </si>
  <si>
    <t>[Wang, Zhiwei; Lu, Jianyong; Wu, Yewen] Nanjing Univ Informat Sci &amp; Technol, Inst Space Weather, Nanjing, Peoples R China; [Wang, Zhiwei; Hu, Hongqiao; Liu, Jianjun; Hu, Zejun] Polar Res Inst China, MNR Key Lab Polar Sci, Shanghai, Peoples R China; [Han, Desheng] Tongji Univ, State Key Lab Marine Geol, Sch Ocean &amp; Earth Sci, Shanghai, Peoples R China</t>
  </si>
  <si>
    <t>Nanjing University of Information Science &amp; Technology; Polar Research Institute of China; Tongji University</t>
  </si>
  <si>
    <t>Lu, JY (corresponding author), Nanjing Univ Informat Sci &amp; Technol, Inst Space Weather, Nanjing, Peoples R China.;Hu, HQ (corresponding author), Polar Res Inst China, MNR Key Lab Polar Sci, Shanghai, Peoples R China.</t>
  </si>
  <si>
    <t>hhq@pric.org.cn; jylu@nuist.edu.cn</t>
  </si>
  <si>
    <t>Hu, Ze-Jun/X-8090-2019; Lu, Jianyong/F-8159-2014; Han, Desheng/H-6971-2018</t>
  </si>
  <si>
    <t>Hu, Ze-Jun/0000-0003-2448-2094; Lu, Jianyong/0000-0001-7042-5395; Han, Desheng/0000-0002-6635-9214; Liu, Jianjun/0000-0003-0465-6210; wang, zhiwei/0000-0002-5395-5447</t>
  </si>
  <si>
    <t>National Key Research and Development Plan of China [2018YFC1407305, 2018YFC1407304, 2018YFC1407303]; National Natural Science Foundation of China [41974185, 42030203, 41974190, 41604141, 41831072, 42074195]; MNR Innovative Youth Talents Program; Chinese Meridian Project</t>
  </si>
  <si>
    <t>National Key Research and Development Plan of China; National Natural Science Foundation of China(National Natural Science Foundation of China (NSFC)); MNR Innovative Youth Talents Program; Chinese Meridian Project</t>
  </si>
  <si>
    <t>The authors acknowledge the use of SuperDARN data (http://vt.superdarn.org).SuperDARN is a collection of radars funded by national scientific funding agencies of Australia, Canada, China, France, Italy, Japan, Norway, South Africa, the United Kingdom, and the United States of America. The authors thank National Arctic and Antarctic Data Center (http://www.chinare.org.cn) for providing a computing server and SuperDARN data. The authors acknowledge the use of NASA/GSFC's Space Physics Data Facility (https://omniweb.gsfc.nasa.gov/html/HROdocum.html) for OMNI IMF data. The authors would like to thank Johns Hopkins University Applied Physics Laboratory for providing the DMSP/SSUSI auroral FUV data (https://ssusi.jhuapl.edu/data_products) and DMSP/SSJ data (available at http://sd-www.jhuapl.edu/Aurora/).This work was supported in part by the National Key Research and Development Plan of China (2018YFC1407305, 2018YFC1407304, and 2018YFC1407303), the National Natural Science Foundation of China (Grants 41974185, 42030203, 41974190, 41604141, 41831072, and 42074195), the MNR Innovative Youth Talents Program and the Chinese Meridian Project.</t>
  </si>
  <si>
    <t>e2021JA029410</t>
  </si>
  <si>
    <t>10.1029/2021JA029410</t>
  </si>
  <si>
    <t>WOS:000702340700052</t>
  </si>
  <si>
    <t>Criscitiello, AS; Geldsetzer, T; Rhodes, RH; Arienzo, M; McConnell, J; Chellman, N; Osman, MB; Yackel, JJ; Marshall, S</t>
  </si>
  <si>
    <t>Criscitiello, A. S.; Geldsetzer, T.; Rhodes, R. H.; Arienzo, M.; McConnell, J.; Chellman, N.; Osman, M. B.; Yackel, J. J.; Marshall, S.</t>
  </si>
  <si>
    <t>Marine Aerosol Records of Arctic Sea-Ice and Polynya Variability From New Ellesmere and Devon Island Firn Cores, Nunavut, Canada</t>
  </si>
  <si>
    <t>Arctic; sea ice; polynya; Nunavut; marine aerosols; ice core</t>
  </si>
  <si>
    <t>NORTH WATER POLYNYA; PHYSICAL PROCESSES; WALES ICEFIELD; TRAJECTORIES; ANTARCTICA; CAP; CLIMATOLOGY; CALIBRATION; ISOTOPES; PATTERNS</t>
  </si>
  <si>
    <t>Sea ice plays a critical role in the Earth's climate system, including influencing ocean heat uptake, reflecting solar radiation, and contributing to dense water formation. Instrumental records of polar sea ice extent are only available since 1979, however. The short length of such records also limits our knowledge of polynya variability, which can reflect large-scale atmospheric and climate changes. Ice core proxy records can extend these observations, but require further development and regional validation. We compare chloride and methanesulfonic acid concentrations from two new firn cores from the Canadian Arctic with satellite-derived observations of regional sea-ice concentration and polynya variability from 2002 to 2014. The sub-annual resolution of these cores allows for detailed investigation of how regional sea-ice concentration is recorded in the ice at Prince of Wales Icefield (POW), Ellesmere Island and Devon Ice Cap (DIC), Devon Island, Nunavut. Over the period 2002-2014 we find that the primary sources of marine aerosols to POW are polynyas within Arctic Canada and the Canada basin of the Arctic Ocean, whereas the primary sources of marine aerosols to DIC are a broader region of the Queen Elizabeth Islands, Baffin Bay, and the Arctic Ocean. Marine aerosol sources to the two core sites are distinct, reflecting different moisture source regions and, likely, differing transport pathways. Air mass back trajectory results support the satellite-derived results. Glaciochemical records from this dynamic, warming region may provide a proxy for reconstructing North Water polynya and other regional polynya and shore-lead variability prior to the satellite era.</t>
  </si>
  <si>
    <t>[Criscitiello, A. S.] Univ Alberta, Dept Earth &amp; Atmospher Sci, Edmonton, AB, Canada; [Geldsetzer, T.; Yackel, J. J.; Marshall, S.] Univ Calgary, Dept Geog, Calgary, AB, Canada; [Rhodes, R. H.] Univ Cambridge, Dept Earth Sci, Cambridge, England; [Arienzo, M.; McConnell, J.; Chellman, N.] Desert Res Inst, Div Hydrol Sci, Reno, NV USA; [Osman, M. B.] Univ Arizona, Dept Geosci, Tucson, AZ 85721 USA</t>
  </si>
  <si>
    <t>University of Alberta; University of Calgary; University of Cambridge; Nevada System of Higher Education (NSHE); Desert Research Institute NSHE; University of Arizona</t>
  </si>
  <si>
    <t>Criscitiello, AS (corresponding author), Univ Alberta, Dept Earth &amp; Atmospher Sci, Edmonton, AB, Canada.</t>
  </si>
  <si>
    <t>crisciti@ualberta.ca</t>
  </si>
  <si>
    <t>Yackel, John/0000-0003-1110-7631; Osman, Matthew/0000-0002-5636-698X; Marshall, Shawn/0000-0002-8300-1388; Criscitiello, Alison/0000-0002-8741-709X; Geldsetzer, Torsten/0000-0001-7422-5833; Rhodes, Rachael/0000-0001-7511-1969; McConnell, Joseph/0000-0001-9051-5240</t>
  </si>
  <si>
    <t>Eyes High Postdoctoral Fellowship (UCalgary)</t>
  </si>
  <si>
    <t>Thanks to Natural Resources Canada, and the Canadian Polar Continental Shelf Project (PCSP) for logistical support. Fieldwork and analyses were undertaken during an Eyes High Postdoctoral Fellowship (UCalgary) to A.S. Criscitiello. Thanks to A. Rutishauser and C. Mortimer for assisting in drill operations, and M. Sharp, A. Dubnick, and B. Danielson for the shared field camp on DIC. The authors thank J.K.W. Chan for his preliminary work on polynya identification. Grateful thanks to staff at the British Antarctic Survey Ice Core Laboratory for assistance with ion chromatography analysis. Gratitude and thanks to the Nunavut Research Institute and the community of Resolute Bay for permission to conduct ice coring in Nunavut.</t>
  </si>
  <si>
    <t>e2021JC017205</t>
  </si>
  <si>
    <t>10.1029/2021JC017205</t>
  </si>
  <si>
    <t>UZ7NW</t>
  </si>
  <si>
    <t>WOS:000702389500008</t>
  </si>
  <si>
    <t>Kolbe, M; Roquet, F; Pauthenet, E; Nerini, D</t>
  </si>
  <si>
    <t>Kolbe, Marlen; Roquet, Fabien; Pauthenet, Etienne; Nerini, David</t>
  </si>
  <si>
    <t>Impact of Thermohaline Variability on Sea Level Changes in the South ocean</t>
  </si>
  <si>
    <t>ANTARCTIC CIRCUMPOLAR CURRENT; SALINITY; TEMPERATURE; CIRCULATION; WATER</t>
  </si>
  <si>
    <t>The Southern Ocean is responsible for the majority of the global oceanic heat uptake that contributes to global sea level rise. At the same time, ocean temperatures do not change at the same rate in all regions and sea level variability is also affected by changes in salinity. This study investigates 10 years of steric height variability (2008-2017) in the Southern Ocean (30 degrees S to 70 degrees S) by analyzing temperature and salinity variations obtained from the GLORYS-031 model provided by the European Copernicus Marine Environment Monitoring Service. The thermohaline variability is decomposed into thermohaline modes using a functional Principal Component Analysis. Thermohaline modes provide a natural basis to decompose the joint temperature-salinity vertical profiles into a sum of vertical modes weighted by their respective principal components that can be related to steric height. Interannual steric height trends are found to differ significantly between subtropical and subpolar regions, simultaneously with a shift from a thermohaline stratification dominated by the first thermal mode in the north to the second 'saline' mode in the South. The Polar Front appears as a natural boundary between the two regions, where steric height variations are minimized Despite higher melt rates and atmospheric temperatures, steric height in Antarctic waters (0-2,000 m) has dropped since 2008 due to higher salt content in the surface and upper intermediate layer and partially colder waters, while subtropical waters farther north have mostly risen due to increased heat storage. Plain Language Summary Sea level variations on longer timescales mainly arise from mass changes or the thermo- and halosteric effects of temperature and salinity on water density. Recent variability in steric height in the Southern Ocean was investigated from 2008 to 2017 by analyzing potential temperature and salinity variations obtained from a global ocean reanalysis. The work was performed using a functional approach to a standard Principal Component Analysis that was applied on vertical temperature and salinity profiles (2,000 m). The resulting thermohaline modes contain information about the general temperature and salinity structure and their variations can be attributed to steric height changes. The results have shown that Antarctic waters above 2,000 m have dropped since 2008 due to higher salt content and colder waters, while subtropical waters farther north have mostly risen due to increased heat storage. Those spatial differences in recent steric height trends also display on the total sea level rise (SLR) observed from satellite data, which shows a significantly higher rate of SLR in subtropical waters compared to higher latitudes of the Southern Ocean.</t>
  </si>
  <si>
    <t>[Kolbe, Marlen] Univ Groningen, Fac Sci &amp; Engn, Groningen, Netherlands; [Kolbe, Marlen; Roquet, Fabien] Univ Gothenburg, Dept Marine Sci, Gothenburg, Sweden; [Pauthenet, Etienne] UPMC Univ, Sorbonne Univ, Paris, France; [Nerini, David] Aix Marseille Univ, Univ Toulon, Mediterranean Inst Oceanol MIO, CNRS,INSU,IRD, Marseille, France</t>
  </si>
  <si>
    <t>University of Groningen; University of Gothenburg; Sorbonne Universite; Aix-Marseille Universite; Institut de Recherche pour le Developpement (IRD); Centre National de la Recherche Scientifique (CNRS); CNRS - National Institute for Earth Sciences &amp; Astronomy (INSU)</t>
  </si>
  <si>
    <t>Kolbe, M (corresponding author), Univ Groningen, Fac Sci &amp; Engn, Groningen, Netherlands.;Kolbe, M (corresponding author), Univ Gothenburg, Dept Marine Sci, Gothenburg, Sweden.</t>
  </si>
  <si>
    <t>m.kolbe@rug.nl</t>
  </si>
  <si>
    <t>Kolbe, Marlen/0000-0003-4244-5027; Pauthenet, Etienne/0000-0002-0531-3810</t>
  </si>
  <si>
    <t>e2021JC017381</t>
  </si>
  <si>
    <t>10.1029/2021JC017381</t>
  </si>
  <si>
    <t>WOS:000702389500018</t>
  </si>
  <si>
    <t>Sedlácek, I; Holochová, P; Sobotka, R; Busse, HJ; Svec, P; Králová, S; Sedo, O; Pilny, J; Stanková, E; Koublová, V; Sedlár, K</t>
  </si>
  <si>
    <t>Sedlacek, Ivo; Holochova, Pavla; Sobotka, Roman; Busse, Hans-Juergen; Svec, Pavel; Kralova, Stanislava; Sedo, Ondrej; Pilny, Jan; Stankova, Eva; Koublova, Vendula; Sedlar, Karel</t>
  </si>
  <si>
    <t>Classification of a Violacein-Producing Psychrophilic Group of Isolates Associated with Freshwater in Antarctica and Description of Rugamonas violacea sp. nov.</t>
  </si>
  <si>
    <t>psychrophiles; Rugamonas; taxonomy; Antarctica; violacein; species description</t>
  </si>
  <si>
    <t>NUMERICAL TAXONOMY; LIPID-COMPOSITION; GEN. NOV.; IN-VITRO; BACTERIA; GENOME; ANNOTATION; DATABASE; STREAM; KEGG</t>
  </si>
  <si>
    <t>A group of 11 bacterial strains was isolated from streams and lakes located in a deglaciated northern part of James Ross Island, Antarctica. They were rod-shaped, Gram-stain-negative, motile, and catalase-positive and produced blue-violet-pigmented colonies on R2A agar. A polyphasic taxonomic approach based on 16S rRNA gene sequencing, whole-genome sequencing, automated ribotyping, repetitive element sequence-based PCR (rep-PCR), MALDI-TOF MS, fatty acid profile, chemotaxonomy analyses, and extensive biotyping was applied in order to clarify the taxonomic position of these isolates. Phylogenetic analysis based on the 16S rRNA gene indicated that all the isolates constituted a coherent group belonging to the genus Rugamonas. The closest relatives to the representative isolate P5900(T) were Rugamonas rubra CCM 3730(T), Rugamonas rivuli FT103W(T), and Rugamonas aquatica FT29W(T), exhibiting 99.2%, 99.1%, and 98.6% 16S rRNA pairwise similarity, respectively. The average nucleotide identity and digital DNA-DNA hybridization values calculated from the whole-genome sequencing data clearly proved that P5900(T) represents a distinct Rugamonas species. The G+C content of genomic DNAs was 66.1 mol%. The major components in fatty acid profiles were summed feature 3 (C-16:1 omega 7c/C-16:1 omega 6c), C-16:0, and C-12:0. The cellular quinone content contained exclusively ubiquinone Q-8. The predominant polar lipids were diphosphatidylglycerol, phosphatidylglycerol, and phosphatidylethanolamine. The polyamine pattern was composed of putrescine, 2-hydroxputrescine, and spermidine. IMPORTANCE Our polyphasic approach provides a new understanding of the taxonomy of novel pigmented Rugamonas species isolated from freshwater samples in Antarctica. The isolates showed considerable extracellular bactericidal secretions. The antagonistic activity of studied isolates against selected pathogens was proved by this study and implied the importance of such compounds' production among aquatic bacteria. The psychrophilic and violacein-producing species Roseomonas violacea may play a role in the diverse consortium among pigmented bacteria in the Antarctic water environment. Based on all the obtained results, we propose a novel species for which the name Rugamonas violacea sp. nov. is suggested, with the type strain P5900(T) (CCM 8940(T); LMG 32105(T)). Isolates of R. violacea were obtained from different aquatic localities, and they represent the autochthonous part of the water microbiome in Antarctica.</t>
  </si>
  <si>
    <t>[Sedlacek, Ivo; Holochova, Pavla; Svec, Pavel; Kralova, Stanislava; Stankova, Eva; Koublova, Vendula] Masaryk Univ, Dept Expt Biol, Czech Collect Microorganisms, Fac Sci, Brno, Czech Republic; [Sobotka, Roman; Pilny, Jan] MBU AV CR, Ctr Algatech, Trebon, Czech Republic; [Busse, Hans-Juergen] Vet Med Univ Wien, Inst Mikrobiol, Vienna, Austria; [Sedo, Ondrej] Masaryk Univ, Cent European Inst Technol, Brno, Czech Republic; [Sedlar, Karel] Brno Univ Technol, Fac Elect Engn &amp; Commun, Dept Biomed Engn, Brno, Czech Republic</t>
  </si>
  <si>
    <t>Masaryk University Brno; Czech Academy of Sciences; Institute of Microbiology of the Czech Academy of Sciences; University of Veterinary Medicine Vienna; Masaryk University Brno; Brno University of Technology</t>
  </si>
  <si>
    <t>Sedlácek, I (corresponding author), Masaryk Univ, Dept Expt Biol, Czech Collect Microorganisms, Fac Sci, Brno, Czech Republic.</t>
  </si>
  <si>
    <t>ivo@sci.muni.cz</t>
  </si>
  <si>
    <t>Sedlacek, Ivo/IWU-8828-2023; Sobotka, Roman/J-3077-2014; Svec, Pavel/B-1209-2008; Kralova, Stanislava/AAW-4815-2021; Koublová, Vendula/HNR-1679-2023; Sedlar, Karel/K-1120-2014</t>
  </si>
  <si>
    <t>Svec, Pavel/0000-0002-1051-5177; Kralova, Stanislava/0000-0003-3384-5328; Koublová, Vendula/0000-0002-0585-326X; Sedlar, Karel/0000-0002-8269-4020; Sedlacek, Ivo/0000-0003-1717-187X</t>
  </si>
  <si>
    <t>Ministry of Education, Youth and Sports of the Czech Republic [LM2015078]; Czech Antarctic Foundation; MEYS CR infrastructure project [LM2018127]; World Data Centre for Microorganisms (WDCM)</t>
  </si>
  <si>
    <t>Ministry of Education, Youth and Sports of the Czech Republic(Ministry of Education, Youth &amp; Sports - Czech Republic); Czech Antarctic Foundation; MEYS CR infrastructure project; World Data Centre for Microorganisms (WDCM)</t>
  </si>
  <si>
    <t>We thank the scientific infrastructure of the J.G. Mendel Czech Antarctic Station, part of the Czech Polar Research Infrastructure (CzechPolar2), and its crew for their assistance and the Ministry of Education, Youth and Sports of the Czech Republic (LM2015078) and the Czech Antarctic Foundation for their support. We also thank CIISB, the Instruct-CZ Centre of the Instruct-ERIC EU consortium, funded by MEYS CR infrastructure project LM2018127, for its financial support of the measurements at the CEITEC Proteomics Core Facility. We thank the GCM 10K type strain sequencing project supported by the World Data Centre for Microorganisms (WDCM). S.K. is a beneficiary of Brno Ph.D. talent financial aid. We thank Jana Bajerova and Renee Subrtova for excellent technical assistance and KACC for two reference Rugamonas species strains. Daniel Krsek (National ReferenceLaboratory for Diagnostic Electron Microscopy of Infectious Agents, National Institute of Public Health, Prague, Czech Republic) is acknowledged for transmission electron microscopy.</t>
  </si>
  <si>
    <t>e00452-21</t>
  </si>
  <si>
    <t>10.1128/Spectrum.00452-21</t>
  </si>
  <si>
    <t>WA7PC</t>
  </si>
  <si>
    <t>WOS:000703076500085</t>
  </si>
  <si>
    <t>Micallef, J</t>
  </si>
  <si>
    <t>Micallef, J.</t>
  </si>
  <si>
    <t>IceCube Collaboration</t>
  </si>
  <si>
    <t>Using convolutional neural networks to reconstruct energy of GeV scale IceCube neutrinos</t>
  </si>
  <si>
    <t>JOURNAL OF INSTRUMENTATION</t>
  </si>
  <si>
    <t>Analysis and statistical methods; Cherenkov detectors; Neutrino detectors</t>
  </si>
  <si>
    <t>The IceCube Neutrino Observatory, located under 1.4 km of Antarctic ice, instruments a cubic kilometer of ice with 5,160 optical modules that detect Cherenkov radiation originating from neutrino interactions. The more densely instrumented center, DeepCore, aims to detect atmospheric neutrinos at 10 GeV scales to improve important measurements of fundamental neutrino properties such as the oscillation parameters and to search for non-standard interactions. Sensitivity to oscillation parameters, dependent on the distance traveled over the neutrino energy (L/E), is limited in IceCube by the resolution of the arrival angle (which determines L) and energy (E). Event reconstruction improvements can therefore directly lead to advancements in oscillation results. This work uses a Convolutional Neural Network (CNN) to reconstruct the energy of 10 GeV scale neutrino events in IceCube, providing results with competitive resolutions and faster runtimes than previous likelihood-based methods.</t>
  </si>
  <si>
    <t>[Micallef, J.; IceCube Collaboration] Michigan State Univ, 567 Wilson Rd, Lansing, MI 48824 USA</t>
  </si>
  <si>
    <t>Michigan State University</t>
  </si>
  <si>
    <t>Micallef, J (corresponding author), Michigan State Univ, 567 Wilson Rd, Lansing, MI 48824 USA.</t>
  </si>
  <si>
    <t>micall12@msu.edu</t>
  </si>
  <si>
    <t>Sarkar, Subir/G-5978-2011</t>
  </si>
  <si>
    <t>Sarkar, Subir/0000-0002-3542-858X; Micallef, Jessie/0000-0001-7259-9575</t>
  </si>
  <si>
    <t>National Science Foundation Graduate Research Fellowship Program [DGE1848739, NSF-1913607]</t>
  </si>
  <si>
    <t>National Science Foundation Graduate Research Fellowship Program(National Science Foundation (NSF))</t>
  </si>
  <si>
    <t>This material is based upon work supported by the National Science Foundation Graduate Research Fellowship Program under Grant No. DGE1848739 and additionally under NSF-1913607. Any opinions, findings, and conclusions or recommendations expressed in this material are those of the author(s) and do not necessarily reflect the views of the National Science Foundation.</t>
  </si>
  <si>
    <t>1748-0221</t>
  </si>
  <si>
    <t>J INSTRUM</t>
  </si>
  <si>
    <t>J. Instrum.</t>
  </si>
  <si>
    <t>C09019</t>
  </si>
  <si>
    <t>10.1088/1748-0221/16/09/C09019</t>
  </si>
  <si>
    <t>Instruments &amp; Instrumentation</t>
  </si>
  <si>
    <t>UY9US</t>
  </si>
  <si>
    <t>WOS:000701860700011</t>
  </si>
  <si>
    <t>Vendrami, DLJ; Peck, LS; Clark, MS; Eldon, B; Meredith, M; Hoffman, J</t>
  </si>
  <si>
    <t>Vendrami, David L. J.; Peck, Lloyd S.; Clark, Melody S.; Eldon, Bjarki; Meredith, Michael; Hoffman, Joseph, I</t>
  </si>
  <si>
    <t>Sweepstake reproductive success and collective dispersal produce chaotic genetic patchiness in a broadcast spawner</t>
  </si>
  <si>
    <t>EFFECTIVE POPULATION-SIZE; LIMPET NACELLA-CONCINNA; R-PACKAGE; ANTARCTIC PENINSULA; MARINE POPULATIONS; KIN AGGREGATION; COALESCENT; STREBEL; GROWTH; MODEL</t>
  </si>
  <si>
    <t>A long-standing paradox of marine populations is chaotic genetic patchiness (CGP), temporally unstable patterns of genetic differentiation that occur below the geographic scale of effective dispersal. Several mechanisms are hypothesized to explain CGP including natural selection, spatiotemporal fluctuations in larval source populations, self-recruitment, and sweepstake reproduction. Discriminating among them is extremely difficult but is fundamental to understanding how marine organisms reproduce and disperse. Here, we report a notable example of CGP in the Antarctic limpet, an unusually tractable system where multiple confounding explanations can be discounted. Using population genomics, temporally replicated sampling, surface drifters, and forward genetic simulations, we show that CGP likely arises from an extreme sweepstake event together with collective larval dispersal, while selection appears to be unimportant. Our results illustrate the importance of neutral demographic forces in natural populations and have important implications for understanding the recruitment dynamics, population connectivity, local adaptation, and resilience of marine populations.</t>
  </si>
  <si>
    <t>[Vendrami, David L. J.; Hoffman, Joseph, I] Bielefeld Univ, Dept Anim Behav, Postfach 100131, D-33501 Bielefeld, Germany; [Peck, Lloyd S.; Clark, Melody S.; Meredith, Michael; Hoffman, Joseph, I] British Antarctic Survey, Madingley Rd, Cambridge CB3 0ET, England; [Eldon, Bjarki] Museum Nat Kunde, Leibniz Inst Evolut &amp; Biodivers Res, D-10115 Berlin, Germany</t>
  </si>
  <si>
    <t>University of Bielefeld; UK Research &amp; Innovation (UKRI); Natural Environment Research Council (NERC); NERC British Antarctic Survey; Leibniz Institut fur Evolutions und Biodiversitatsforschung</t>
  </si>
  <si>
    <t>Hoffman, J (corresponding author), Bielefeld Univ, Dept Anim Behav, Postfach 100131, D-33501 Bielefeld, Germany.;Hoffman, J (corresponding author), British Antarctic Survey, Madingley Rd, Cambridge CB3 0ET, England.</t>
  </si>
  <si>
    <t>Eldon, Bjarki/ABF-1203-2021; Hoffman, Joseph/K-7725-2012; Clark, Melody/D-7371-2014</t>
  </si>
  <si>
    <t>Eldon, Bjarki/0000-0001-9354-2391; Hoffman, Joseph/0000-0001-5895-8949; Vendrami, David L. J./0000-0001-9409-4084; Clark, Melody/0000-0002-3442-3824</t>
  </si>
  <si>
    <t>Deutsche Forschungsgemeinschaft (DFG) [HO 5122/8-1, 397161634]; DFG [273887127, STE 325/17-2]; Bielefeld University; NERC [bas0100033, bas0100036] Funding Source: UKRI</t>
  </si>
  <si>
    <t>Deutsche Forschungsgemeinschaft (DFG)(German Research Foundation (DFG)); DFG(German Research Foundation (DFG)); Bielefeld University; NERC(UK Research &amp; Innovation (UKRI)Natural Environment Research Council (NERC))</t>
  </si>
  <si>
    <t>This work was supported by a Deutsche Forschungsgemeinschaft (DFG) grant awarded to J.I.H. (HO 5122/8-1, project number 397161634). B.E. acknowledges funding through DFG grant with project number 273887127 to Wolfgang Stephan through the DFG Priority Programme (SPP) 1819: Rapid Evolutionary Adaptation (grant number STE 325/17-2). We acknowledge support for the publication costs by the Open Access Publication Fund of Bielefeld University.</t>
  </si>
  <si>
    <t>eabj4713</t>
  </si>
  <si>
    <t>10.1126/sciadv.abj4713</t>
  </si>
  <si>
    <t>UP9SL</t>
  </si>
  <si>
    <t>WOS:000695713400017</t>
  </si>
  <si>
    <t>Jennings, SJA; Hambrey, MJ</t>
  </si>
  <si>
    <t>Jennings, Stephen J. A.; Hambrey, Michael J.</t>
  </si>
  <si>
    <t>Structures and Deformation in Glaciers and Ice Sheets</t>
  </si>
  <si>
    <t>REVIEWS OF GEOPHYSICS</t>
  </si>
  <si>
    <t>structural glaciology; ice deformation; ice structures; Foliation; Crevasses structurally controlled landforms</t>
  </si>
  <si>
    <t>TEMPERATE VALLEY GLACIER; GROUND-PENETRATING RADAR; SURGE-TYPE GLACIERS; LONGITUDINAL SURFACE-STRUCTURES; FRACTURE-MECHANICS APPROACH; SUBGLACIAL DRAINAGE SYSTEM; CREVASSE-FILL RIDGES; RICH BASAL ICE; DEBRIS ENTRAINMENT; STREAM-B</t>
  </si>
  <si>
    <t>The aims of this review are to: (a) describe and interpret structures in valley glaciers in relation to strain history; and (b) to explore how these structures inform our understanding of the kinematics of large ice masses, and a wide range of other aspects of glaciology. Structures in glaciers give insight as to how ice deforms at the macroscopic and larger scale. Structures also provide information concerning the deformation history of ice masses over centuries and millennia. From a geological perspective, glaciers can be considered to be models of rock deformation, but with rates of change that are measurable on a human time-scale. However, structural assemblages in glaciers are commonly complex, and unraveling them to determine the deformation history is challenging; it thus requires the approach of the structural geologist. A wide range of structures are present in valley glaciers: (a) primary structures include sedimentary stratification and various veins; (b) secondary structures that are the result of brittle and ductile deformation include crevasses, faults, crevasse traces, foliation, folds, and boudinage structures. Some of these structures, notably crevasses, relate well to measured strain-rates, but to explain ductile structures analysis of cumulative strain is required. Some structures occur in all glaciers irrespective of size, and they are therefore recognizable in ice streams and ice shelves. Structural approaches have wide (but as yet under-developed potential) application to other sub-disciplines of glaciology, notably glacier hydrology, debris entrainment and transfer, landform development, microbiological investigations, and in the interpretation of glacier-like features on Mars.</t>
  </si>
  <si>
    <t>[Jennings, Stephen J. A.] Masaryk Univ, Dept Geog, Polar Geolab, Fac Sci, Brno, Czech Republic; [Hambrey, Michael J.] Aberystwyth Univ, Ctr Glaciol, Dept Geog &amp; Earth Sci, Aberystwyth, Dyfed, Wales</t>
  </si>
  <si>
    <t>Masaryk University Brno; Aberystwyth University</t>
  </si>
  <si>
    <t>Jennings, SJA (corresponding author), Masaryk Univ, Dept Geog, Polar Geolab, Fac Sci, Brno, Czech Republic.</t>
  </si>
  <si>
    <t>242540@mail.muni.cz</t>
  </si>
  <si>
    <t>Jennings, Stephen J. A./ABD-2966-2021</t>
  </si>
  <si>
    <t>Jennings, Stephen J. A./0000-0003-4255-4522; Hambrey, Michael/0000-0003-0662-1783</t>
  </si>
  <si>
    <t>UK Natural Environment Research Council at Aberystwyth University [J65727D]; Operational Program Research, Development, and Education-Project Postdoc@MUNI at Masaryk University [CZ.02.2.69/0.0/0.0/16_027/0008 360]; University of Manchester; ETH Zurich; University of Cambridge; Liverpool John Moores University; Aberystwyth University; Fellowship at the universitie of Otago; Fellowship at the universitie of Wellington; Fellowship at the universitie of British Columbia; Alfred Wegener Institute in Germany; UK Natural Environment Research Council; Swiss Nationalfond; Royal Society (London); Antarctica New Zealand; Australian National Antarctic Research Expeditions; U.S. Antarctic Program; University of British Columbia; University of Calgary; McGill University/ETH; European Center for Arctic Environmental Research; Climate Change Consortium of Wales</t>
  </si>
  <si>
    <t>UK Natural Environment Research Council at Aberystwyth University; Operational Program Research, Development, and Education-Project Postdoc@MUNI at Masaryk University; University of Manchester; ETH Zurich(ETH Zurich); University of Cambridge(University of Cambridge); Liverpool John Moores University; Aberystwyth University; Fellowship at the universitie of Otago; Fellowship at the universitie of Wellington; Fellowship at the universitie of British Columbia; Alfred Wegener Institute in Germany; UK Natural Environment Research Council(UK Research &amp; Innovation (UKRI)Natural Environment Research Council (NERC)); Swiss Nationalfond(Swiss National Science Foundation (SNSF)); Royal Society (London)(Royal Society); Antarctica New Zealand; Australian National Antarctic Research Expeditions; U.S. Antarctic Program; University of British Columbia; University of Calgary; McGill University/ETH; European Center for Arctic Environmental Research; Climate Change Consortium of Wales</t>
  </si>
  <si>
    <t>The contributions of each author to this study are approximately equal. All photographs were taken by M. J. Hambrey, except where otherwise stated. Both authors provided new line drawings and S. J. A. Jennings and A. Smith undertook final drafting. S. Brough kindly provided and annotated the high-resolution image of a glacier-like feature on Mars. S. J. A. Jennings acknowledges funding for his Ph.D. program from 2012 to 2016 from the UK Natural Environment Research Council at Aberystwyth University (Reference no. J65727D), and further support from the Operational Program Research, Development, and Education-Project Postdoc@MUNI(No.CZ.02.2.69/0.0/0.0/16_027/0008 360) at Masaryk University. Additional field support from the University Center in Svalbard (UNIS); the UK Arctic Research Station, Ny-Alesund, Svalbard; Tarfala Research Station, Sweden; and the Czech J. G. Mendel Research Station, James Ross Island, Antarctica, are gratefully acknowledged. M. J. Hambrey acknowledges his early mentors, Wilfred Theakstone as PhD supervisor for introducing him to structural glaciology in the early 1970s, and Geoffrey Milnes as post-doctoral supervisor for teaching him structural geological principles. M. J. Hambrey has benefitted from the expertize and field collaboration of innumerable colleagues over a period of 50 years, and the support of his home institutions: the University of Manchester (19701974), ETH Zurich (1974-1977), the University of Cambridge (1977-1989), Liverpool John Moores University (1989-1996), and Aberystwyth University (1996-present). In addition, Fellowships at the universities of Otago, Wellington, and British Columbia, and the Alfred Wegener Institute in Germany, provided access to glaciers and ice sheets in otherwise inaccessible regions of the world. Funding has come from many sources, notably: the UK Natural Environment Research Council, the Swiss Nationalfond, the Royal Society (London), Antarctica New Zealand (via Peter Barrett and Sean Fitzsimons),the Australian National Antarctic Research Expeditions (via the late Barrie McKelvey), the U.S. Antarctic Program (via Peter Webb), University of British Columbia (via Garry Clarke), the University of Calgary (via Brian Moorman), McGill University/ETH (via Fritz Muller), the European Center for Arctic Environmental Research, and the Climate Change Consortium of Wales. Colleagues at the Center for Glaciology at Aberystwyth University reviewed an earlier version of this study: S. Brough (Mars), N. Glasser (all), T. Holt (all), B. Hubbard (all), and T. Irvine-Fynn (hydrology and microbiology). The authors also thank D. Nyvlt, the reviewers David J. A. Evans and Peter L. Moore, the Editor Fabio Florindo, the Associate Editor Robert G. Bingham, and an anonymous editor, for their valued insights that have helped strengthen this study. There is no funding for this article.</t>
  </si>
  <si>
    <t>8755-1209</t>
  </si>
  <si>
    <t>1944-9208</t>
  </si>
  <si>
    <t>REV GEOPHYS</t>
  </si>
  <si>
    <t>Rev. Geophys.</t>
  </si>
  <si>
    <t>e2021RG000743</t>
  </si>
  <si>
    <t>10.1029/2021RG000743</t>
  </si>
  <si>
    <t>UZ6XN</t>
  </si>
  <si>
    <t>WOS:000702346500003</t>
  </si>
  <si>
    <t>Puasa, NA; Zulkharnain, A; Verasoundarapandian, G; Wong, CY; Zahri, KNM; Merican, F; Shaharuddin, NA; Gomez-Fuentes, C; Ahmad, SA</t>
  </si>
  <si>
    <t>Puasa, Nurul Aini; Zulkharnain, Azham; Verasoundarapandian, Gayathiri; Wong, Chiew-Yen; Zahri, Khadijah Nabilah Mohd; Merican, Faradina; Shaharuddin, Noor Azmi; Gomez-Fuentes, Claudio; Ahmad, Siti Aqlima</t>
  </si>
  <si>
    <t>Effects of Diesel, Heavy Metals and Plastics Pollution on Penguins in Antarctica: A Review</t>
  </si>
  <si>
    <t>Antarctica; penguins; pollution; diesel; heavy metals; microplastics; toxicity</t>
  </si>
  <si>
    <t>BARON OIL-SPILL; EUDYPTULA-MINOR; CONTAMINATED SOILS; PYGOSCELIS-ADELIAE; TRACE-ELEMENTS; AMANDA BAY; ISLAND; MICROPLASTICS; FEATHERS; ACCUMULATION</t>
  </si>
  <si>
    <t>Simple Summary Antarctica is contaminated by anthropogenic pollution. Due to the persistent low temperatures, the toxic impacts of pollution to the environment can be extensive. The severity of the effects varies according to the animal species, chemical type and level of exposure. Penguins are at major risk as they are the most prominent group of animals in Antarctica. This review highlights the background of penguins in Antarctica, the anthropogenic pollution and cases, as well as the toxic effects of diesel, heavy metals and microplastics toward penguins. A bibliometric analysis is also included. Antarctica is a relatively pristine continent that attracts scientists and tourists alike. However, the risk of environmental pollution in Antarctica is increasing with the increase in the number of visitors. Recently, there has been a surge in interest regarding diesel, heavy metals and microplastics pollution. Contamination from these pollutants poses risks to the environment and the health of organisms inhabiting the continent. Penguins are one of the most prominent and widely distributed animals in Antarctica and are at major risk due to pollution. Even on a small scale, the impacts of pollution toward penguin populations are extensive. This review discusses the background of penguins in Antarctica, the anthropogenic pollution and cases, as well as the impacts of diesel, heavy metals and microplastics toxicities on penguins. The trends of the literature for the emerging risks of these pollutants are also reviewed through a bibliometric approach and network mapping analysis. A sum of 27 articles are analyzed on the effects of varying pollutants on penguins in Antarctica from 2000 to 2020 using the VOSviewer bibliometric software, Microsoft Excel and Tableau Public. Research articles collected from the Scopus database are evaluated for the most applicable research themes according to the bibliometric indicators (articles, geography distribution, annual production, integrated subject areas, key source journals and keyword or term interactions). Although bibliometric studies on the present research theme are not frequent, our results are sub-optimal due to the small number of search query matches from the Scopus database. As a result, our findings offer only a fragmentary comprehension of the topics in question. Nevertheless, this review provides valuable inputs regarding prospective research avenues for researchers to pursue in the future.</t>
  </si>
  <si>
    <t>[Puasa, Nurul Aini; Verasoundarapandian, Gayathiri; Zahri, Khadijah Nabilah Mohd; Shaharuddin, Noor Azmi; Ahmad, Siti Aqlima] Univ Putra Malaysia, Fac Biotechnol &amp; Biomol Sci, Dept Biochem, Serdang 43400, Selangor, Malaysia; [Zulkharnain, Azham] Shibaura Inst Technol, Coll Syst Engn &amp; Sci, Dept Biosci &amp; Engn, Minuma Ku, 307 Fukasaku, Saitama 3378570, Japan; [Wong, Chiew-Yen] Int Med Univ, Sch Hlth Sci, Kuala Lumpur 57000, Malaysia; [Wong, Chiew-Yen; Ahmad, Siti Aqlima] Univ Malaya, Natl Antarctic Res Ctr, B303 Level 3,Block B,IPS Bldg, Kuala Lumpur 50603, Malaysia; [Merican, Faradina] Univ Sains Malaysia, Sch Biol Sci, Gelugor 11800, Penang, Malaysia; [Gomez-Fuentes, Claudio] Univ Magallanes, Dept Chem Engn, Avda Bulnes, Punta Arenas 01855, Region De Magal, Chile; [Gomez-Fuentes, Claudio; Ahmad, Siti Aqlima] Univ Magallanes, Ctr Res &amp; Antarctic Environm Monitoring CIMAA, Avda Bulnes, Punta Arenas 01855, Region De Magal, Chile</t>
  </si>
  <si>
    <t>Universiti Putra Malaysia; Shibaura Institute of Technology; International Medical University Malaysia; Universiti Malaya; Universiti Sains Malaysia; Universidad de Magallanes; Universidad de Magallanes</t>
  </si>
  <si>
    <t>Ahmad, SA (corresponding author), Univ Putra Malaysia, Fac Biotechnol &amp; Biomol Sci, Dept Biochem, Serdang 43400, Selangor, Malaysia.;Ahmad, SA (corresponding author), Univ Malaya, Natl Antarctic Res Ctr, B303 Level 3,Block B,IPS Bldg, Kuala Lumpur 50603, Malaysia.;Ahmad, SA (corresponding author), Univ Magallanes, Ctr Res &amp; Antarctic Environm Monitoring CIMAA, Avda Bulnes, Punta Arenas 01855, Region De Magal, Chile.</t>
  </si>
  <si>
    <t>nurulainipuasa@gmail.com; azham@shibaura-it.ac.jp; gayathiri1802@gmail.com; WongChiewYen@imu.edu.my; khadijahnabilah95@gmail.com; faradina@usm.my; noorazmi@upm.edu.my; claudio.gomez@umag.cl; aqlima@upm.edu.my</t>
  </si>
  <si>
    <t>Zahri, Khadijah Nabilah Mohd/AEQ-4594-2022; Gomez-Fuentes, Claudio/ACN-8984-2022; Yen, Wong Chiew/AFY-1719-2022; Sidik Merican, Faradina Merican/F-6785-2019</t>
  </si>
  <si>
    <t>Gomez-Fuentes, Claudio/0000-0001-9060-7727; Ahmad, Siti Aqlima/0000-0002-7625-3704; Shaharuddin, Noor Azmi/0000-0003-0057-9932; Zulkharnain, Azham/0000-0001-9173-8171; Zahri, Khadijah/0009-0000-2963-3109; Sidik Merican, Faradina Merican/0000-0003-1441-0134; Wong, Chiew-Yen/0000-0003-0534-6206</t>
  </si>
  <si>
    <t>Universiti Putra Malaysia, Matching Grant Putra [9300436, 9678900]; Yayasan Penyelidikan Antartika Sultan Mizan (YPASM) Research Grant; Centro de Investigacion y Monitoreo Ambiental Antarctico (CIMAA)</t>
  </si>
  <si>
    <t>Universiti Putra Malaysia, Matching Grant Putra; Yayasan Penyelidikan Antartika Sultan Mizan (YPASM) Research Grant; Centro de Investigacion y Monitoreo Ambiental Antarctico (CIMAA)</t>
  </si>
  <si>
    <t>This research was funded by Universiti Putra Malaysia, Matching Grant Putra 9300436 and Putra Berimpak 9678900 and Yayasan Penyelidikan Antartika Sultan Mizan (YPASM) Research Grant 2020 on Phytoremediation Potential of Antarctic Microalgae on Diesel Hydrocarbons. C.G. Fuentes is supported by Centro de Investigacion y Monitoreo Ambiental Antarctico (CIMAA).</t>
  </si>
  <si>
    <t>10.3390/ani11092505</t>
  </si>
  <si>
    <t>UX0UR</t>
  </si>
  <si>
    <t>WOS:000700564500001</t>
  </si>
  <si>
    <t>Alberello, A; Dolatshah, A; Bennetts, LG; Onorato, M; Nelli, F; Toffoli, A</t>
  </si>
  <si>
    <t>Alberello, Alberto; Dolatshah, Azam; Bennetts, Luke G.; Onorato, Miguel; Nelli, Filippo; Toffoli, Alessandro</t>
  </si>
  <si>
    <t>A Physical Model of Wave Attenuation in Pancake Ice</t>
  </si>
  <si>
    <t>INTERNATIONAL JOURNAL OF OFFSHORE AND POLAR ENGINEERING</t>
  </si>
  <si>
    <t>Waves in ice; wave-ice interaction; sea ice; marginal ice zone; pancake ice</t>
  </si>
  <si>
    <t>SURFACE GRAVITY-WAVES; SEA-ICE; TRANSECTS</t>
  </si>
  <si>
    <t>A physical model is discussed that mimics the interaction between ocean waves and a multitude of loose pancake ice floes, which form the outer edge of the Arctic and Antarctic marginal ice zones during winter sea ice formation. The pancakes were modeled by using ice cubes with different concentrations, while waves were generated mechanically. The ice cubes had a dimension of a few centimeters, which was two orders of magnitude smaller than the dominant wavelength. Experiments consisted of tracking the propagation of regular and irregular wave fields along the flume as they crossed the ice cover to measure the rate of ice-induced wave attenuation. Results indicate that wave attenuation increases with ice concentration with only 30% of energy allowed to pass through high-density covers. Wave energy is attenuated across the entire spectral domain and is strongest at high frequencies. This results in a downshift of the spectral peak.</t>
  </si>
  <si>
    <t>[Alberello, Alberto] Univ Tokyo, Grad Sch Frontier Sci, Kashiwa, Chiba, Japan; [Dolatshah, Azam] Swinburne Univ Technol, Dept Mech Engn &amp; Prod Design Engn, Melbourne, Vic, Australia; [Bennetts, Luke G.] Univ Adelaide, Sch Math Sci, Adelaide, SA, Australia; [Onorato, Miguel] Univ Turin, Dept Phys, Turin, Italy; [Nelli, Filippo; Toffoli, Alessandro] Univ Melbourne, Dept Infrastruct Engn, Parkville, Vic, Australia</t>
  </si>
  <si>
    <t>University of Tokyo; Melbourne Genomics Health Alliance; Swinburne University of Technology; University of Adelaide; University of Turin; University of Melbourne</t>
  </si>
  <si>
    <t>Alberello, A (corresponding author), Univ Tokyo, Grad Sch Frontier Sci, Kashiwa, Chiba, Japan.</t>
  </si>
  <si>
    <t>Bennetts, Luke/F-1623-2010</t>
  </si>
  <si>
    <t>Bennetts, Luke/0000-0001-9386-7882</t>
  </si>
  <si>
    <t>Australian Research Council [LE140100079]; Antarctic Circumnavigation Expedition Foundation; Ferring Pharmaceuticals; Japanese Society for the Promotion of Science [PE19055]; Australia Research Council [DP200102828, FT190100404]; Australian Antarctic Science Program [4434]; Swinburne University Postgraduate Research Award; Nortek AS; Air-Sea-Ice Lab Project; Australian Research Council [FT190100404, LE140100079, DP200102828] Funding Source: Australian Research Council</t>
  </si>
  <si>
    <t>Australian Research Council(Australian Research Council); Antarctic Circumnavigation Expedition Foundation; Ferring Pharmaceuticals(Ferring Pharmaceuticals); Japanese Society for the Promotion of Science(Ministry of Education, Culture, Sports, Science and Technology, Japan (MEXT)Japan Society for the Promotion of Science); Australia Research Council(Australian Research Council); Australian Antarctic Science Program; Swinburne University Postgraduate Research Award; Nortek AS; Air-Sea-Ice Lab Project; Australian Research Council(Australian Research Council)</t>
  </si>
  <si>
    <t>The Australian Research Council funded the facility (LE140100079). AA and AT were funded by the Antarctic Circumnavigation Expedition Foundation and Ferring Pharmaceuticals. AA is supported by the Japanese Society for the Promotion of Science (PE19055). LGB is supported by the Australia Research Council (FT190100404). LGB and AT are supported by the Australia Research Council (DP200102828). AA, LGB, and AT are supported by the Australian Antarctic Science Program (Project 4434). AD is supported by Swinburne University Postgraduate Research Award and Nortek AS. The authors acknowledge Prof. J. Monty (University of Melbourne) for facilitating access to the experimental facility. AA, AD, FN, and AT acknowledge support from the Air-Sea-Ice Lab Project.</t>
  </si>
  <si>
    <t>INT SOC OFFSHORE POLAR ENGINEERS</t>
  </si>
  <si>
    <t>CUPERTINO</t>
  </si>
  <si>
    <t>PO BOX 189, CUPERTINO, CA 95015-0189 USA</t>
  </si>
  <si>
    <t>1053-5381</t>
  </si>
  <si>
    <t>INT J OFFSHORE POLAR</t>
  </si>
  <si>
    <t>Int. J. Offshore Polar Eng.</t>
  </si>
  <si>
    <t>10.17736/ijope.2021.ik08</t>
  </si>
  <si>
    <t>Engineering, Civil; Engineering, Ocean; Engineering, Mechanical</t>
  </si>
  <si>
    <t>UV8OW</t>
  </si>
  <si>
    <t>WOS:000699731400002</t>
  </si>
  <si>
    <t>Selyuzhenok, V; Demchev, D</t>
  </si>
  <si>
    <t>Selyuzhenok, Valeria; Demchev, Denis</t>
  </si>
  <si>
    <t>An Application of Sea Ice Tracking Algorithm for Fast Ice and Stamukhas Detection in the Arctic</t>
  </si>
  <si>
    <t>landfast sea ice; stamukha; SAR; Arctic</t>
  </si>
  <si>
    <t>LANDFAST ICE; INTERANNUAL VARIABILITY; LAPTEV SEA; COVER; COASTAL; IMAGES; BOTTOM; EXTENT</t>
  </si>
  <si>
    <t>For regional environmental studies it is important to know the location of the fast ice edge which affects the coastal processes in the Arctic. The aim of this study is to develop a new automated method for fast ice delineation from SAR imagery. The method is based on a fine resolution hybrid sea ice tracking algorithm utilizing advantages of feature tracking and cross-correlation approaches. The developed method consists of three main steps: drift field retrieval at sub-kilometer scale, selection of motionless features and edge delineation. The method was tested on a time series of C-band co-polarized (HH) ENVISAT ASAR and Sentinel-1 imagery in the Laptev and East Siberian Seas. The comparison of the retrieved edges with the operational ice charts produced by the Arctic and Antarctic Research Institute (Russia) showed a good agreement between the data sets with a mean distance between the edges of &lt;15 km. Thanks to the high density of the ice drift product, the method allows for detailed fast ice edge delineation. In addition, large stamukhas with horizontal size of tens of kilometers can be detected. The proposed method can be applied for regional fast ice mapping and large stamukhas detection to aid coastal research. Additionally, the method can serve as a tool for operational sea ice mapping.</t>
  </si>
  <si>
    <t>[Selyuzhenok, Valeria] NN Zubov State Oceanog Inst, Kropotkinskij Per 6, Moscow 119034, Russia; [Demchev, Denis] Nansen Environm &amp; Remote Sensing Ctr, Thormohlens Gate 47, N-5006 Bergen, Norway; [Demchev, Denis] Arctic &amp; Antarctic Res Inst, Ul Beringa 38, St Petersburg 199397, Russia; [Demchev, Denis] Nansen Int Environm &amp; Remote Sensing Ctr, St Petersburg 199034, Russia</t>
  </si>
  <si>
    <t>Zubov State Oceanographic Institute; Nansen Environmental &amp; Remote Sensing Center (NERSC); Arctic &amp; Antarctic Research Institute; Nansen Environmental &amp; Remote Sensing Center (NERSC)</t>
  </si>
  <si>
    <t>Selyuzhenok, V (corresponding author), NN Zubov State Oceanog Inst, Kropotkinskij Per 6, Moscow 119034, Russia.</t>
  </si>
  <si>
    <t>v1selyuzhenok@oceanography.ru; denis.demchev@nersc.no</t>
  </si>
  <si>
    <t>Selyuzhenok, Valeria/K-8715-2016</t>
  </si>
  <si>
    <t>Selyuzhenok, Valeria/0000-0001-9388-5706</t>
  </si>
  <si>
    <t>RFBR [19-35-60033]</t>
  </si>
  <si>
    <t>RFBR(Russian Foundation for Basic Research (RFBR))</t>
  </si>
  <si>
    <t>This research was funded by RFBR, project number 19-35-60033.</t>
  </si>
  <si>
    <t>10.3390/rs13183783</t>
  </si>
  <si>
    <t>UW2OI</t>
  </si>
  <si>
    <t>WOS:000700001600001</t>
  </si>
  <si>
    <t>Benson, CW; Mao, Q; Huff, DR</t>
  </si>
  <si>
    <t>Benson, Christopher W.; Mao, Qing; Huff, David R.</t>
  </si>
  <si>
    <t>Global DNA methylation predicts epigenetic reprogramming and transgenerational plasticity in Poa annua L</t>
  </si>
  <si>
    <t>CROP SCIENCE</t>
  </si>
  <si>
    <t>EVOLUTIONARY ORIGIN; POLYMORPHISM; ALLOPOLYPLOIDS; REARRANGEMENTS; INSTABILITY; BRASSICA; PATTERNS; PLANTS; GENES</t>
  </si>
  <si>
    <t>Poa annua L. (annual bluegrass) is a remarkably versatile grass species with biotypes ranging from perennial to annual. Despite its recent evolutionary origins, Poa annua can be found as an invasive weed on all seven continents of the globe including extremely inhospitable locations such as Mount Kilimanjaro and the Antarctic mainland. The molecular mechanisms underlying Poa annua versatility are unresolved but thought to relate to its neoallopolyploid origin and influence diverse molecular responses ranging from DNA methylation to chromosomal architecture. Fluorescence in situ hybridization (FISH) karyotyping of 5S rDNA loci added further evidence for Poa infirma Kunth. (weak bluegrass) and Poa supina Schrad. (supina bluegrass) as the progenitor species of Poa annua while results of 45S rDNA were less clear and possibly suggest that large-scale variation in chromosomal architecture might have occur between individual Poa annua genotypes. At the methylation level, abiotic stress was observed to induce global DNA methylation, and methylation in the progeny of stressed plants remained slightly elevated, suggesting partial heritability of the methylation landscape acquired through abiotic stress on the parents. Further, the progeny of mowed clones had 37% reduced shoot area when compared with the progeny of unmowed clones across eight genotypes, suggesting that the altered phenotype is non-Mendelian inherited. Poa annua plasticity and transgenerational inheritance is correlated with increased DNA methylation at the global level but causality needs experimental validation. These results suggest that Poa annua plastic phenotype is matched by genetic and epigenetic plasticity.</t>
  </si>
  <si>
    <t>[Benson, Christopher W.] Penn State Univ, Intercoll Grad Degree Program Plant Biol, Huck Inst Life Sci, University Pk, PA 16802 USA; [Mao, Qing] CareDx, Brisbane, CA 94005 USA; [Huff, David R.] Penn State Univ, Dept Plant Sci,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</si>
  <si>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</si>
  <si>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Huff, DR (corresponding author), Penn State Univ, Dept Plant Sci, University Pk, PA 16802 USA.</t>
  </si>
  <si>
    <t>drh15@psu.edu</t>
  </si>
  <si>
    <t>Huff, David/0000-0001-5424-2492; Benson, Christopher/0000-0002-3752-6378</t>
  </si>
  <si>
    <t>0011-183X</t>
  </si>
  <si>
    <t>1435-0653</t>
  </si>
  <si>
    <t>CROP SCI</t>
  </si>
  <si>
    <t>Crop Sci.</t>
  </si>
  <si>
    <t>10.1002/csc2.20337</t>
  </si>
  <si>
    <t>Agronomy</t>
  </si>
  <si>
    <t>UZ1DL</t>
  </si>
  <si>
    <t>WOS:000701952400016</t>
  </si>
  <si>
    <t>Choi, H; Kim, SS; Park, SH</t>
  </si>
  <si>
    <t>Choi, Hakkyum; Kim, Seung-Sep; Park, Sung-Hyun</t>
  </si>
  <si>
    <t>Magnetic Constraints on Off-Axis Seamount Volcanism in the Easternmost Segment of the Australian-Antarctic Ridge</t>
  </si>
  <si>
    <t>GEOCHEMISTRY GEOPHYSICS GEOSYSTEMS</t>
  </si>
  <si>
    <t>Australian-Antarctic Ridge; seamount; marine magnetism; off-axis volcanism</t>
  </si>
  <si>
    <t>EAST PACIFIC RISE; OCEANIC LITHOSPHERE; ANOMALOUS SKEWNESS; MIDOCEAN RIDGE; MANTLE; AGE; CONSTRUCTION; BENEATH; FLEXURE; PLATE</t>
  </si>
  <si>
    <t>The Australian-Antarctic Ridge (AAR) is an intermediate-spreading rate system located between the Southeast Indian Ridge and Macquarie Triple Junction of the Australian-Antarctic-Pacific plates. KR1 is the easternmost and longest AAR segment and exhibits unique axial morphology and various volcanic structures. We identified three asymmetric seamount chains positioned parallel to the seafloor spreading direction, which were indicative of prevalent off-axis volcanism in the vicinity of segment KR1. Two-dimensional magnetic modeling was used to predict the magnetization polarity of the seamounts, as well as to constrain their formation time and duration. The magnetic modeling revealed that the majority of the examined seamounts were formed over a period of less than similar to 600 kyrs. The seamount formation primarily occurred during two distinct volcanic pulses from 0.16-1.14 to 1.58-2.69 Ma. A temporal gap of 200-650 kyrs between the formation time of the seamounts and seafloor was estimated for certain seamounts that were formed much later than their underlying seafloor and at a distance of 10-20 km from the KR1 axis. Typically, such off-axis seamount activity is related to axial mantle convection caused by excessive magma supply near the ridge crest. Considering the scale of off-axis volcanism and thickening lithosphere similar to 20 km away from the axis with intermediate-spreading rates, small-scale upwelling made feasible by the fertile mantle heterogeneity is proposed as the mechanism for the seamount formations at off-axis distances, and the geochemically enriched compositions of the seamounts support this alternative explanation.</t>
  </si>
  <si>
    <t>[Choi, Hakkyum; Park, Sung-Hyun] Korea Polar Res Inst, Div Earth Sci, Incheon, South Korea; [Kim, Seung-Sep] Chungnam Natl Univ, Dept Geol Sci, Daejeon, South Korea</t>
  </si>
  <si>
    <t>Korea Polar Research Institute (KOPRI); Chungnam National University</t>
  </si>
  <si>
    <t>Kim, SS (corresponding author), Chungnam Natl Univ, Dept Geol Sci, Daejeon, South Korea.</t>
  </si>
  <si>
    <t>seungsep@cnu.ac.kr</t>
  </si>
  <si>
    <t>Choi, Hakkyum/0000-0001-9440-3369; Kim, Seung-Sep/0000-0001-8963-1332</t>
  </si>
  <si>
    <t>Korea Polar Research Institute [PE21050, PE20210]; National Research Foundation of Korea (NRF) [NRF-2017R1D1A1A02018632, NRF-2021R1A2C1012030]</t>
  </si>
  <si>
    <t>Korea Polar Research Institute(Korea Polar Research Institute of Marine Research Placement (KOPRI)); National Research Foundation of Korea (NRF)(National Research Foundation of Korea)</t>
  </si>
  <si>
    <t>The authors thank the captains and crew of the R/VIB Araon for their efforts during the expeditions. This study was supported by the Korea Polar Research Institute, under grant numbers PE21050 and PE20210. S.-S. Kim acknowledges support from the National Research Foundation of Korea (NRF) (NRF-2017R1D1A1A02018632 and NRF-2021R1A2C1012030). The authors would like to thank four anonymous reviewers, Fabio Caratori Tontini, the Associate Editor, and the Editor Claudio Faccenna for critically reading the manuscript and suggesting substantial improvements.</t>
  </si>
  <si>
    <t>1525-2027</t>
  </si>
  <si>
    <t>GEOCHEM GEOPHY GEOSY</t>
  </si>
  <si>
    <t>Geochem. Geophys. Geosyst.</t>
  </si>
  <si>
    <t>e2020GC009576</t>
  </si>
  <si>
    <t>10.1029/2020GC009576</t>
  </si>
  <si>
    <t>UZ6UM</t>
  </si>
  <si>
    <t>WOS:000702338600011</t>
  </si>
  <si>
    <t>Glew, KS; Espinasse, B; Hunt, BPV; Pakhomov, EA; Bury, SJ; Pinkerton, M; Nodder, SD; Gutiérrez-Rodríguez, A; Safi, K; Brown, JCS; Graham, L; Dunbar, RB; Mucciarone, DA; Magozzi, S; Somes, C; Trueman, CN</t>
  </si>
  <si>
    <t>Glew, Katie St John; Espinasse, Boris; Hunt, Brian P., V; Pakhomov, Evgeny A.; Bury, Sarah J.; Pinkerton, Matt; Nodder, Scott D.; Gutierrez-Rodriguez, Andres; Safi, Karl; Brown, Julie C. S.; Graham, Laura; Dunbar, Robert B.; Mucciarone, David A.; Magozzi, Sarah; Somes, Chris; Trueman, Clive N.</t>
  </si>
  <si>
    <t>Isoscape Models of the Southern Ocean: Predicting Spatial and Temporal Variability in Carbon and Nitrogen Isotope Compositions of Particulate Organic Matter</t>
  </si>
  <si>
    <t>stable isotopes; delta C-13 and delta N-15; POM; Bayesian spatial modeling; migration pathways; trophic baseline</t>
  </si>
  <si>
    <t>NATURAL IRON FERTILIZATION; TROPHIC STRUCTURE; STABLE-ISOTOPES; FORAGING AREAS; SUBTROPICAL CONVERGENCE; PHYTOPLANKTON BLOOM; ANTARCTIC OCEAN; MARINE DIATOM; GROWTH-RATE; DELTA-C-13</t>
  </si>
  <si>
    <t>Polar marine ecosystems are particularly vulnerable to the effects of climate change. Warming temperatures, freshening seawater, and disruption to sea-ice formation potentially all have cascading effects on food webs. New approaches are needed to better understand spatiotemporal interactions among biogeochemical processes at the base of Southern Ocean food webs. In marine systems, isoscapes (models of the spatial variation in the stable isotopic composition) of carbon and nitrogen have proven useful in identifying spatial variation in a range of biogeochemical processes, such as nutrient utilization by phytoplankton. Isoscapes provide a baseline for interpreting stable isotope compositions of higher trophic level animals in movement, migration, and diet research. Here, we produce carbon and nitrogen isoscapes across the entire Southern Ocean (&gt;40 degrees S) using surface particulate organic matter isotope data, collected over the past 50 years. We use Integrated Nested Laplace Approximation-based approaches to predict mean annual isoscapes and four seasonal isoscapes using a suite of environmental data as predictor variables. Clear spatial gradients in delta C-13 and delta N-15 values were predicted across the Southern Ocean, consistent with previous statistical and mechanistic views of isotopic variability in this region. We identify strong seasonal variability in both carbon and nitrogen isoscapes, with key implications for the use of static or annual average isoscape baselines in animal studies attempting to document seasonal migratory or foraging behaviors.</t>
  </si>
  <si>
    <t>[Glew, Katie St John; Trueman, Clive N.] Univ Southampton, Natl Oceanog Ctr Southampton, Sch Ocean &amp; Earth Sci, Southampton, Hants, England; [Espinasse, Boris] UiT Arctic Univ Norway, Dept Arctic &amp; Marine Biol, Tromso, Norway; [Hunt, Brian P., V; Pakhomov, Evgeny A.] Univ British Columbia, Inst Oceans &amp; Fisheries, Vancouver, BC, Canada; [Hunt, Brian P., V; Pakhomov, Evgeny A.] Univ British Columbia, Dept Earth Ocean &amp; Atmospher Sci, Vancouver, BC, Canada; [Hunt, Brian P., V; Pakhomov, Evgeny A.] Tula Fdn, Hakai Inst, Heriot Bay, BC, Canada; [Bury, Sarah J.; Pinkerton, Matt; Nodder, Scott D.; Gutierrez-Rodriguez, Andres; Brown, Julie C. S.] Natl Inst Water &amp; Atmospher Res Ltd NIWA, Wellington, New Zealand; [Safi, Karl] Natl Inst Water &amp; Atmospher Res Ltd NIWA, Hamilton, New Zealand; [Graham, Laura] Univ Birmingham, Geog Earth &amp; Environm Sci, Birmingham, W Midlands, England; [Graham, Laura] Int Inst Appl Syst Anal, Biodivers Ecol &amp; Conservat Grp, Laxenburg, Austria; [Dunbar, Robert B.; Mucciarone, David A.] Stanford Univ, Earth Syst Sci, Stanford, CA 94305 USA; [Magozzi, Sarah] Fano Marine Ctr, Dept Integrat Marine Ecol, Stn Zool Anton Dohrn, Fano, Italy; [Somes, Chris] GEOMAR Helmholtz Ctr Ocean Res Kiel, Marine Biogeochem Modelling, Kiel, Germany; [Trueman, Clive N.] Southern Marine Sci &amp; Engn Guangdong Lab Guangzho, Hong Kong Branch, Hong Kong, Peoples R China</t>
  </si>
  <si>
    <t>University of Southampton; NERC National Oceanography Centre; UiT The Arctic University of Tromso; University of British Columbia; University of British Columbia; Hakai Institute; National Institute of Water &amp; Atmospheric Research (NIWA) - New Zealand; National Institute of Water &amp; Atmospheric Research (NIWA) - New Zealand; University of Birmingham; International Institute for Applied Systems Analysis (IIASA); Stanford University; Stazione Zoologica Anton Dohrn di Napoli; Helmholtz Association; GEOMAR Helmholtz Center for Ocean Research Kiel; Hong Kong Branch of the Southern Marine Science &amp; Engineering Guangdong Laboratory (Guangzhou)</t>
  </si>
  <si>
    <t>Espinasse, B (corresponding author), UiT Arctic Univ Norway, Dept Arctic &amp; Marine Biol, Tromso, Norway.</t>
  </si>
  <si>
    <t>boris.espinasse@laposte.net</t>
  </si>
  <si>
    <t>Espinasse, Boris/AFS-7849-2022; Trueman, Clive N/E-6925-2011; Magozzi, Sarah/HJP-1057-2023; Gutierrez Rodriguez, Andres/JLM-2332-2023; Bury, Sarah/JLN-0810-2023; Graham, Laura/H-4549-2019; Espinasse, Boris/AAE-1435-2022</t>
  </si>
  <si>
    <t>Espinasse, Boris/0000-0002-7490-5588; Gutierrez Rodriguez, Andres/0000-0003-1274-3752; Graham, Laura/0000-0002-3611-7281; Dunbar, Robert/0000-0002-9728-5609; Trueman, Clive N./0000-0002-4995-736X; Safi, Karl/0000-0002-7785-1909</t>
  </si>
  <si>
    <t>New Zealand Ministry of Business, Innovation and Employment; Strategic Science Investment Fund; National Coasts Oceans Centre; German LAKRIS Project (Bundesministerium fur Bildung und Forschung, BMBF Forschungsvorhaben) [03F0406A/B]; University of British Columbia (Canada); European Union [302010, 894296]; Natural Sciences and Engineering Research Council of Canada [RGPIN-2017-04499]; ANR program (MOBYDICK project) [ANR-17-CE01-0013]; NSF [OPP-9615668, OPP-9909837, OPP-0207305, OPP-1142044]; Hong Kong Branch of Southern Marine Science and Engineering Guangdong Laboratory (Guangzhou) [SMSEGL20SC02]; research program of INSU-CNRS LEFE/CYBER (Les enveloppes fluides et l'environnement-Cycles biogeochimiques, environnement et ressources); French oceanographic fleet (Flotte oceanographique francaise); Marie Curie Actions (MSCA) [894296] Funding Source: Marie Curie Actions (MSCA); Agence Nationale de la Recherche (ANR) [ANR-17-CE01-0013] Funding Source: Agence Nationale de la Recherche (ANR)</t>
  </si>
  <si>
    <t>New Zealand Ministry of Business, Innovation and Employment(New Zealand Ministry of Business, Innovation and Employment (MBIE)); Strategic Science Investment Fund; National Coasts Oceans Centre; German LAKRIS Project (Bundesministerium fur Bildung und Forschung, BMBF Forschungsvorhaben)(Federal Ministry of Education &amp; Research (BMBF)); University of British Columbia (Canada); European Union(European Union (EU)); Natural Sciences and Engineering Research Council of Canada(Natural Sciences and Engineering Research Council of Canada (NSERC)CGIAR); ANR program (MOBYDICK project)(Agence Nationale de la Recherche (ANR)); NSF(National Science Foundation (NSF)); Hong Kong Branch of Southern Marine Science and Engineering Guangdong Laboratory (Guangzhou); research program of INSU-CNRS LEFE/CYBER (Les enveloppes fluides et l'environnement-Cycles biogeochimiques, environnement et ressources); French oceanographic fleet (Flotte oceanographique francaise); Marie Curie Actions (MSCA)(Marie Curie Actions); Agence Nationale de la Recherche (ANR)(Agence Nationale de la Recherche (ANR))</t>
  </si>
  <si>
    <t>POM data provided by NIWA were collected on RV Tangaroa (TAN) voyages by S. Bury, S. Nodder, A. Gutierrez-Rodriguez, and K. Safi. Funding for sample collection and analysis was provided by the New Zealand Ministry of Business, Innovation and Employment and predecessor science funding agencies, including the Strategic Science Investment Fund to NIWA and the National Coasts &amp; Oceans Centre. Stable isotope analyses from TAN voyages were carried out at the Environmental and Ecological Stable Isotope Facility, NIWA, Wellington, by A. Kilimnik and J. Delgado. Sample collection during the ANT voyages was done on board the RV Polarstern with assistance from M. Brener and L. Gurney. The surveys were financially supported by the German LAKRIS Project (Bundesministerium fur Bildung und Forschung, BMBF Forschungsvorhaben 03F0406A/B) and the University of British Columbia (Canada). B. Hunt was funded from the European Union's Seventh Framework Programme under grant agreement no. 302010 (project ISOZOO) and Natural Sciences and Engineering Research Council of Canada grant RGPIN-2017-04499. MOBYDICK data sampling was supported by the French oceanographic fleet (Flotte oceanographique francaise), ANR program (MOBYDICK project number: ANR-17-CE01-0013), and the research program of INSU-CNRS LEFE/CYBER (Les enveloppes fluides et l'environnement-Cycles biogeochimiques, environnement et ressources). POM data provided by Stanford University (R. Dunbar) were collected on voyages of the US NSF-operated RVIB Laurence M. Gould and Nathaniel B. Palmer between 1998 and 2002. All analyses were completed in the Stanford University Stable Isotope Biogeochemistry Laboratory with funding from NSF grants OPP-9615668, OPP-9909837, OPP-0207305, and OPP-1142044 (all to R. Dunbar). This project is supported in part by the Hong Kong Branch of Southern Marine Science and Engineering Guangdong Laboratory (Guangzhou; SMSEGL20SC02). B. Espinasse is funded from the European Union's Horizon 2020 MSCA program under grant agreement no. 894296-Project ISOMOD. K.</t>
  </si>
  <si>
    <t>e2020GB006901</t>
  </si>
  <si>
    <t>10.1029/2020GB006901</t>
  </si>
  <si>
    <t>UZ7TM</t>
  </si>
  <si>
    <t>WOS:000702404100015</t>
  </si>
  <si>
    <t>Shi, Y; Evtushevsky, O; Shulga, V; Milinevsky, G; Klekociuk, A; Andrienko, Y; Han, W</t>
  </si>
  <si>
    <t>Shi, Yu; Evtushevsky, Oleksandr; Shulga, Valerii; Milinevsky, Gennadi; Klekociuk, Andrew; Andrienko, Yulia; Han, Wei</t>
  </si>
  <si>
    <t>Mid-Latitude Mesospheric Zonal Wave 1 and Wave 2 in Recent Boreal Winters</t>
  </si>
  <si>
    <t>zonal planetary wave; polar vortex; mesosphere; stratosphere; major sudden stratospheric warming</t>
  </si>
  <si>
    <t>STATIONARY PLANETARY-WAVES; STRATOSPHERIC WARMING IMPACT; LOWER THERMOSPHERE; PROPAGATION; DISTURBANCES; ORIGIN; MODEL</t>
  </si>
  <si>
    <t>Planetary waves in the mesosphere are studied using observational data and models to establish their origin, as there are indications of their generation independently of waves in the stratosphere. The quantitative relationships between zonal wave 1 and wave 2 were studied with a focus on the mid-latitude mesosphere at 50 degrees N latitude. Aura Microwave Limb Sounder measurements were used to estimate wave amplitudes in geopotential height during sudden stratospheric warmings in recent boreal winters. The moving correlation between the wave amplitudes shows that, in comparison with the anticorrelation in the stratosphere, wave 2 positively correlates with wave 1 and propagates ahead of it in the mesosphere. A positive correlation r = 0.5-0.6, statistically significant at the 95% confidence level, is observed at 1-5-day time lag and in the 75-91 km altitude range, which is the upper mesosphere-mesopause region. Wavelet analysis shows a clear 8-day period in waves 1 and 2 in the mesosphere at 0.01 hPa (80 km), while in the stratosphere-lower mesosphere, the period is twice as long at 16 days; this is statistically significant only in wave 2. Possible sources of mesospheric planetary waves associated with zonal flow instabilities and breaking or dissipation of gravity waves are discussed.</t>
  </si>
  <si>
    <t>[Shi, Yu; Shulga, Valerii; Milinevsky, Gennadi; Han, Wei] Jilin Univ, Coll Phys, Int Ctr Future Sci, Changchun 130012, Peoples R China; [Evtushevsky, Oleksandr; Milinevsky, Gennadi; Andrienko, Yulia] Taras Shevchenko Natl Univ Kyiv, Fac Phys, UA-01601 Kiev, Ukraine; [Shulga, Valerii] Natl Acad Sci Ukraine, Inst Radio Astron, Dept Millimeter Radio Astron, UA-61002 Kharkiv, Ukraine; [Milinevsky, Gennadi] Natl Antarctic Sci Ctr, Dept Atmosphere Phys &amp; Geospace, UA-01601 Kiev, Ukraine; [Klekociuk, Andrew] Antarctic Climate Program, Australian Antarctic Div, Kingston, NF 7050, Australia; [Klekociuk, Andrew] Univ Melbourne, Sch Geog Earth &amp; Atmospher Sci, Melbourne, Vic 3053, Australia</t>
  </si>
  <si>
    <t>Jilin University; Ministry of Education &amp; Science of Ukraine; Taras Shevchenko National University of Kyiv; National Academy of Sciences Ukraine; Institute of Radio Astronomy of the National Academy of Sciences of Ukraine; Ministry of Education &amp; Science of Ukraine; State Institution National Antarctic Scientific Center; Australian Antarctic Division; University of Melbourne; Melbourne Genomics Health Alliance</t>
  </si>
  <si>
    <t>Milinevsky, G (corresponding author), Jilin Univ, Coll Phys, Int Ctr Future Sci, Changchun 130012, Peoples R China.;Milinevsky, G (corresponding author), Taras Shevchenko Natl Univ Kyiv, Fac Phys, UA-01601 Kiev, Ukraine.;Milinevsky, G (corresponding author), Natl Antarctic Sci Ctr, Dept Atmosphere Phys &amp; Geospace, UA-01601 Kiev, Ukraine.</t>
  </si>
  <si>
    <t>shiyu18@mails.jlu.edu.cn; evtush@univ.kiev.ua; shulga@rian.kharkov.ua; gmilin@univ.kiev.ua; Andrew.Klekociuk@awe.gov.au; andrienko.yu@univ.kiev.ua; whan@jlu.edu.cn</t>
  </si>
  <si>
    <t>Andrienko, Yulia/ACF-6867-2022; Evtushevsky, Oleksandr O.M./F-2065-2017; Han, Wei/N-7151-2018; Milinevsky, Gennadi/AAD-8801-2019; Klekociuk, Andrew/A-4498-2015</t>
  </si>
  <si>
    <t>Andrienko, Yulia/0000-0002-4735-467X; Evtushevsky, Oleksandr O.M./0000-0003-0582-559X; Han, Wei/0000-0002-4830-3487; Milinevsky, Gennadi/0000-0002-2342-2615; Shulga, Valery/0000-0001-6529-5610; Klekociuk, Andrew/0000-0003-3335-0034; Shi, Yu/0000-0001-6972-2122</t>
  </si>
  <si>
    <t>Taras Shevchenko National University of Kyiv [19BF051-08, 20BF051-02]; Institute of Radio Astronomy of the National Academy of Sciences of Ukraine; College of Physics, International Center of Future Science, Jilin University, China; Australian Antarctic Program [4293]</t>
  </si>
  <si>
    <t>Taras Shevchenko National University of Kyiv; Institute of Radio Astronomy of the National Academy of Sciences of Ukraine; College of Physics, International Center of Future Science, Jilin University, China; Australian Antarctic Program</t>
  </si>
  <si>
    <t>The authors thank three anonymous reviewers for their useful comments and valuable suggestions that have helped to improve the manuscript. This work was supported in part by Taras Shevchenko National University of Kyiv, projects 19BF051-08 and 20BF051-02; the Institute of Radio Astronomy of the National Academy of Sciences of Ukraine; and the College of Physics, International Center of Future Science, Jilin University, China. This work contributed to the National Antarctic Scientific Center of Ukraine research objectives and contributed to Project 4293 of the Australian Antarctic Program. The MERRA-2 global reanalysis and Aura Microwave Limb Sounder (MLS) data were obtained from the Goddard Earth Sciences Data and Information Services Center.</t>
  </si>
  <si>
    <t>10.3390/rs13183749</t>
  </si>
  <si>
    <t>UY4IY</t>
  </si>
  <si>
    <t>WOS:000701490500001</t>
  </si>
  <si>
    <t>LaRue, M; Salas, L; Nur, N; Ainley, D; Stammerjohn, S; Pennycook, J; Dozier, M; Saints, J; Stamatiou, K; Barrington, L; Rotella, J</t>
  </si>
  <si>
    <t>LaRue, Michelle; Salas, Leo; Nur, Nadav; Ainley, David; Stammerjohn, Sharon; Pennycook, Jean; Dozier, Melissa; Saints, Jon; Stamatiou, Kostas; Barrington, Luke; Rotella, Jay</t>
  </si>
  <si>
    <t>Insights from the first global population estimate of Weddell seals in Antarctica</t>
  </si>
  <si>
    <t>RESOLUTION SATELLITE IMAGERY; ROSS SEA; HABITAT USE; FAST-ICE; VARIABILITY; ABUNDANCE; MARINE; RATES; ECOSYSTEMS; STRATEGIES</t>
  </si>
  <si>
    <t>The Weddell seal is one of the best-studied marine mammals in the world, owing to a multidecadal demographic effort in the southernmost part of its range. Despite their occurrence around the Antarctic coastline, we know little about larger scale patterns in distribution, population size, or structure. We combined high-resolution satellite imagery from 2011, crowd-sourcing, and habitat modeling to report the first global population estimate for the species and environmental factors that influence its distribution. We estimated similar to 202,000 (95% confidence interval: 85,345 to 523,140) sub-adult and adult female seals, with proximate ocean depth and fast-ice variables as factors explaining spatial prevalence. Distances to penguin colonies were associated with seal presence, but only emperor penguin population size had a strong negative relationship. The small, estimated population size relative to previous estimates and the seals' nexus with trophic competitors indicates that a community ecology approach is required in efforts to monitor the Southern Ocean ecosystem.</t>
  </si>
  <si>
    <t>[LaRue, Michelle] Univ Minnesota, Dept Earth &amp; Environm Sci, 116 Church St SE, Minneapolis, MN 55455 USA; [LaRue, Michelle] Univ Canterbury, Sch Earth &amp; Environm, Private Bag 4800, Christchurch 8140, New Zealand; [Salas, Leo; Nur, Nadav] Point Blue Conservat Sci, 3820 Cypress Dr 11, Petaluma, CA 94954 USA; [Ainley, David; Pennycook, Jean] HT Harvey &amp; Associates Ecol Consultants, 983 Univ Ave,Bldg D, Los Gatos, CA 95032 USA; [Stammerjohn, Sharon] Univ Colorado, Inst Arctic &amp; Alpine Res, 4001 Discovery Dr, Boulder, CO 80303 USA; [Dozier, Melissa] Maxar Technol, 1300 W 120th Ave, Westminster, CO 80234 USA; [Saints, Jon; Stamatiou, Kostas] BlueSky Resources, 2250 6th St, Boulder, CO 80302 USA; [Barrington, Luke] Google, 1600 Amphitheatre Pkwy, Mountain View, CA 94043 USA; [Rotella, Jay] Montana State Univ, Dept Ecol, Bozeman, MT 59717 USA</t>
  </si>
  <si>
    <t>University of Minnesota System; University of Minnesota Twin Cities; University of Canterbury; University of Colorado System; University of Colorado Boulder; Google Incorporated; Montana State University System; Montana State University Bozeman</t>
  </si>
  <si>
    <t>LaRue, M (corresponding author), Univ Minnesota, Dept Earth &amp; Environm Sci, 116 Church St SE, Minneapolis, MN 55455 USA.;LaRue, M (corresponding author), Univ Canterbury, Sch Earth &amp; Environm, Private Bag 4800, Christchurch 8140, New Zealand.</t>
  </si>
  <si>
    <t>larue010@umn.edu</t>
  </si>
  <si>
    <t>STAMMERJOHN, SHARON/0000-0002-1697-8244; Rotella, Jay/0000-0001-7014-7524; Nur, Nadav/0000-0002-3451-2640; Pennycook, Jean/0000-0002-7718-9855</t>
  </si>
  <si>
    <t>U.S. National Science Foundation [1543311, 1543230, 1542791, 1640481]; Potterhead Running Club; DigitalGlobe Foundation; SciStarter; Antarctic and Southern Ocean Coalition; Polar Geospatial Center under NSF-OPP award [1043681, 1559691, 1542736]; Directorate For Geosciences; Office of Polar Programs (OPP) [1559691, 1542736, 1043681] Funding Source: National Science Foundation</t>
  </si>
  <si>
    <t>U.S. National Science Foundation(National Science Foundation (NSF)); Potterhead Running Club; DigitalGlobe Foundation; SciStarter; Antarctic and Southern Ocean Coalition; Polar Geospatial Center under NSF-OPP award; Directorate For Geosciences; Office of Polar Programs (OPP)(National Science Foundation (NSF)NSF - Directorate for Geosciences (GEO))</t>
  </si>
  <si>
    <t>Our study was funded by the U.S. National Science Foundation projects (nos. 1543311, 1543230, 1542791, and 1640481) and the Potterhead Running Club. We are thankful for the support from our respective institutions, the DigitalGlobe Foundation, SciStarter, and the Antarctic and Southern Ocean Coalition. DEMs provided by the Polar Geospatial Center under NSF-OPP awards 1043681, 1559691, and 1542736.</t>
  </si>
  <si>
    <t>eabh3674</t>
  </si>
  <si>
    <t>10.1126/sciadv.abh3674</t>
  </si>
  <si>
    <t>UW2DK</t>
  </si>
  <si>
    <t>WOS:000699973200016</t>
  </si>
  <si>
    <t>Michailova, P; Ilkova, J; Kovalenko, PA; Gorobchyshyn, VA; Kozeretska, IA; Convey, P</t>
  </si>
  <si>
    <t>Michailova, Paraskeva; Ilkova, Julia; Kovalenko, Pavlo A.; Gorobchyshyn, Volodymyr A.; Kozeretska, Iryna A.; Convey, Peter</t>
  </si>
  <si>
    <t>External Morphology of Larvae of Belgica antarctica Jacobs, 1900 (Diptera, Chironomidae) Obtained from Two Locations in Maritime Antarctica</t>
  </si>
  <si>
    <t>INSECTS</t>
  </si>
  <si>
    <t>antennae; mouthparts; clypeus; pecten epipharyngis; posterior parapods</t>
  </si>
  <si>
    <t>DEFORMITIES</t>
  </si>
  <si>
    <t>Simple Summary The chironomid midge Belgica antarctica Jacobs is endemic to the western Antarctic Peninsula and South Shetland Islands. We provide the first detailed photomicrographic images of the fourth-instar larval head capsule and posterior parapods. We assessed variation in the morphology of larvae from two different collection locations off the coast of the western Antarctic Peninsula and compared it with that available in the literature. A number of differences were identified relating to the size of the larvae, the number of teeth on the mandibles, the number of antennal segments and the length of the antennal blade. Malformations of the mandible and mentum are reported for the first time in this species. The external morphology of the fourth-instar larva of the Antarctic endemic chironomid midge Belgica antarctica is described. Larvae were collected from Jougla Point (Wiencke Island) and an un-named island close to Enterprise Island, off the coast of the western Antarctic Peninsula. Light microscopy was used to examine and document photographically the structures of the mouthparts (mandible, mentum, premandible, labrum), antennae, pecten epipharyngis, clypeus, frontal apotome and posterior parapods. Measurements of the mouthparts are presented. The data obtained are compared with that available in the literature. A number of differences were identified relating to the size of the larvae, the number of teeth on the mandibles, the number of antennal segments and the length of the antennal blade. Malformations of the mandible and mentum are reported for the first time in this species. Features of larvae of taxonomic value that can be used to determine the species in larval stages are presented. These are of utility in using the larvae to reveal relationships with other species. Larvae are also important in ecological and genotoxicological studies, which require accurate species level identification.</t>
  </si>
  <si>
    <t>[Michailova, Paraskeva; Ilkova, Julia] Bulgarian Acad Sci, Inst Biodivers &amp; Ecosyst Res, 1 Tzar Osvoboditel b, Sofia 1000, Bulgaria; [Kovalenko, Pavlo A.; Gorobchyshyn, Volodymyr A.] Natl Acad Sci Ukraine, State Inst Inst Evolutionary Ecol, 37 Lebedeva Str, UA-03143 Kiev, Ukraine; [Kozeretska, Iryna A.] Natl Antarctic Sci Ctr Ukraine, 16 Taras Shevchenko b, UA-252601 Kiev, Ukraine; [Convey, Peter] British Antarctic Survey, NERC, Madingley Rd, Cambridge CB3 0ET, England; [Convey, Peter] Univ Johannesburg, Dept Zool, POB 524,Auckland Pk, ZA-2006 Johannesburg, South Africa</t>
  </si>
  <si>
    <t>Bulgarian Academy of Sciences; National Academy of Sciences Ukraine; Ministry of Education &amp; Science of Ukraine; State Institution National Antarctic Scientific Center; UK Research &amp; Innovation (UKRI); Natural Environment Research Council (NERC); NERC British Antarctic Survey; University of Johannesburg</t>
  </si>
  <si>
    <t>Kovalenko, PA (corresponding author), Natl Acad Sci Ukraine, State Inst Inst Evolutionary Ecol, 37 Lebedeva Str, UA-03143 Kiev, Ukraine.</t>
  </si>
  <si>
    <t>pmichailova@yahoo.com; juliailkova@yahoo.com; ilovebiofack@gmail.com; medziboz@yahoo.com; iryna.kozeretska@gmail.com; pcon@bas.ac.uk</t>
  </si>
  <si>
    <t>Gorobchyshyn, Volodymyr/AAZ-8624-2021; Ilkova, Julia/HLQ-7088-2023; Kovalenko, Pavlo Andriiovych/AAZ-5679-2021; Convey, Peter/AAV-5728-2020</t>
  </si>
  <si>
    <t>Gorobchyshyn, Volodymyr/0000-0003-1896-5110; Kovalenko, Pavlo Andriiovych/0000-0002-9533-3080; Convey, Peter/0000-0001-8497-9903</t>
  </si>
  <si>
    <t>Cabinet of Ministers of Ukraine [1002]; NERC</t>
  </si>
  <si>
    <t>Cabinet of Ministers of Ukraine; NERC(UK Research &amp; Innovation (UKRI)Natural Environment Research Council (NERC))</t>
  </si>
  <si>
    <t>This study was carried out in the framework of the Ukrainian State Special-Purpose Research Program in Antarctica for 2011-2023 (Grant Number: Resolution No 1002 of the Cabinet of Ministers of Ukraine, from 3 November 2010). Peter Convey is supported by NERC core funding to the BAS `Biodiversity, Evolution and Adaptation' Team.</t>
  </si>
  <si>
    <t>2075-4450</t>
  </si>
  <si>
    <t>Insects</t>
  </si>
  <si>
    <t>10.3390/insects12090792</t>
  </si>
  <si>
    <t>UV8YG</t>
  </si>
  <si>
    <t>WOS:000699755900001</t>
  </si>
  <si>
    <t>Kim, HJ; Li, XJ; Kim, DC; Kim, TK; Sohn, JH; Kwon, H; Lee, D; Kim, YC; Yim, JH; Oh, H</t>
  </si>
  <si>
    <t>Kim, Hye Jin; Li, Xiao-Jun; Kim, Dong-Cheol; Kim, Tai Kyoung; Sohn, Jae Hak; Kwon, Haeun; Lee, Dongho; Kim, Youn-Chul; Yim, Joung Han; Oh, Hyuncheol</t>
  </si>
  <si>
    <t>PTP1B Inhibitory Secondary Metabolites from an Antarctic Fungal Strain Acremonium sp. SF-7394</t>
  </si>
  <si>
    <t>Acremonium sp; terpenoids; Antarctic fungal metabolites; PTP1B</t>
  </si>
  <si>
    <t>REVISION</t>
  </si>
  <si>
    <t>Chemical investigation of the Antarctic lichen-derived fungal strain Acremonium sp. SF-7394 yielded a new amphilectane-type diterpene, acrepseudoterin (1), and a new acorane-type sesquiterpene glycoside, isocordycepoloside A (2). In addition, three known fungal metabolites, (-)-ternatin (3), [D-Leu]-ternatin (4), and pseurotin A (5), were isolated from the EtOAc extract of the fungal strain. Their structures were mainly elucidated by analyzing their NMR and MS data. The absolute configuration of 1 was proposed by electronic circular dichroism calculations, and the absolute configuration of the sugar unit in 2 was determined by a chemical method. The inhibitory effects of the isolated compounds on protein tyrosine phosphatase 1B (PTP1B) were evaluated by enzymatic assays; results indicated that acrepseudoterin (1) and [D-Leu]-ternatin (4) dose-dependently inhibited the enzyme activity with IC50 values of 22.8 +/- 1.1 mu M and 14.8 +/- 0.3 mu M, respectively. Moreover, compound 1 was identified as a competitive inhibitor of PTP1B.</t>
  </si>
  <si>
    <t>[Kim, Hye Jin; Li, Xiao-Jun; Kim, Dong-Cheol; Kim, Youn-Chul; Oh, Hyuncheol] Wonkwang Univ, Coll Pharm, Inst Pharmaceut Res &amp; Dev, Iksan 54538, South Korea; [Kim, Tai Kyoung; Yim, Joung Han] Korea Polar Res Inst, Div Polar Life Sci, Incheon 21990, South Korea; [Sohn, Jae Hak] Silla Univ, Coll Med &amp; Life Sci, Busan 46958, South Korea; [Kwon, Haeun; Lee, Dongho] Korea Univ, Coll Life Sci &amp; Biotechnol, Dept Plant Biotechnol, Seoul 02841, South Korea</t>
  </si>
  <si>
    <t>Wonkwang University; Korea Polar Research Institute (KOPRI); Silla University; Korea University</t>
  </si>
  <si>
    <t>Oh, H (corresponding author), Wonkwang Univ, Coll Pharm, Inst Pharmaceut Res &amp; Dev, Iksan 54538, South Korea.;Yim, JH (corresponding author), Korea Polar Res Inst, Div Polar Life Sci, Incheon 21990, South Korea.</t>
  </si>
  <si>
    <t>mn1003@naver.com; lixiaojun2017@yahoo.com; kimman07@hanmail.net; tkkim@kopri.re.kr; jhsohn@silla.ac.kr; haeun9906@daum.net; dongholee@korea.ac.kr; yckim@wku.ac.kr; jhyim@kopri.re.kr; hoh@wku.ac.kr</t>
  </si>
  <si>
    <t>Korea Polar Research Institute [PE21150]</t>
  </si>
  <si>
    <t>This research was funded by the Korea Polar Research Institute (PE21150).</t>
  </si>
  <si>
    <t>10.3390/molecules26185505</t>
  </si>
  <si>
    <t>UY8HQ</t>
  </si>
  <si>
    <t>WOS:000701758900001</t>
  </si>
  <si>
    <t>Thogersen, R; Bertram, HC; Vangsoe, MT; Hansen, M</t>
  </si>
  <si>
    <t>Thogersen, Rebekka; Bertram, Hanne Christine; Vangsoe, Mathias T.; Hansen, Mette</t>
  </si>
  <si>
    <t>Krill Protein Hydrolysate Provides High Absorption Rate for All Essential Amino Acids-A Randomized Control Cross-Over Trial</t>
  </si>
  <si>
    <t>NUTRIENTS</t>
  </si>
  <si>
    <t>krill protein; protein hydrolysate; amino acid; NMR spectroscopy; whey; soy; human; marine protein; protein accessibility; postprandial absorption; alternative proteins</t>
  </si>
  <si>
    <t>FOOD-INTAKE; INSULIN; YOUNG; CONSUMPTION; SECRETION; INGESTION; EXERCISE; WEIGHT; CASEIN</t>
  </si>
  <si>
    <t>Background: adequate protein intake is essential to humans and, since the global demand for protein-containing foods is increasing, identifying new high-quality protein sources is needed. In this study, we investigated the acute postprandial bioavailability of amino acids (AAs) from a krill protein hydrolysate compared to a soy and a whey protein isolate. Methods: the study was a randomized, placebo-controlled crossover trial including ten healthy young males. On four non-consecutive days, volunteers consumed water or one of three protein-matched supplements: whey protein isolate, soy protein isolate or krill protein hydrolysate. Blood samples were collected prior to and until 180 min after consumption. Serum postprandial AA concentrations were determined using H-1 NMR spectroscopy. Hunger and satiety were assessed using visual analogue scales (VAS). Results: whey and krill resulted in significantly higher AA concentrations compared to soy between 20-60 min and 20-40 min after consumption, respectively. Area under the curve (AUC) analyses revealed that whey resulted in the highest postprandial serum concentrations of essential AAs (EAAs) and branched chain AAs (BCAAs), followed by krill and soy, respectively. Conclusions: krill protein hydrolysate increases postprandial serum EAA and BCAA concentrations in a superior manner to soy protein isolate and thus might represent a promising future protein source in human nutrition.</t>
  </si>
  <si>
    <t>[Thogersen, Rebekka; Bertram, Hanne Christine] Aarhus Univ, Dept Food Sci, Agro Food Pk 48, DK-8200 Aarhus N, Denmark; [Vangsoe, Mathias T.] Aker Biomarine Antarcti AS, Oksenoyveien 10, NO-1327 Lysaker, Norway; [Hansen, Mette] Aarhus Univ, Dept Publ Hlth, Dalgas Ave 4, DK-8000 Aarhus C, Denmark</t>
  </si>
  <si>
    <t>Aarhus University; Aarhus University</t>
  </si>
  <si>
    <t>Hansen, M (corresponding author), Aarhus Univ, Dept Publ Hlth, Dalgas Ave 4, DK-8000 Aarhus C, Denmark.</t>
  </si>
  <si>
    <t>rebekka.thoegersen@food.au.dk; hannec.bertram@food.au.dk; mathiasvangsoe@gmail.com; mhan@ph.au.dk</t>
  </si>
  <si>
    <t>Bertram, Hanne Christine/I-8439-2019</t>
  </si>
  <si>
    <t>Bertram, Hanne Christine/0000-0002-1882-5321; Vangsoe, Mathias Toft/0000-0003-2597-8403; Hansen, Mette/0000-0002-9383-8202</t>
  </si>
  <si>
    <t>Aker Biomarine Antarctic AS [32805]; Aarhus University</t>
  </si>
  <si>
    <t>Aker Biomarine Antarctic AS; Aarhus University</t>
  </si>
  <si>
    <t>This research was funded by Aker Biomarine Antarctic AS (project number 32805) and internal resources from Aarhus University.</t>
  </si>
  <si>
    <t>2072-6643</t>
  </si>
  <si>
    <t>Nutrients</t>
  </si>
  <si>
    <t>10.3390/nu13093187</t>
  </si>
  <si>
    <t>Nutrition &amp; Dietetics</t>
  </si>
  <si>
    <t>UW1ME</t>
  </si>
  <si>
    <t>WOS:000699928300001</t>
  </si>
  <si>
    <t>Nyborg, C; Bonnevie-Svendsen, M; Melsom, HS; Melau, J; Seljeflot, I; Hisdal, J</t>
  </si>
  <si>
    <t>Nyborg, Christoffer; Bonnevie-Svendsen, Martin; Melsom, Helene Stole; Melau, Jorgen; Seljeflot, Ingebjorg; Hisdal, Jonny</t>
  </si>
  <si>
    <t>Reduced L-Arginine and L-Arginine-ADMA-Ratio, and Increased SDMA after Norseman Xtreme Triathlon</t>
  </si>
  <si>
    <t>SPORTS</t>
  </si>
  <si>
    <t>L-arginine; ADMA; SDMA; NO; ironman; triathlon</t>
  </si>
  <si>
    <t>NITRIC-OXIDE SYNTHESIS; ENDOTHELIAL-CELLS; AMINO-ACIDS; RISK MARKER; DIMETHYLARGININE; TRANSPORT; ATHEROSCLEROSIS; PREVALENCE; DILATION; SYNTHASE</t>
  </si>
  <si>
    <t>Endothelial vasodilatory function is dependent on the NO synthesis from L-arginine by endothelial NO-synthetase (eNOS). eNOS can be inhibited by asymmetric dimethylarginine (ADMA) by competitive inhibition on the binding site, and symmetric dimethylarginine (SDMA) can reduce the L-arginine availability intracellularly through competing for transport over the cellular membrane. To study the NO synthesis after prolonged exercise, we assessed circulatory L-arginine, the L-arginine/ADMA ratio, and SDMA before, after, and on the day after the Norseman Xtreme triathlon, an Ironman distance triathlon. We found significantly reduced levels of L-arginine and the L-arginine/ADMA ratio and increased levels of SDMA after the race (all p &lt; 0.05). L-arginine rose toward baseline levels the day after the race, but ADMA increased beyond baseline levels, and SDMA remained above baseline the day after the race. The reduced levels of L-arginine and the L-arginine/ADMA ratio, and increased SDMA, after the race indicate a state of reduced capability of NO production. Increased levels of ADMA and SDMA, and reduced L-arginine/ADMA ratio, as seen the day after the race, are known risk markers of atherosclerosis and warrant further studies.</t>
  </si>
  <si>
    <t>[Nyborg, Christoffer; Bonnevie-Svendsen, Martin; Melsom, Helene Stole; Melau, Jorgen; Seljeflot, Ingebjorg; Hisdal, Jonny] Univ Oslo, Inst Clin Med, Fac Med, N-0318 Oslo, Norway; [Nyborg, Christoffer; Bonnevie-Svendsen, Martin; Melsom, Helene Stole; Melau, Jorgen; Hisdal, Jonny] Oslo Univ Hosp, Dept Vasc Surg, N-0424 Oslo, Norway; [Melau, Jorgen] Vestfold Hosp Trust, Dept Prehosp Care, N-3103 Tonsberg, Norway; [Seljeflot, Ingebjorg] Oslo Univ Hosp, Dept Cardiol, Ctr Clin Heart Res, N-0424 Oslo, Norway</t>
  </si>
  <si>
    <t>University of Oslo; University of Oslo; University of Oslo</t>
  </si>
  <si>
    <t>Nyborg, C (corresponding author), Univ Oslo, Inst Clin Med, Fac Med, N-0318 Oslo, Norway.;Nyborg, C (corresponding author), Oslo Univ Hosp, Dept Vasc Surg, N-0424 Oslo, Norway.</t>
  </si>
  <si>
    <t>nyborgchristoffer@gmail.com; martin.bonnevie@gmail.com; h.s.melsom@studmed.uio.no; jorgen@melau.no; uxinlj@ous-hf.no; jonny.hisdal@medisin.uio.no</t>
  </si>
  <si>
    <t>Melau, Jørgen/G-9021-2016</t>
  </si>
  <si>
    <t>Melau, Jørgen/0000-0002-3860-3988; Seljeflot, Ingebjorg/0000-0003-4071-3358; Nyborg, Christoffer/0000-0002-6777-0670</t>
  </si>
  <si>
    <t>Aker BioMarine Antarctic AS</t>
  </si>
  <si>
    <t>This study was funded through a grant from Aker BioMarine Antarctic AS (http://www.akerbiomarine.com/, accessed on 21 May 2017).</t>
  </si>
  <si>
    <t>2075-4663</t>
  </si>
  <si>
    <t>Sports</t>
  </si>
  <si>
    <t>10.3390/sports9090120</t>
  </si>
  <si>
    <t>Sport Sciences</t>
  </si>
  <si>
    <t>UW1YT</t>
  </si>
  <si>
    <t>WOS:000699961000001</t>
  </si>
  <si>
    <t>Cafourek, J; Madera, P; Strítecky, J; Adolt, R; Smola, M</t>
  </si>
  <si>
    <t>Cafourek, Josef; Madera, Petr; Stritecky, Josef; Adolt, Radim; Smola, Martin</t>
  </si>
  <si>
    <t>Experimental Examination of Vegetative Propagation Methods of Nothofagus antarctica (G. Forst.) Oerst. for Restoration of Fire-Damaged Forest in Torres del Paine National Park, Chile</t>
  </si>
  <si>
    <t>FORESTS</t>
  </si>
  <si>
    <t>cuttings; substrate; rooting stimulators; NAA; IBA; NA; IAA</t>
  </si>
  <si>
    <t>SOUTHERN PATAGONIA; NATIVE FOREST; CUTTINGS; AUXIN; ACCUMULATION; REGENERATION; EUCALYPTUS; SURVIVAL; ORIGIN; GROWTH</t>
  </si>
  <si>
    <t>Nothofagus antarctica (Antarctic beech) is one of the main woody plants in the temperate deciduous forests and anti-boreal forests of the southern hemisphere. Since colonization of the Andean-Patagonian region by European settlers, however, stands of this species have been severely affected by fires caused by human activities, considerably reducing their area. To restore these forests to their area occupied before the fires, it is necessary to use artificial regeneration, relying on production of transplants in forest nurseries. Due to the low capacity for seed propagation, we focus on possibilities of producing seedlings by vegetative propagation. In a trial, we collected cuttings during three sets of dates, and attempted to root them using three combinations of substrate and ten combinations of stimulators. Using the most favorable combination of collection period, substrate and stimulator tested resulted in rooting of 23% of the cuttings, which exceeds the documented germination rates for this species.</t>
  </si>
  <si>
    <t>[Cafourek, Josef; Madera, Petr; Smola, Martin] Mendel Univ Brno, Fac Forestry &amp; Wood Technol, Dept Forest Bot Dendrol &amp; Geobiocoenol, Zemedelska 1, Brno 61300, Czech Republic; [Cafourek, Josef] Res Inst Forestry &amp; Game Management, Res Stn Kunovice, Strnady 136, Jiloviste 25200, Czech Republic; [Stritecky, Josef] Kaunicova 192, Jaromerice Nad Rokytnou 67551, Czech Republic; [Adolt, Radim] Inst Forest Management, Branch Kromeriz, Kromeriz 76701, Czech Republic</t>
  </si>
  <si>
    <t>Mendel University in Brno; Forestry &amp; Game Management Research Institute</t>
  </si>
  <si>
    <t>Madera, P (corresponding author), Mendel Univ Brno, Fac Forestry &amp; Wood Technol, Dept Forest Bot Dendrol &amp; Geobiocoenol, Zemedelska 1, Brno 61300, Czech Republic.</t>
  </si>
  <si>
    <t>josef.cafourek@seznam.cz; petrmad@mendelu.cz; stritecky@patriksystem.cz; adolt.radim@uhul.cz; smola.martin@seznam.cz</t>
  </si>
  <si>
    <t>Madera, Petr/C-1392-2014</t>
  </si>
  <si>
    <t>Madera, Petr/0000-0001-5415-8290</t>
  </si>
  <si>
    <t>Ministry of Foreign Affairs of the Czech Republic, grant Czech aid in the reconstruction of ecosystems damaged by fire in the NP Torres del Paine, Chile, in 2005; Ministry of Agriculture</t>
  </si>
  <si>
    <t>Ministry of Foreign Affairs of the Czech Republic, grant Czech aid in the reconstruction of ecosystems damaged by fire in the NP Torres del Paine, Chile, in 2005; Ministry of Agriculture(Gida Tarim Ve Hayvancilik Bakanligi)</t>
  </si>
  <si>
    <t>This research was funded by the Ministry of Agriculture and Ministry of Foreign Affairs of the Czech Republic, grant Czech aid in the reconstruction of ecosystems damaged by fire in the NP Torres del Paine, Chile, in 2005.</t>
  </si>
  <si>
    <t>1999-4907</t>
  </si>
  <si>
    <t>Forests</t>
  </si>
  <si>
    <t>10.3390/f12091238</t>
  </si>
  <si>
    <t>Forestry</t>
  </si>
  <si>
    <t>UX3DD</t>
  </si>
  <si>
    <t>WOS:000700723000001</t>
  </si>
  <si>
    <t>Dong, LS; Kim, HJ; Cao, TQ; Liu, ZM; Lee, H; Ko, WM; Kim, YC; Sohn, JH; Kim, TK; Yim, JH; Lee, DS; Oh, H</t>
  </si>
  <si>
    <t>Dong, Linsha; Kim, Hye Jin; Thao Quyen Cao; Liu, Zhiming; Lee, Hwan; Ko, Wonmin; Kim, Youn-Chul; Sohn, Jae Hak; Kim, Tai Kyoung; Yim, Joung Han; Lee, Dong-Sung; Oh, Hyuncheol</t>
  </si>
  <si>
    <t>Anti-Inflammatory Effects of Metabolites from Antarctic Fungal Strain Pleosporales sp. SF-7343 in HaCaT Human Keratinocytes</t>
  </si>
  <si>
    <t>INTERNATIONAL JOURNAL OF MOLECULAR SCIENCES</t>
  </si>
  <si>
    <t>Antarctic fungi; inflammation; ICAM-1; NF-kappa B; HO-1; HaCaT</t>
  </si>
  <si>
    <t>ATOPIC-DERMATITIS; PATHOGENESIS; EXPRESSION; CYTOKINE</t>
  </si>
  <si>
    <t>Chemical investigation of the Antarctic fungi Pleosporales sp. SF-7343 revealed four known secondary fungal metabolites: alternate C (1), altenusin (2), alternariol (3), and altenuene (4). The compound structures were identified primarily by NMR and MS analyses. Atopic dermatitis, an inflammatory disease, is driven by the abnormal activation of T helper (Th) 2 cells and barrier dysfunction. We attempted to identify the anti-inflammatory components of SF-7343. Initial screening showed that compounds 1 and 3 inhibited the secretion of interleukin-8 and -6 in tumor necrosis factor-alpha/interferon-gamma-treated HaCaT cells, and these compounds also showed inhibitory effects on CCL5 and CCL22. Compounds 1 and 3 also downregulated the protein expression levels of intercellular adhesion molecule-1 and upregulated the expression of filaggrin and involcurin. The mechanism study results showed that compounds 1 and 3 inhibited nuclear translocation of nuclear factor-kappa B p65 and the phosphorylation of STAT1 and STAT3. Compound 1, but not compound 3, significantly promoted the expression of heme oxygenase (HO)-1. The effects of compound 1 were partly reversed by co-treatment with a HO-1 inhibitor, tin protoporphyrin IX. Taken together, this study demonstrates the potential value of Antarctic fungal strain SF-7343 isolates as a bioresource for bioactive compounds to prevent skin inflammation.</t>
  </si>
  <si>
    <t>[Dong, Linsha; Liu, Zhiming; Lee, Hwan; Ko, Wonmin; Lee, Dong-Sung] Chosun Univ, Coll Pharm, Gwangju 61452, South Korea; [Kim, Hye Jin; Thao Quyen Cao; Kim, Youn-Chul; Oh, Hyuncheol] Wonkwang Univ, Coll Pharm, Inst Pharmaceut Res &amp; Dev, Iksan 54538, South Korea; [Thao Quyen Cao; Oh, Hyuncheol] Wonkwang Univ, Hanbang Cardiorenal Syndrome Res Ctr, Iksan 54538, South Korea; [Sohn, Jae Hak] Silla Univ, Coll Med &amp; Life Sci, Busan 46958, South Korea; [Kim, Tai Kyoung; Yim, Joung Han] Korea Polar Res Inst, Div Polar Life Sci, Incheon 21990, South Korea</t>
  </si>
  <si>
    <t>Chosun University; Wonkwang University; Wonkwang University; Silla University; Korea Polar Research Institute (KOPRI)</t>
  </si>
  <si>
    <t>Lee, DS (corresponding author), Chosun Univ, Coll Pharm, Gwangju 61452, South Korea.;Oh, H (corresponding author), Wonkwang Univ, Coll Pharm, Inst Pharmaceut Res &amp; Dev, Iksan 54538, South Korea.;Oh, H (corresponding author), Wonkwang Univ, Hanbang Cardiorenal Syndrome Res Ctr, Iksan 54538, South Korea.</t>
  </si>
  <si>
    <t>donglinsha011@163.com; mn1003@naver.com; quyen.cao.thao@gmail.com; lzmqust@126.com; ghksdldi123@hanmail.net; rabis815@naver.com; yckim@wku.ac.kr; jhsohn@silla.ac.kr; tkkim@kopri.re.kr; jhyim@kopri.re.kr; dslee2771@chosun.ac.kr; hoh@wku.ac.kr</t>
  </si>
  <si>
    <t>Lee, Dong-Sung/0000-0002-9234-7567</t>
  </si>
  <si>
    <t>This study was funded by the Korea Polar Research Institute (PE21150).</t>
  </si>
  <si>
    <t>1422-0067</t>
  </si>
  <si>
    <t>INT J MOL SCI</t>
  </si>
  <si>
    <t>Int. J. Mol. Sci.</t>
  </si>
  <si>
    <t>10.3390/ijms22189674</t>
  </si>
  <si>
    <t>UX3FN</t>
  </si>
  <si>
    <t>WOS:000700729200001</t>
  </si>
  <si>
    <t>Turnbull, A; Dorantes-Aranda, JJ; Madigan, T; Jolley, J; Revill, H; Harwood, T; Hallegraeff, G</t>
  </si>
  <si>
    <t>Turnbull, Alison; Dorantes-Aranda, Juan Jose; Madigan, Tom; Jolley, Jessica; Revill, Hilary; Harwood, Tim; Hallegraeff, Gustaaf</t>
  </si>
  <si>
    <t>Field Validation of the Southern Rock Lobster Paralytic Shellfish Toxin Monitoring Program in Tasmania, Australia</t>
  </si>
  <si>
    <t>marine biotoxin; non-traditional vector; Jasus edwardsii; lobster; uptake; depuration; risk management</t>
  </si>
  <si>
    <t>LIQUID-CHROMATOGRAPHY; JASUS-EDWARDSII; PERFORMANCE</t>
  </si>
  <si>
    <t>Paralytic shellfish toxins (PST) are found in the hepatopancreas of Southern Rock Lobster Jasus edwardsii from the east coast of Tasmania in association with blooms of the toxic dinoflagellate Alexandrium catenella. Tasmania's rock lobster fishery is one of the state's most important wild capture fisheries, supporting a significant commercial industry (AUD 97M) and recreational fishing sector. A comprehensive 8 years of field data collected across multiple sites has allowed continued improvements to the risk management program protecting public health and market access for the Tasmanian lobster fishery. High variability was seen in toxin levels between individuals, sites, months, and years. The highest risk sites were those on the central east coast, with July to January identified as the most at-risk months. Relatively high uptake rates were observed (exponential rate of 2% per day), similar to filter-feeding mussels, and meant that lobster accumulated toxins quickly. Similarly, lobsters were relatively fast detoxifiers, losing up to 3% PST per day, following bloom demise. Mussel sentinel lines were effective in indicating a risk of elevated PST in lobster hepatopancreas, with annual baseline monitoring costing approximately 0.06% of the industry value. In addition, it was determined that if the mean hepatopancreas PST levels in five individual lobsters from a site were &lt;0.22 mg STX equiv. kg(-1), there is a 97.5% probability that any lobster from that site would be below the bivalve maximum level of 0.8 mg STX equiv. kg(-1). The combination of using a sentinel species to identify risk areas and sampling five individual lobsters at a particular site, provides a cost-effective strategy for managing PST risk in the Tasmanian commercial lobster fishery.</t>
  </si>
  <si>
    <t>[Turnbull, Alison; Dorantes-Aranda, Juan Jose; Hallegraeff, Gustaaf] Univ Tasmania, Inst Marine &amp; Antarctic Studies, Taroona, Tas 7053, Australia; [Madigan, Tom; Jolley, Jessica] South Australia Res &amp; Dev Inst, Urrbrae, SA 5064, Australia; [Revill, Hilary] Dept Primary Ind Pk Water &amp; Environm, Hobart, Tas 7001, Australia; [Harwood, Tim] Cawthron Inst, Nelson 7010, New Zealand</t>
  </si>
  <si>
    <t>University of Tasmania; Cawthron Institute</t>
  </si>
  <si>
    <t>Turnbull, A (corresponding author), Univ Tasmania, Inst Marine &amp; Antarctic Studies, Taroona, Tas 7053, Australia.</t>
  </si>
  <si>
    <t>alison.turnbull@utas.edu.au; juanjodorantes@gmail.com; madigan.tom@hotmail.com; jessica.jolley@sa.gov.au; hilary.revill@dpipwe.tas.gov.au; tim.harwood@cawthron.org.nz; Gustaaf.hallegraeff@utas.edu.au</t>
  </si>
  <si>
    <t>Dorantes-Aranda, Juan Jose/J-7737-2014; Hallegraeff, Gustaaf/C-8351-2013</t>
  </si>
  <si>
    <t>Dorantes-Aranda, Juan J./0000-0003-1513-6501; Turnbull, Alison/0000-0001-5701-8728; Hallegraeff, Gustaaf/0000-0001-8464-7343; Harwood, David/0000-0001-7222-5979</t>
  </si>
  <si>
    <t>Southern Rocklobster Pty Ltd. under FRDC grants [2013/713, 2014/032, 2017/086]; New Zealand Rock Lobster Industry Council under FRDC grants [2013/713, 2014/032, 2017/086]; Australian Seafood Cooperative Research Centre under FRDC grants [2013/713, 2014/032, 2017/086]; Fisheries Research and Development Corporation [2013/713, 2014/032, 2017/086]</t>
  </si>
  <si>
    <t>Southern Rocklobster Pty Ltd. under FRDC grants; New Zealand Rock Lobster Industry Council under FRDC grants; Australian Seafood Cooperative Research Centre under FRDC grants(Australian GovernmentDepartment of Industry, Innovation and ScienceCooperative Research Centres (CRC) Programme); Fisheries Research and Development Corporation</t>
  </si>
  <si>
    <t>Southern Rocklobster Pty Ltd., New Zealand Rock Lobster Industry Council, the Australian Seafood Cooperative Research Centre and the Fisheries Research and Development Corporation are gratefully thanked for funding this work under FRDC grants 2013/713, 2014/032 and 2017/086.</t>
  </si>
  <si>
    <t>10.3390/md19090510</t>
  </si>
  <si>
    <t>UX2OA</t>
  </si>
  <si>
    <t>WOS:000700683700001</t>
  </si>
  <si>
    <t>Gómez-Espinoza, O; González-Ramírez, D; Méndez-Gómez, J; Guillén-Watson, R; Medaglia-Mata, A; Bravo, LA</t>
  </si>
  <si>
    <t>Gomez-Espinoza, Olman; Gonzalez-Ramirez, Daniel; Mendez-Gomez, Jairo; Guillen-Watson, Rossy; Medaglia-Mata, Alejandro; Bravo, Leon A.</t>
  </si>
  <si>
    <t>Calcium Oxalate Crystals in Leaves of the Extremophile Plant Colobanthus quitensis (Kunth) Bartl. (Caryophyllaceae)</t>
  </si>
  <si>
    <t>Antarctic; ecotypes; crystal idioblasts; druses; Caryophyllaceae</t>
  </si>
  <si>
    <t>ANTARCTIC VASCULAR PLANTS; PHOTOSYNTHETIC PERFORMANCE; 2 ECOTYPES; POPULATIONS; RESPONSES; ANDES; ACCUMULATION; TEMPERATURE; MORPHOLOGY; TRAITS</t>
  </si>
  <si>
    <t>The presence of calcium oxalate (CaOx) crystals has been widely reported in the plant kingdom. These structures play a central role in various physiological functions, including calcium regulation, metal detoxification, and photosynthesis. However, precise knowledge about their possible roles and functions in plants is still limited. Therefore, the present work aims to study the ecotypic variability of Colobanthus quitensis, an extremophile species, concerning CaOx crystal accumulation. The CaOx crystals were studied in leaves of C. quitensis collected from different provenances within a latitudinal gradient (From Andes mountains in central Chile to Antarctica) and grown under common garden conditions. Polarized light microscopy, digital image analysis, and electron microscopy were used to characterize CaOx crystals. The presence of CaOx crystals was confirmed in the four provenances of C. quitensis, with significant differences in the accumulation among them. The Andean populations presented the highest accumulation of crystals and the Antarctic population the lowest. Electron microscopy showed that CaOx crystals in C. quitensis are classified as druses based on their morphology. The differences found could be linked to processes of ecotypic differentiation and plant adaptation to harsh environments.</t>
  </si>
  <si>
    <t>[Gomez-Espinoza, Olman; Bravo, Leon A.] Univ La Frontera, Lab Fisiol &amp; Biol Mol Vegetal, Inst Agroind, Dept Ciencias Agronom &amp; Recursos Nat,Fac Ciencias, Temuco 1145, Chile; [Gomez-Espinoza, Olman; Bravo, Leon A.] Univ La Frontera, Ctr Plant Soil Interact &amp; Nat Resources Biotechno, Sci &amp; Technol Bioresource Nucleus, Temuco 1145, Chile; [Gomez-Espinoza, Olman; Gonzalez-Ramirez, Daniel; Guillen-Watson, Rossy] Inst Tecnol Costa Rica, Ctr Invest Biotecnol, Escuela Biol, Cartago 30101, Costa Rica; [Mendez-Gomez, Jairo; Guillen-Watson, Rossy; Medaglia-Mata, Alejandro] Inst Tecnol Costa Rica, Lab Inst Microscopia, Cartago 30101, Costa Rica</t>
  </si>
  <si>
    <t>Universidad de La Frontera; Universidad de La Frontera; Instituto Tecnologico de Costa Rica; Instituto Tecnologico de Costa Rica</t>
  </si>
  <si>
    <t>Bravo, LA (corresponding author), Univ La Frontera, Lab Fisiol &amp; Biol Mol Vegetal, Inst Agroind, Dept Ciencias Agronom &amp; Recursos Nat,Fac Ciencias, Temuco 1145, Chile.;Bravo, LA (corresponding author), Univ La Frontera, Ctr Plant Soil Interact &amp; Nat Resources Biotechno, Sci &amp; Technol Bioresource Nucleus, Temuco 1145, Chile.</t>
  </si>
  <si>
    <t>o.gomez01@ufromail.cl; daniel.agr13@estudiantec.cr; jamego8.4.97@gmail.com; roguillen@itcr.ac.cr; amedaglia@itcr.ac.cr; leon.bravo@ufrontera.cl</t>
  </si>
  <si>
    <t>Bravo, León/AAO-8437-2020</t>
  </si>
  <si>
    <t>Bravo, León/0000-0003-4705-4842; Guillen-Watson, Rossy/0000-0003-0388-2910; Gomez-Espinoza, Olman/0000-0002-8878-078X</t>
  </si>
  <si>
    <t>Instituto Antartico Chileno (INACH) [DG_10_18]; Chilean National Research and Development Agency-ANID [CONICYT-PFCHA/Doctorado Nacional/2017-21170265]; Network for Extreme Environments Research, (NEXER) Grant [NXR 17-0002]</t>
  </si>
  <si>
    <t>Instituto Antartico Chileno (INACH); Chilean National Research and Development Agency-ANID; Network for Extreme Environments Research, (NEXER) Grant</t>
  </si>
  <si>
    <t>This research was funded by the Instituto Antartico Chileno (INACH), Grant DG_10_18; the Chilean National Research and Development Agency-ANID (CONICYT-PFCHA/Doctorado Nacional/2017-21170265 to O.G-E) and the Network for Extreme Environments Research, (NEXER) Grant NXR 17-0002.</t>
  </si>
  <si>
    <t>10.3390/plants10091787</t>
  </si>
  <si>
    <t>UX8LG</t>
  </si>
  <si>
    <t>WOS:000701089300001</t>
  </si>
  <si>
    <t>Hong, SY; Gal, JK; Lee, BY; Son, WJ; Jung, JW; La, HS; Shin, KH; Kim, JH; Ha, SY</t>
  </si>
  <si>
    <t>Hong, Seo-Yeon; Gal, Jong-Ku; Lee, Bo-Yeon; Son, Wu-Ju; Jung, Jin-Woo; La, Hyung-Sul; Shin, Kyung-Hoon; Kim, Jeong-Hoon; Ha, Sun-Yong</t>
  </si>
  <si>
    <t>Regional Differences in the Diets of Adelie and Emperor Penguins in the Ross Sea, Antarctica</t>
  </si>
  <si>
    <t>stable isotope analysis; Adelie Penguin; Emperor Penguin; Ross Sea; SIAR</t>
  </si>
  <si>
    <t>SILVERFISH PLEURAGRAMMA-ANTARCTICUM; FOOD-WEB; EUPHAUSIA-CRYSTALLOROPHIAS; PYGOSCELIS-ADELIAE; FEEDING ECOLOGY; STOMACH CONTENT; WEDDELL SEALS; GEORGE ISLAND; MCMURDO SOUND; PACK-ICE</t>
  </si>
  <si>
    <t>Simple Summary Stable isotope analysis (SIA) and Stable isotope analysis in R (SIAR) model were used to identify the diet composition and regional differences of Adelie and Emperor penguins in Ross Sea region. Adelie Penguin at Cape Hallett fed on Antarctic krill and Adelie Penguin at Inexpressible Island fed on ice krill and Antarctic silverfish. Emperor Penguins fed on Antarctic silverfish regardless breeding site. Therefore, Adelie Penguin showed regional difference in the diet and Emperor Penguin showed no regional differences in the diet. These diet composition of penguins is affected by competition and distribution of prey, it is important to study the diet of penguins in relation to the sympathetic food sources needed to understand the changes in energy flows and Ross Sea ecosystems due to climate change. To identify the dietary composition and characteristics of both Adelie (Pygoscelis adeliae) and Emperor (Aptenodytes forsteri) penguins at four breeding sites, we performed stable carbon (delta C-13) and nitrogen (delta N-15) isotope analysis of down samples taken from penguin chicks. Adelie Penguin chicks at Cape Hallett mostly fed on Antarctic krill (Euphausia superba; 65.5 +/- 3.5%), a reflection of the prevalence of that species near Cape Hallett, and no significant differences were noted between 2017 and 2018. However, Adelie Penguin chicks at Inexpressible Island, located near Terra Nova Bay, fed on both Antarctic silverfish (Pleuragramma antarctica; 42.5%) and ice krill (Euphausia crystallorophias; 47%), reflecting the high biomass observed in Terra Nova Bay. Meanwhile, no significant difference was noted between the two breeding sites of the Emperor Penguin. Emperor Penguin chicks predominantly fed on Antarctic silverfish (74.5 +/- 2.1%) at both breeding sites (Cape Washington and Coulman Island), suggesting that diet preference represents the main factor influencing Emperor Penguin foraging. In contrast, the diet of the Adelie Penguin reflects presumed regional differences in prey prevalence, as inferred from available survey data.</t>
  </si>
  <si>
    <t>[Hong, Seo-Yeon; Gal, Jong-Ku; Lee, Bo-Yeon; Son, Wu-Ju; La, Hyung-Sul; Ha, Sun-Yong] Korea Polar Res Inst KOPRI, Div Ocean Sci, Incheon 21990, South Korea; [Hong, Seo-Yeon; Shin, Kyung-Hoon] Hanyang Univ, Dept Marine Sci &amp; Convergence Technol, Ansan 15588, South Korea; [Son, Wu-Ju] Univ Sci &amp; Technol, Dept Polar Sci, Daejeon 34113, South Korea; [Jung, Jin-Woo] Natl Inst Ecol, Res Ctr Endangered Species, Yeongyang 36531, South Korea; [Kim, Jeong-Hoon] Korea Polar Res Inst KOPRI, Div Life Sci, Incheon 21990, South Korea</t>
  </si>
  <si>
    <t>Korea Polar Research Institute (KOPRI); Hanyang University; University of Science &amp; Technology (UST); National Institute of Ecology; Korea Polar Research Institute (KOPRI)</t>
  </si>
  <si>
    <t>Ha, SY (corresponding author), Korea Polar Res Inst KOPRI, Div Ocean Sci, Incheon 21990, South Korea.;Kim, JH (corresponding author), Korea Polar Res Inst KOPRI, Div Life Sci, Incheon 21990, South Korea.</t>
  </si>
  <si>
    <t>96seoyeon@naver.com; jkgal@kopri.re.kr; boyeon@kopri.re.kr; swj5753@kopri.re.kr; jinwoojung81@gmail.com; hsla@kopri.re.kr; shinkh@hanyang.ac.kr; jhkim94@kopri.re.kr; syha@kopri.re.kr</t>
  </si>
  <si>
    <t>Gal, Jong-Ku/JMC-5276-2023; Shin, Kyung-Hoon/AAD-6999-2021</t>
  </si>
  <si>
    <t>Shin, Kyung-Hoon/0000-0002-3169-4274; La, Hyoung Sul/0000-0003-1285-580X; Gal, Jong-Ku/0000-0002-7455-1206; Kim, Jeong-Hoon/0000-0002-2397-2668</t>
  </si>
  <si>
    <t>'Ecosystem Structure and Function of Marine Protected Area (MPA) in Antarctica' project - Ministry of Oceans and Fisheries, Korea [PM21060, 20170336]</t>
  </si>
  <si>
    <t>'Ecosystem Structure and Function of Marine Protected Area (MPA) in Antarctica' project - Ministry of Oceans and Fisheries, Korea</t>
  </si>
  <si>
    <t>This research was supported by the 'Ecosystem Structure and Function of Marine Protected Area (MPA) in Antarctica' project (PM21060), funded by the Ministry of Oceans and Fisheries (20170336), Korea.</t>
  </si>
  <si>
    <t>10.3390/ani11092681</t>
  </si>
  <si>
    <t>UV6GQ</t>
  </si>
  <si>
    <t>WOS:000699574700001</t>
  </si>
  <si>
    <t>Conca, E; Malandrino, M; Giacomino, A; Inaudi, P; Giordano, A; Ardini, F; Traversi, R; Abollino, O</t>
  </si>
  <si>
    <t>Conca, Eleonora; Malandrino, Mery; Giacomino, Agnese; Inaudi, Paolo; Giordano, Annapaola; Ardini, Francisco; Traversi, Rita; Abollino, Ornella</t>
  </si>
  <si>
    <t>Chemical Fractionation of Trace Elements in Arctic PM10 Samples</t>
  </si>
  <si>
    <t>PM10; Ny-angstrom lesund (Svalbard Islands); trace elements; sequential extraction; source identification; Arctic haze</t>
  </si>
  <si>
    <t>AIRBORNE PARTICULATE MATTER; TERRA-NOVA BAY; ANODIC-STRIPPING VOLTAMMETRY; ANTARCTIC AEROSOL; NY-LESUND; SEQUENTIAL EXTRACTION; SOURCE IDENTIFICATION; HEAVY-METALS; EVOLUTION; PB</t>
  </si>
  <si>
    <t>In this study, the information potential of a two-step sequential extraction procedure was evaluated. For this purpose, first of all the elemental composition of Arctic PM10 samples collected in Ny-angstrom lesund (Svalbard Islands) from 28 February 2015 to 21 October 2015 was investigated. Enrichment Factors, Principal Component Analysis and Hierarchical Cluster Analysis were performed to identify PM10 sources and to understand the effects of short- and long-range transport processes. The investigation of the potential source areas was also aided by taking into account back-trajectories. Then, the sequential extraction procedure was applied to some of the samples in order to obtain more information on these sources. This approach allowed us to establish that most of the elements prevalently having an anthropogenic origin not only were present in higher concentrations, but they were also more easily extractable in late winter and early spring. This confirms the common statement that the anthropogenic portion of the elements present in a sample is generally loosely bound to the particulate matter structure, and so it is more easily extractable and releasable on the Arctic snowpack. Moreover, in the samples collected in late winter and early spring, even the elements prevalently having a crustal origin were more easily extractable, probably due to the particle size selection occurred during the long-range transport.</t>
  </si>
  <si>
    <t>[Conca, Eleonora; Malandrino, Mery] Univ Turin, Dept Chem, I-10125 Turin, Italy; [Giacomino, Agnese; Inaudi, Paolo; Abollino, Ornella] Univ Turin, Dept Drug Sci &amp; Technol, I-10125 Turin, Italy; [Giordano, Annapaola] Univ Turin, Dept Agr Forest &amp; Food Sci, I-10125 Turin, Italy; [Ardini, Francisco] Univ Genoa, Dept Chem &amp; Ind Chem, I-16146 Genoa, Italy; [Traversi, Rita] Univ Florence, Dept Chem Ugo Schiff, I-50019 Sesto Fiorentino, Italy</t>
  </si>
  <si>
    <t>University of Turin; University of Turin; University of Turin; University of Genoa; University of Florence</t>
  </si>
  <si>
    <t>Malandrino, M (corresponding author), Univ Turin, Dept Chem, I-10125 Turin, Italy.</t>
  </si>
  <si>
    <t>eleonora.conca@unito.it; mery.malandrino@unito.it; agnese.giacomino@unito.it; paolo.inaudi@unito.it; annapaola.giordano@unito.it; ardini@chimica.unige.it; rita.traversi@unifi.it; ornella.abollino@unito.it</t>
  </si>
  <si>
    <t>Conca, Eleonora/IUP-4564-2023; Inaudi, Paolo/AAB-2956-2021; Traversi, Rita/M-7586-2015</t>
  </si>
  <si>
    <t>Inaudi, Paolo/0000-0001-8321-8109; Traversi, Rita/0000-0002-9790-2195; Malandrino, Mery/0000-0002-8352-0487; Abollino, Ornella/0000-0003-2350-4941; Conca, Eleonora/0000-0002-9303-9427; Giordano, Annapaola/0000-0002-0625-6686; GIACOMINO, AGNESE/0000-0001-6089-7751</t>
  </si>
  <si>
    <t>Italian Ministry of Education, University and Research (PRIN) [2007L8Y4NB_002, 20092C7KRC_002]</t>
  </si>
  <si>
    <t>Italian Ministry of Education, University and Research (PRIN)(Ministry of Education, Universities and Research (MIUR)Research Projects of National Relevance (PRIN))</t>
  </si>
  <si>
    <t>This research was funded by the Italian Ministry of Education, University and Research (PRIN no. 2007L8Y4NB_002 and no. 20092C7KRC_002).</t>
  </si>
  <si>
    <t>10.3390/atmos12091152</t>
  </si>
  <si>
    <t>UU9IX</t>
  </si>
  <si>
    <t>WOS:000699107400001</t>
  </si>
  <si>
    <t>Mazzola, M; Viola, AP; Choi, T; Tampieri, F</t>
  </si>
  <si>
    <t>Mazzola, Mauro; Viola, Angelo Pietro; Choi, Taejin; Tampieri, Francesco</t>
  </si>
  <si>
    <t>Characterization of Turbulence in the Neutral and Stable Surface Layer at Jang Bogo Station, Antarctica</t>
  </si>
  <si>
    <t>turbulence; atmospheric stability; surface layer; submeso motion; Richardson number; Antarctica</t>
  </si>
  <si>
    <t>BOUNDARY-LAYER; CLOSURE MODELS; WIND-SPEED; FLUX; ENERGY; TEMPERATURE; SIMILARITY; HIERARCHY; REGIMES</t>
  </si>
  <si>
    <t>The availability of 5-year time series of velocity and temperature data from two sonic anemometers installed at Jang Bogo Station, Antarctica, allowed a systematic investigation of the turbulence features in a stable layer affected by submeso motions and characterized by the vertical divergence of some second-order moments for a large fraction of time (quite a non-ideal surface layer). The investigation of the effect of the averaging time interval on the statistics of the second-order moments showed that this is greater for the variances of the velocity components with respect to that for the vertical fluxes. This corresponds to a greater contribution from low-frequency motions. The turbulence statistics were investigated and compared with current literature results in terms of vertical structure, share of energy between horizontal and vertical components, skewness of the vertical velocity and turbulent velocities. As a general result, all the normalized second-order moments show a clear change passing from neutral to stable conditions, passing through the range of bulk Richardson number equal to 0.1-1.</t>
  </si>
  <si>
    <t>[Mazzola, Mauro] CNR, Inst Polar Sci CNR ISP, Via P Gobetti 101, I-40129 Bologna, Italy; [Viola, Angelo Pietro] CNR, Inst Polar Sci CNR ISP, Via Fosso Cavaliere 100, I-00133 Rome, Italy; [Choi, Taejin] Korea Polar Res Inst KOPRI, 26 Songdomirae Ro, Incheon 406840, South Korea; [Tampieri, Francesco] CNR, Inst Atmospher Sci &amp; Climate CNR ISAC, Via P Gobetti 101, I-40129 Bologna, Italy</t>
  </si>
  <si>
    <t>Consiglio Nazionale delle Ricerche (CNR); Istituto di Scienze Polari (ISP-CNR); Consiglio Nazionale delle Ricerche (CNR); Istituto di Scienze Polari (ISP-CNR); Korea Polar Research Institute (KOPRI); Consiglio Nazionale delle Ricerche (CNR); Istituto di Scienze dell'Atmosfera e del Clima (ISAC-CNR)</t>
  </si>
  <si>
    <t>Mazzola, M (corresponding author), CNR, Inst Polar Sci CNR ISP, Via P Gobetti 101, I-40129 Bologna, Italy.</t>
  </si>
  <si>
    <t>mauro.mazzola@cnr.it; angelopietro.viola@cnr.it; ctjin@kopri.re.kr; f.tampieri@isac.cnr.it</t>
  </si>
  <si>
    <t>Mazzola, Mauro/K-9376-2016</t>
  </si>
  <si>
    <t>Mazzola, Mauro/0000-0002-8394-2292</t>
  </si>
  <si>
    <t>Italian National Program of Research in Antarctica (PNRA) [PNRA16_00031]</t>
  </si>
  <si>
    <t>Italian National Program of Research in Antarctica (PNRA)(Ministry of Education, Universities and Research (MIUR))</t>
  </si>
  <si>
    <t>This research was funded by the Italian National Program of Research in Antarctica (PNRA), project n. PNRA16_00031, Surface-Atmosphere Mass and Energy Exchanges at a Coastal Antarctic Site (SAMEECA).</t>
  </si>
  <si>
    <t>10.3390/atmos12091095</t>
  </si>
  <si>
    <t>UU9JC</t>
  </si>
  <si>
    <t>WOS:000699107900001</t>
  </si>
  <si>
    <t>Kochkina, G; Ivanushkina, N; Ozerskaya, S</t>
  </si>
  <si>
    <t>Kochkina, Galina; Ivanushkina, Nataliya; Ozerskaya, Svetlana</t>
  </si>
  <si>
    <t>Collection of VKM Paleofungi</t>
  </si>
  <si>
    <t>mycelial fungi; permafrost; ancient horizons; preservation of viability; collection</t>
  </si>
  <si>
    <t>ANTARCTIC PERMAFROST; PENICILLIUM FUNGI; GENUS PENICILLIUM; BIODIVERSITY; COMMUNITIES; ALKALOIDS</t>
  </si>
  <si>
    <t>A unique collection of paleofungi from permafrost sediments, cryopegs, paleoseeds, and frozen volcanic ash from the Arctic and Antarctic, collected at different depths, was created in All-Russian Collection of Microorganisms (VKM). Some samples are as old as 3 million years. The collection includes psychrotolerant fungi, which have wide adaptive potential and are able to thrive in low-temperature habitats, and fungi that remain viable due to the presence of natural cryoprotectors that ensure the survival of fungal cells during low-temperature preservation in permafrost sediments. The collection contains 780 strains from 79 genera and more than 160 species and is maintained in accordance with international standards of microbial viability preservation and information support.</t>
  </si>
  <si>
    <t>[Kochkina, Galina; Ivanushkina, Nataliya; Ozerskaya, Svetlana] Russian Acad Sci PSCBR RAS, Pushchino Sci Ctr Biol Res, All Russian Collect Microorganisms VKM,Russian Ac, GK Skryabin Inst Biochem &amp; Physiol Microorganisms, Pr Nauki 5, Pushchino 142290, Moscow Region, Russia</t>
  </si>
  <si>
    <t>Russian Academy of Sciences; Pushchino Scientific Center for Biological Research (PSCBI) of the Russian Academy of Sciences</t>
  </si>
  <si>
    <t>Ozerskaya, S (corresponding author), Russian Acad Sci PSCBR RAS, Pushchino Sci Ctr Biol Res, All Russian Collect Microorganisms VKM,Russian Ac, GK Skryabin Inst Biochem &amp; Physiol Microorganisms, Pr Nauki 5, Pushchino 142290, Moscow Region, Russia.</t>
  </si>
  <si>
    <t>gak@dol.ru; ivanushkina58@mail.ru; smovkm@gmail.com</t>
  </si>
  <si>
    <t>Nataliya, Ivanushkina/AAR-7639-2020</t>
  </si>
  <si>
    <t>Nataliya, Ivanushkina/0000-0001-6720-6626</t>
  </si>
  <si>
    <t>10.3390/d13090402</t>
  </si>
  <si>
    <t>UV0LR</t>
  </si>
  <si>
    <t>WOS:000699182200001</t>
  </si>
  <si>
    <t>Moser, DE; Jackson, S; Kjær, HA; Markle, B; Ngoumtsa, E; Pedro, JB; Segato, D; Spolaor, A; Tetzner, D; Vallelonga, P; Thomas, ER</t>
  </si>
  <si>
    <t>Moser, Dorothea Elisabeth; Jackson, Sarah; Kjaer, Helle Astrid; Markle, Bradley; Ngoumtsa, Estelle; Pedro, Joel B.; Segato, Delia; Spolaor, Andrea; Tetzner, Dieter; Vallelonga, Paul; Thomas, Elizabeth R.</t>
  </si>
  <si>
    <t>An Age Scale for the First Shallow (Sub-)Antarctic Ice Core from Young Island, Northwest Ross Sea</t>
  </si>
  <si>
    <t>age scale; (sub-)Antarctic island; shallow ice core; proxies; melting</t>
  </si>
  <si>
    <t>REACTIVE NITROGEN; CLIMATE; NITRATE; SNOW; ANTARCTICA; GREENLAND; RECORD; PHOTOLYSIS; TRANSPORT; REGION</t>
  </si>
  <si>
    <t>The climate of the sub-Antarctic is important in understanding the environmental conditions of Antarctica and the Southern Ocean. However, regional climate proxy records from this region are scarce. In this study, we present the stable water isotopes, major ion chemistry, and dust records from the first ice core from the (sub-)Antarctic Young Island. We present and discuss various dating approaches based on commonly used ice core proxies, such as stable water isotopes and seasonally deposited ions, together with site-specific characteristics such as melt layers. The dating approaches are compared with estimated precipitation rates from reanalysis data (ERA5) and volcanic cryptotephra shards likely presenting an absolute tie point from a 2001 CE eruption on neighboring Sturge Island. The resulting ice core age scale spans the period 2016 to 1995, with an uncertainty of +/- 2 years.</t>
  </si>
  <si>
    <t>[Moser, Dorothea Elisabeth; Tetzner, Dieter; Thomas, Elizabeth R.] British Antarctic Survey, Ice Dynam &amp; Paleoclimate, Cambridge CB3 0ET, England; [Moser, Dorothea Elisabeth; Tetzner, Dieter] Univ Cambridge, Dept Earth Sci, Cambridge CB2 3EQ, England; [Jackson, Sarah] Australian Natl Univ, Res Sch Earth Sci, Canberra, ACT 2601, Australia; [Kjaer, Helle Astrid; Ngoumtsa, Estelle; Vallelonga, Paul] Univ Copenhagen, Niels Bohr Inst, Phys Ice Climate &amp; Earth PICE, DK-2200 Copenhagen, Denmark; [Markle, Bradley] Univ Colorado, Inst Arctic &amp; Alpine Res, Boulder, CO 80309 USA; [Pedro, Joel B.] Australian Antarctic Div, Kingston, Tas 7050, Australia; [Pedro, Joel B.] Univ Tasmania, Inst Marine &amp; Antarctic Studies, Australian Antarctic Program Partnership, Hobart, Tas 7004, Australia; [Segato, Delia; Spolaor, Andrea] Ca Foscari Univ Venice, Dept Environm Sci Informat &amp; Stat, I-30170 Venice, Italy; [Segato, Delia; Spolaor, Andrea] CNR, Inst Polar Sci ISP CNR, I-30170 Venice, Italy</t>
  </si>
  <si>
    <t>UK Research &amp; Innovation (UKRI); Natural Environment Research Council (NERC); NERC British Antarctic Survey; University of Cambridge; Australian National University; University of Copenhagen; Niels Bohr Institute; University of Colorado System; University of Colorado Boulder; Australian Antarctic Division; University of Tasmania; Universita Ca Foscari Venezia; Consiglio Nazionale delle Ricerche (CNR); Istituto di Scienze Polari (ISP-CNR)</t>
  </si>
  <si>
    <t>Moser, DE (corresponding author), British Antarctic Survey, Ice Dynam &amp; Paleoclimate, Cambridge CB3 0ET, England.;Moser, DE (corresponding author), Univ Cambridge, Dept Earth Sci, Cambridge CB2 3EQ, England.</t>
  </si>
  <si>
    <t>moser@bas.ac.uk; Sarah.Jackson@anu.edu.au; hellek@nbi.ku.dk; Bradley.Markle@colorado.edu; estellengoumtsa@icloud.com; joel.pedro@aad.gov.au; delia.segato@unive.it; andrea.spolaor@unive.it; dietet95@bas.ac.uk; paulvallelonga@gmail.com</t>
  </si>
  <si>
    <t>Thomas, Elizabeth Ruth/ADF-3660-2022; Vallelonga, Paul/I-9650-2016; Kjær, Helle Astrid/HGC-7941-2022</t>
  </si>
  <si>
    <t>Thomas, Elizabeth Ruth/0000-0002-3010-6493; Kjær, Helle Astrid/0000-0002-3781-9509; Segato, Delia/0000-0003-3375-3319; Moser, Dorothea Elisabeth/0000-0001-9085-9713; Spolaor, Andrea/0000-0001-8635-9193</t>
  </si>
  <si>
    <t>Ecole Polytechnique Federale de Lausanne; Swiss Polar Institute; Ferring Pharmaceuticals Inc. [subICE]; BAS, Cambridge; NERC C-CLEAR doctoral training programme [NE/S007164/1]; Australian Government</t>
  </si>
  <si>
    <t>Ecole Polytechnique Federale de Lausanne; Swiss Polar Institute; Ferring Pharmaceuticals Inc.(Ferring Pharmaceuticals); BAS, Cambridge; NERC C-CLEAR doctoral training programme; Australian Government(Australian Government)</t>
  </si>
  <si>
    <t>Funding was provided to subICE by Ecole Polytechnique Federale de Lausanne, the Swiss Polar Institute, and Ferring Pharmaceuticals Inc (grant no. subICE). ERT received core funding from NERC to the British Antarctic Survey's Ice Dynamics and Palaeoclimate programme. DEM was supported by BAS, Cambridge, and the NERC C-CLEAR doctoral training programme (grant no. NE/S007164/1). JBP received grant funding from the Australian Government.</t>
  </si>
  <si>
    <t>10.3390/geosciences11090368</t>
  </si>
  <si>
    <t>UV6VM</t>
  </si>
  <si>
    <t>WOS:000699613300001</t>
  </si>
  <si>
    <t>Motas, M; Jerez, S; Esteban, M; Valera, F; Cuervo, JJ; Barbosa, A</t>
  </si>
  <si>
    <t>Motas, Miguel; Jerez, Silvia; Esteban, Marta; Valera, Francisco; Cuervo, Jose Javier; Barbosa, Andres</t>
  </si>
  <si>
    <t>Mercury Levels in Feathers of Penguins from the Antarctic Peninsula Area: Geographical and Inter-Specific Differences</t>
  </si>
  <si>
    <t>INTERNATIONAL JOURNAL OF ENVIRONMENTAL RESEARCH AND PUBLIC HEALTH</t>
  </si>
  <si>
    <t>mercury; penguins; feathers; Antarctic Peninsula; biomonitoring</t>
  </si>
  <si>
    <t>SEABIRD FEATHERS; TRACE-ELEMENTS; EXPOSURE; ACCUMULATION; TERRESTRIAL; DEPOSITION; PATHWAYS; OCEAN</t>
  </si>
  <si>
    <t>Polar regions, symbols of wilderness, have been identified as potential sinks of mercury coming from natural and anthropogenic sources at lower latitudes. Changes in ice coverage currently occurring in some areas such as the Antarctic Peninsula could enhance these phenomena and their impacts on local biota. As long-lived species at the top of food chains, seabirds are particularly sensitive to this highly toxic metal with the capacity to be biomagnified. Specifically, their feathers can be useful for Hg monitoring since they mainly accumulate its most toxic and persistent form, methyl-Hg. To that end, feathers of gentoo (Pygoscelis papua), chinstrap (P. antarcticus), and Adelie penguins (P. adeliae) (n = 108) were collected by passive sampling in seven different locations throughout the Antarctic Peninsula area and analyzed by ICP-MS after microwave-digestion. More than 93% of the samples showed detectable Hg levels (range: 6.3-12,529.8 ng g(-1) dry weight), and the highest ones were found in the feathers of chinstrap penguins from King George Island. Hg bioconcentration and biomagnification seem to be occurring in the Antarctic food web, giving rise to high but non-toxic Hg levels in penguins, similar to those previously found in Arctic seabirds.</t>
  </si>
  <si>
    <t>[Motas, Miguel; Jerez, Silvia] Univ Murcia, Fac Vet, Area Toxicol, Campus Espinardo, Murcia 30100, Spain; [Esteban, Marta] Inst Salud Carlos III, Ctr Nacl Sanidad Ambiental, Area Toxicol Ambiental, Ctra Majadahonda Madrid, Majadahonda 28220, Spain; [Valera, Francisco; Cuervo, Jose Javier; Barbosa, Andres] CSIC, Estn Expt Zonas Aridas, Dept Ecol Func &amp; Evolut, Carretera Sacramento S-N, Almeria 04120, Spain; [Cuervo, Jose Javier; Barbosa, Andres] CSIC, Museo Nacl Ciencias Nat, Dept Ecol Evolut, C Jose Gutierrez Abascal 2, Madrid 28006, Spain</t>
  </si>
  <si>
    <t>University of Murcia; Instituto de Salud Carlos III; Centro Nacional de Sanidad Ambiental (CNSA); Consejo Superior de Investigaciones Cientificas (CSIC); CSIC - Estacion Experimental de Zonas Aridas (EEZA); Consejo Superior de Investigaciones Cientificas (CSIC); CSIC - Museo Nacional de Ciencias Naturales (MNCN)</t>
  </si>
  <si>
    <t>Motas, M (corresponding author), Univ Murcia, Fac Vet, Area Toxicol, Campus Espinardo, Murcia 30100, Spain.</t>
  </si>
  <si>
    <t>motas@um.es; silviajerez@um.es; m.esteban@isciii.es; pvalera@eeza.csic.es; jjcuervo@mncn.csic.es; barbosa@mncn.csic.es</t>
  </si>
  <si>
    <t>Cuervo, José Javier/K-1646-2014; Motas, Miguel/L-3061-2014; JEREZ, SILVIA/Q-8876-2016; Esteban, Marta/H-2096-2016; Valera, Francisco/J-5951-2014</t>
  </si>
  <si>
    <t>Cuervo, José Javier/0000-0001-7943-7835; Esteban, Marta/0000-0002-4527-350X; Valera, Francisco/0000-0003-2266-8899; Motas Guzman, Miguel/0000-0002-2229-7779</t>
  </si>
  <si>
    <t>Spanish Ministry of Science and Innovation [CGL2004-01348, POL2006-05175, CGL2007-60369]</t>
  </si>
  <si>
    <t>Spanish Ministry of Science and Innovation(Spanish Government)</t>
  </si>
  <si>
    <t>This research has been funded by the Spanish Ministry of Science and Innovation CGL2004-01348, POL2006-05175, and CGL2007-60369.</t>
  </si>
  <si>
    <t>1660-4601</t>
  </si>
  <si>
    <t>INT J ENV RES PUB HE</t>
  </si>
  <si>
    <t>Int. J. Environ. Res. Public Health</t>
  </si>
  <si>
    <t>10.3390/ijerph18189918</t>
  </si>
  <si>
    <t>UV8HN</t>
  </si>
  <si>
    <t>WOS:000699712200001</t>
  </si>
  <si>
    <t>Féral, JP; Verlaque, M; Rosenfeld, S; Poulin, E; Chenuil, A; Saucède, T</t>
  </si>
  <si>
    <t>Feral, Jean-Pierre; Verlaque, Marc; Rosenfeld, Sebastian; Poulin, Elie; Chenuil, Anne; Saucede, Thomas</t>
  </si>
  <si>
    <t>The marine vegetation of the Kerguelen Islands: history of scientific campaigns, inventory of the flora and first analysis of its biogeographical affinities</t>
  </si>
  <si>
    <t>Checklist; macroalgae; Rhodophyta; Chlorophyta; Ochrophyta -Phaeophyceae; Southern Ocean; coastal benthos; global change; natural reserve; French Southern; proteker; scientific diving</t>
  </si>
  <si>
    <t>ANTARCTIC CERAMIACEAE RHODOPHYCEAE; SOUTH SHETLAND ISLANDS; KING-GEORGE ISLAND; WEST WIND DRIFT; NEW-ZEALAND; MACROCYSTIS-PYRIFERA; ROSS SEA; CORALLINACEAE RHODOPHYTA; GENETIC-DIVERGENCE; POTTER COVE</t>
  </si>
  <si>
    <t>Conceived as a baseline for the management and conservation of the marine protected area of the French Southern Territories (reserve naturelle nationale des Terres australes francaises), the checklist of marine macroalgae of the Kerguelen Islands was updated based on an extensive review of the literature and scientific databases, from the first report of the Ross expedition, in 1840, to the most recent works. This work was also conceived as a starting point for forthcoming investigations using molecular systematics tools and for monitoring the effects of global change on sub-Antarctic marine ecosystems. After a brief history of scientific campaigns, a list of 166 species was established (103 Rhodophyta, 35 Chlorophyta and 28 Ochrophyta [Phaeophyceae]). Molecular systematics studiess have shown the existence of recurrent discrepancies between the established, morphology-based taxonomy and molecular species delimitation, calling for a revision of systematics. Nevertheless, a first analysis of biogeographical affinities of the marine flora of the Kerguelen Islands is carried out and preliminary results are partially congruent with the main regions currently recognized in the Southern Ocean suggesting the importance of long-distance dispersal to explain the observed distribution patterns.</t>
  </si>
  <si>
    <t>[Feral, Jean-Pierre; Chenuil, Anne] Aix Marseille Univ, Inst Mediterraneen Biodiversite &amp; Ecol Marine &amp; C, UMR7263 IMBE, Stn Marine dEndoume,CNRS,IRD,Avignon Univ, Marseille, France; [Verlaque, Marc] Aix Marseille Univ, Inst Mediterraneen Oceanol &amp; GIS Posidonie, CNRS, UMR 7294 MIO,Univ Toulon,IRD, Campus Luminy, Marseille, France; [Rosenfeld, Sebastian] Univ Magallanes, Lab Ecosistemas Marinos Antarticos &amp; Subantart, Punta Arenas, Chile; [Rosenfeld, Sebastian; Poulin, Elie] Univ Chile, Lab Ecol Mol, Dept Ciencias Ecol, Fac Ciencia, Santiago, Chile; [Rosenfeld, Sebastian; Poulin, Elie] Inst Ecol &amp; Biodiversidad IEB, Santiago, Chile; [Saucede, Thomas] Univ Bourgogne Franche Comte, UMR 6282, CNRS, Biogeosci, Dijon, France</t>
  </si>
  <si>
    <t>Avignon Universite; Institut de Recherche pour le Developpement (IRD); Centre National de la Recherche Scientifique (CNRS); Aix-Marseille Universite; Aix-Marseille Universite; Centre National de la Recherche Scientifique (CNRS); Institut de Recherche pour le Developpement (IRD); Universidad de Magallanes; Universidad de Chile; Universite de Bourgogne; Centre National de la Recherche Scientifique (CNRS)</t>
  </si>
  <si>
    <t>Féral, JP (corresponding author), Aix Marseille Univ, Inst Mediterraneen Biodiversite &amp; Ecol Marine &amp; C, UMR7263 IMBE, Stn Marine dEndoume,CNRS,IRD,Avignon Univ, Marseille, France.</t>
  </si>
  <si>
    <t>jean-pierre.feral@imbe.fr</t>
  </si>
  <si>
    <t>CHENUIL, Anne/E-3902-2012; Poulin, Elie/C-2654-2012; FERAL, Jean-Pierre/N-1895-2018</t>
  </si>
  <si>
    <t>Poulin, Elie/0000-0001-7736-0969; FERAL, Jean-Pierre/0000-0001-7627-0160; Rosenfeld, Sebastian/0000-0002-4363-8018</t>
  </si>
  <si>
    <t>French Polar InstituteIPEV [1044-Proteker]; LTSER Zone Atelier Antarctique et Subantarctique (ZATA), France; CONICYT [AFB170008, ACT172065]</t>
  </si>
  <si>
    <t>French Polar InstituteIPEV; LTSER Zone Atelier Antarctique et Subantarctique (ZATA), France; CONICYT(Comision Nacional de Investigacion Cientifica y Tecnologica (CONICYT))</t>
  </si>
  <si>
    <t>This research was supported by the French Polar InstituteIPEV (program n degrees 1044-Proteker) and the LTSER Zone Atelier Antarctique et Subantarctique (ZATA), France, and the programs PIA CONICYT ACT172065 (GAB) and CONICYT PIA SUPPORT CCTE AFB170008 (IEB), Chile. Thanks are due to Line Le Gall, Bruno de Reviers, Gilberto Marani, (MNHN-Paris) for discussion and documentation, to Alexander Ereskowsky (IMBE) for Russian literature translation, and to Michele Perret-Boudouresque (MIO), for documentation assistance.</t>
  </si>
  <si>
    <t>10.5252/cryptogamie-algologie2021v42a12</t>
  </si>
  <si>
    <t>UQ6LJ</t>
  </si>
  <si>
    <t>WOS:000696173600001</t>
  </si>
  <si>
    <t>Pinseel, E; Van de Vijver, B; Wolfe, AP; Harper, M; Antoniades, D; Ashworth, AC; Ector, L; Lewis, AR; Perren, B; Hodgson, DA; Sabbe, K; Verleyen, E; Vyverman, W</t>
  </si>
  <si>
    <t>Pinseel, Eveline; Van de Vijver, Bart; Wolfe, Alexander P.; Harper, Margaret; Antoniades, Dermot; Ashworth, Allan C.; Ector, Luc; Lewis, Adam R.; Perren, Bianca; Hodgson, Dominic A.; Sabbe, Koen; Verleyen, Elie; Vyverman, Wim</t>
  </si>
  <si>
    <t>Extinction of austral diatoms in response to large-scale climate dynamics in Antarctica</t>
  </si>
  <si>
    <t>FRESH-WATER DIATOMS; TASMANIAN HIGHLAND LAKES; NEW-ZEALAND; LARSEMANN HILLS; EAST ANTARCTICA; SALINE LAKES; COMMUNITIES; BIOGEOGRAPHY; PATTERNS; HISTORY</t>
  </si>
  <si>
    <t>Despite evidence for microbial endemism, an understanding of the impact of geological and paleoclimate events on the evolution of regional protist communities remains elusive. Here, we provide insights into the biogeographical history of Antarctic freshwater diatoms, using lacustrine fossils from mid-Miocene and Quaternary Antarctica, and dovetail this dataset with a global inventory of modern freshwater diatom communities. We reveal the existence of a diverse mid-Miocene diatom flora bearing similarities with several former Gondwanan landmasses. Miocene cooling and Plio-Pleistocene glaciations triggered multiple extinction waves, resulting in the selective depauperation of this flora. Although extinction dominated, in situ speciation and new colonizations ultimately shaped the species-poor, yet highly adapted and largely endemic, modern Antarctic diatom flora. Our results provide a more holistic view on the scale of biodiversity turnover in Neogene and Pleistocene Antarctica than the fragmentary perspective offered by macrofossils and underscore the sensitivity of lacustrine microbiota to large-scale climate perturbations.</t>
  </si>
  <si>
    <t>[Pinseel, Eveline; Sabbe, Koen; Verleyen, Elie; Vyverman, Wim] Univ Ghent, Dept Biol, Lab Protistol &amp; Aquat Ecol, Ghent, Belgium; [Pinseel, Eveline; Van de Vijver, Bart] Meise Bot Garden, Meise, Belgium; [Pinseel, Eveline; Van de Vijver, Bart] Univ Antwerp, Dept Biol, Ecosyst Management Res Grp ECOBE, Antwerp, Belgium; [Wolfe, Alexander P.] Univ Alberta, Dept Biol Sci, Edmonton, AB, Canada; [Harper, Margaret] Victoria Univ Wellington, Sch Geog Environm &amp; Earth Sci, Wellington, New Zealand; [Antoniades, Dermot] Laval Univ, Dept Geog, Quebec City, PQ, Canada; [Antoniades, Dermot] Laval Univ, Ctr Northern Studies CEN, Quebec City, PQ, Canada; [Ashworth, Allan C.; Lewis, Adam R.] North Dakota State Univ, Dept Geosci, Fargo, ND USA; [Ector, Luc] Luxembourg Inst Sci &amp; Technol, Environm Res &amp; Innovat Dept, Observ Climate Environm &amp; Biodivers, Luxembourg, Luxembourg; [Perren, Bianca; Hodgson, Dominic A.] British Antarctic Survey, Cambridge, England; [Hodgson, Dominic A.] Univ Durham, Dept Geog, Durham, England; [Pinseel, Eveline] Univ Arkansas, Dept Biol Sci, Fayetteville, AR 72701 USA</t>
  </si>
  <si>
    <t>Ghent University; University of Antwerp; University of Alberta; Victoria University Wellington; Laval University; Laval University; North Dakota State University Fargo; Luxembourg Institute of Science &amp; Technology; UK Research &amp; Innovation (UKRI); Natural Environment Research Council (NERC); NERC British Antarctic Survey; Durham University; University of Arkansas System; University of Arkansas Fayetteville</t>
  </si>
  <si>
    <t>Pinseel, E; Vyverman, W (corresponding author), Univ Ghent, Dept Biol, Lab Protistol &amp; Aquat Ecol, Ghent, Belgium.;Pinseel, E (corresponding author), Meise Bot Garden, Meise, Belgium.;Pinseel, E (corresponding author), Univ Antwerp, Dept Biol, Ecosyst Management Res Grp ECOBE, Antwerp, Belgium.;Pinseel, E (corresponding author), Univ Arkansas, Dept Biol Sci, Fayetteville, AR 72701 USA.</t>
  </si>
  <si>
    <t>eveline.pinseel@gmail.com; wim.vyverman@ugent.be</t>
  </si>
  <si>
    <t>Pinseel, Eveline/ABF-5980-2020</t>
  </si>
  <si>
    <t>Pinseel, Eveline/0000-0002-1801-2187; Van de Vijver, Bart/0000-0002-6244-1886; Perren, Bianca/0000-0001-6089-6468; Hodgson, Dominic/0000-0002-3841-3746; Harper, Margaret/0000-0002-7902-6486; Antoniades, Dermot/0000-0001-6629-4839; Ector, Luc/0000-0002-4573-9445</t>
  </si>
  <si>
    <t>Fund for Scientific Research Flanders FWO (Belgium) [1104315N, 1104317N]; Belgian Science Policy (Belspo, Belgium), project AMBIO; Simons Foundation (USA) [725407]; Belgian American Education Foundation (Belgium, USA), B.A.E.F. postdoc grant; Fulbright Belgium (Belgium, USA); NSF (USA) [0440761, 0739693]; Natural Environment Research Council (UK) [NE/K004514/1]; Belgian Science Policy (Belspo, Belgium), project HOLANT; Belgian Science Policy (Belspo, Belgium), project SAFRED; Belgian Science Policy (Belspo, Belgium), project CCAMBIO; Directorate For Geosciences; Office of Polar Programs (OPP) [0739693] Funding Source: National Science Foundation; Division Of Polar Programs; Directorate For Geosciences [0440761] Funding Source: National Science Foundation; NERC [NE/K004514/1] Funding Source: UKRI</t>
  </si>
  <si>
    <t>Fund for Scientific Research Flanders FWO (Belgium)(FWO); Belgian Science Policy (Belspo, Belgium), project AMBIO; Simons Foundation (USA); Belgian American Education Foundation (Belgium, USA), B.A.E.F. postdoc grant; Fulbright Belgium (Belgium, USA); NSF (USA)(National Science Foundation (NSF)); Natural Environment Research Council (UK)(UK Research &amp; Innovation (UKRI)Natural Environment Research Council (NERC)); Belgian Science Policy (Belspo, Belgium), project HOLANT; Belgian Science Policy (Belspo, Belgium), project SAFRED; Belgian Science Policy (Belspo, Belgium), project CCAMBIO; Directorate For Geosciences; Office of Polar Programs (OPP)(National Science Foundation (NSF)NSF - Directorate for Geosciences (GEO)); Division Of Polar Programs; Directorate For Geosciences(National Science Foundation (NSF)NSF - Directorate for Geosciences (GEO)); NERC(UK Research &amp; Innovation (UKRI)Natural Environment Research Council (NERC))</t>
  </si>
  <si>
    <t>This work was supported by Fund for Scientific Research Flanders FWO (Belgium), grants 1104315N and 1104317N (E.P.); Belgian Science Policy (Belspo, Belgium), projects HOLANT, AMBIO, CCAMBIO, and SAFRED (W.V., E.V., K.S., B.V.d.V., and E.P.); Simons Foundation (USA), postdoc grant in Marine Microbial Ecology, award 725407 (E.P.); Belgian American Education Foundation (Belgium, USA), B.A.E.F. postdoc grant (E.P.); Fulbright Belgium (Belgium, USA), visiting scholar postdoc grant (E.P.); NSF (USA), OPP grants 0440761 and 0739693 (A.P.W., A.C.A., and A.R.L.); Natural Environment Research Council (UK) grant NE/K004514/1 (D.A.H. and B.P.).</t>
  </si>
  <si>
    <t>eabh3233</t>
  </si>
  <si>
    <t>10.1126/sciadv.abh3233</t>
  </si>
  <si>
    <t>US3RM</t>
  </si>
  <si>
    <t>WOS:000697350600027</t>
  </si>
  <si>
    <t>Hunt, BPV; Espinasse, B; Pakhomov, EA; Cherel, Y; Cotté, C; Delegrange, A; Henschke, N</t>
  </si>
  <si>
    <t>Hunt, Brian P., V; Espinasse, Boris; Pakhomov, Evgeny A.; Cherel, Yves; Cotte, Cedric; Delegrange, Alice; Henschke, Natasha</t>
  </si>
  <si>
    <t>Pelagic food web structure in high nutrient low chlorophyll (HNLC) and naturally iron fertilized waters in the Kerguelen Islands region, Southern Ocean</t>
  </si>
  <si>
    <t>Zooplankton; Micronekton; Food web; Size structure; Stable isotopes; Southern Ocean; Kerguelen plateau</t>
  </si>
  <si>
    <t>STABLE-ISOTOPE ANALYSIS; PHYTOPLANKTON BLOOM; SPECIES COMPOSITION; TROPHIC POSITION; SCOTIA SEA; BODY-SIZE; CARBON; NITROGEN; ZOOPLANKTON; BIOMASS</t>
  </si>
  <si>
    <t>The Kerguelen Plateau is a region of natural iron fertilization in the Southern Ocean, within the typically iron limited High Nutrient Low Chlorophyll (HNLC) waters of the eastward flowing Antarctic Circumpolar Current. Between 26 February and 19 March 2018, the MOBYDICK expedition investigated pelagic ecosystem dynamics in the Kerguelen Island region on the northern plateau during the post-phytoplankton bloom period. The survey specifically targeted sampling at two stations in the HNLC waters to the west of the Kerguelen Plateau, and in the iron enriched waters on and to the east of the plateau. A combination of WP2, WP3 and Mesopelagos midwater trawl were used to sample the mesozooplankton (125 mu m to &lt;= 10 mm), macrozooplankton (10-30 mm) and micronekton (&gt; 30 to 200 mm) communities. Stable carbon (delta C-13) and nitrogen (delta N-15) isotopes were measured across representative samples of taxa from all stations. Trophic positions was estimated using a Bayesian isotope mixing model (tRophicPosition), that uses both the delta C-13 and delta N-15 values of baselines and consumers. Meso/ macrozooplankton trophic positions (TPs) were similar to 2.4 on the plateau and &gt; 0.6 TPs higher at the upstream HNLC stations. This provides empirical evidence for shorter food chains on the diatom dominated plateau and longer food chains in the HNLC region dominated by pico and nanophytopklankon. Meso/macrozooplankton TPs were also elevated downstream of the plateau, though to a lesser extent than in the upstream region, likely reflecting the effect of downstream iron transport, supporting elevated phytoplankton production in the downstream re-gion. There was a consistent increase in trophic position between meso/macrozooplankton and micronekton of similar to 0.6 at all stations. Food chain length was therefore determined by the composition of and interactions between the trophic levels below micronekton. Similar trophic structure at the two upstream HNLC stations, on either side of the northern branch of the Polar Front, indicated that food chain length was robust to the differences in community composition, and supports the critical role of size structured trophic interactions in determining food web properties.</t>
  </si>
  <si>
    <t>[Hunt, Brian P., V; Pakhomov, Evgeny A.] Univ British Columbia, Inst Oceans &amp; Fisheries, Vancouver, BC, Canada; [Hunt, Brian P., V; Pakhomov, Evgeny A.; Henschke, Natasha] Univ British Columbia, Dept Earth Ocean &amp; Atmospher Sci, Vancouver, BC, Canada; [Hunt, Brian P., V; Pakhomov, Evgeny A.] Hakai Inst, Heriot Bay, BC, Canada; [Espinasse, Boris] UiT Arctic Univ Norway, Dept Arctic &amp; Marine Biol, Tromso, Norway; [Cherel, Yves] La Rochelle Univ, CNRS, UMR 7372, Ctr Etud Biol Chize CEBC, F-79360 Villiers En Bois, France; [Cotte, Cedric] Sorbonne Univ, CNRS, IRD,MNHN, Lab Oceanog &amp; Climat Expt &amp; Approches Numer LOCEA, Paris, France; [Delegrange, Alice] Acad Lille Hauts De France, Inst Natl Super Professorat &amp; Educ INSPE, Site Outreau10,Rue H Adam, F-62230 Outreau, France; [Delegrange, Alice] Maison Rech Environm Nat, Lab Oceanol &amp; Geosci LOG UMR CNRS 8187, 32 Ave Foch, F-62930 Wimereux, France</t>
  </si>
  <si>
    <t>University of British Columbia; University of British Columbia; Hakai Institute; UiT The Arctic University of Tromso; Centre National de la Recherche Scientifique (CNRS); CNRS - Institute of Ecology &amp; Environment (INEE); Centre National de la Recherche Scientifique (CNRS); Sorbonne Universite; Museum National d'Histoire Naturelle (MNHN); Institut de Recherche pour le Developpement (IRD)</t>
  </si>
  <si>
    <t>Hunt, BPV (corresponding author), Univ British Columbia, Inst Oceans &amp; Fisheries, Vancouver, BC, Canada.</t>
  </si>
  <si>
    <t>b.hunt@oceans.ubc.ca</t>
  </si>
  <si>
    <t>Cotte, Cedric/C-3296-2013; Espinasse, Boris/AAE-1435-2022; Espinasse, Boris/AFS-7849-2022</t>
  </si>
  <si>
    <t>Espinasse, Boris/0000-0002-7490-5588; Delegrange, Alice/0000-0002-3769-809X; Cotte, Cedric/0000-0002-8307-6435</t>
  </si>
  <si>
    <t>French oceanographic fleet (Flotte oceanographique francaise); French ANR (Agence Nationale de la Recherche, AAPG 2017 program, MOBYDICK Project) [ANR-17CE01-0013]; French Research program of INSU-CNRS LEFE/CYBER (Les enveloppes fluides et l'environnement -Cycles biogeochimiques, environnement et ressources); Natural Sciences and Engineering Research Council (NSERC) [RGPIN-2017-04499IT099]; NSERC [RGPIN-2014-05107]</t>
  </si>
  <si>
    <t>French oceanographic fleet (Flotte oceanographique francaise); French ANR (Agence Nationale de la Recherche, AAPG 2017 program, MOBYDICK Project)(Agence Nationale de la Recherche (ANR)); French Research program of INSU-CNRS LEFE/CYBER (Les enveloppes fluides et l'environnement -Cycles biogeochimiques, environnement et ressources); Natural Sciences and Engineering Research Council (NSERC)(Natural Sciences and Engineering Research Council of Canada (NSERC)); NSERC(Natural Sciences and Engineering Research Council of Canada (NSERC))</t>
  </si>
  <si>
    <t>We thank B. Queguiner, the PI of the MOBYDICK project, for providing us the opportunity to participate to this cruise, the chief scientist I. Obernosterer and the captain and crew of the R/V Marion Dufresne for their enthusiasm and support aboard during the MOBYDICK-THEMISTO cruise (https://doi.org/10.17600/18000403).This work was supported by the French oceanographic fleet (Flotte oceanographique francaise), the French ANR (Agence Nationale de la Recherche, AAPG 2017 program, MOBYDICK Project number: ANR-17CE01-0013), the French Research program of INSU-CNRS LEFE/CYBER (Les enveloppes fluides et l'environnement -Cycles biogeochimiques, environnement et ressources), B. Hunt's Natural Sciences and Engineering Research Council (NSERC) Grant No. RGPIN-2017-04499IT099, and E. Pakhomov's NSERC Discovery Grant RGPIN-2014-05107.</t>
  </si>
  <si>
    <t>10.1016/j.jmarsys.2021.103625</t>
  </si>
  <si>
    <t>UQ8KN</t>
  </si>
  <si>
    <t>WOS:000696307800003</t>
  </si>
  <si>
    <t>Yang, ZK; Xie, ZQ; Wang, J; Sun, LG</t>
  </si>
  <si>
    <t>Yang, Zhongkang; Xie, Zhouqing; Wang, Jun; Sun, Liguang</t>
  </si>
  <si>
    <t>Palaeo-notch sediments as reliable proxy records for climate change and anthropogenic activities: a short review</t>
  </si>
  <si>
    <t>ENVIRONMENTAL EARTH SCIENCES</t>
  </si>
  <si>
    <t>Palaeo-notch sediments; Proxy material; Climate change; Anthropogenic activities</t>
  </si>
  <si>
    <t>NORTH-ATLANTIC CLIMATE; HOLOCENE CLIMATE; ICE-CORE; HISTORICAL RECORDS; LAKE-SEDIMENTS; CHINESE LOESS; ASIAN MONSOON; SVALBARD; VARIABILITY; GREENLAND</t>
  </si>
  <si>
    <t>Over the past decades, many proxy materials (for example, lacustrine sediments, marine sediments, ice cores, loess, and tree rings) have been used to reconstruct palaeoclimatic and palaeoenvironmental changes. A new proxy material, palaeo-notch sediment, was reported in 2006, and since then many studies have been published for palaeoclimatic and palaeoenvironmental reconstruction using palaeo-notch sediments. In this paper, we introduced the palaeo-notch sediments in detail, and reviewed the state of knowledge on the Holocene climate changes, ecological responses to climate change and environmental impacts of anthropogenic activities based on the published research using palaeo-notch sediments. We also summarised five advantages of using palaeo-notch sediments for palaeoenvironmental studies. The palaeo-notch sediments may be available in the coastal regions from the Arctic, Antarctic and many other parts of the world. Therefore, sediments in palaeo-notches could provide valuable information for the study of palaeoclimate and palaeoenvironment in coastal regions.</t>
  </si>
  <si>
    <t>[Yang, Zhongkang; Wang, Jun] Shandong Agr Univ, Key Lab Agr Environm Univ Shandong, Coll Resources &amp; Environm, Tai An 271000, Shandong, Peoples R China; [Yang, Zhongkang; Xie, Zhouqing; Sun, Liguang] Univ Sci &amp; Technol China, Inst Polar Environm, Hefei 230026, Peoples R China; [Yang, Zhongkang; Xie, Zhouqing; Sun, Liguang] Univ Sci &amp; Technol China, Anhui Key Lab Polar Environm &amp; Global Change, Dept Environm Sci &amp; Engn, Hefei 230026, Peoples R China</t>
  </si>
  <si>
    <t>Shandong Agricultural University; Chinese Academy of Sciences; University of Science &amp; Technology of China, CAS; Chinese Academy of Sciences; University of Science &amp; Technology of China, CAS</t>
  </si>
  <si>
    <t>Yang, ZK (corresponding author), Shandong Agr Univ, Key Lab Agr Environm Univ Shandong, Coll Resources &amp; Environm, Tai An 271000, Shandong, Peoples R China.;Yang, ZK; Sun, LG (corresponding author), Univ Sci &amp; Technol China, Inst Polar Environm, Hefei 230026, Peoples R China.;Yang, ZK; Sun, LG (corresponding author), Univ Sci &amp; Technol China, Anhui Key Lab Polar Environm &amp; Global Change, Dept Environm Sci &amp; Engn, Hefei 230026, Peoples R China.</t>
  </si>
  <si>
    <t>zkyang@sdau.edu.cn; slg@ustc.edu.cn</t>
  </si>
  <si>
    <t>Wang, Jun/ABE-6416-2021</t>
  </si>
  <si>
    <t>Wang, Jun/0000-0002-9976-4910</t>
  </si>
  <si>
    <t>Natural Science Foundation of China (NSFC) [42006054]; Chinese Polar Environment Comprehensive Investigation &amp; Assessment Programmes [CHINARE2017-02-01, CHINARE2017-04-04]</t>
  </si>
  <si>
    <t>Natural Science Foundation of China (NSFC)(National Natural Science Foundation of China (NSFC)); Chinese Polar Environment Comprehensive Investigation &amp; Assessment Programmes</t>
  </si>
  <si>
    <t>The research was supported by Natural Science Foundation of China (NSFC) (42006054) and Chinese Polar Environment Comprehensive Investigation &amp; Assessment Programmes (CHINARE2017-02-01, CHINARE2017-04-04). Samples Information and Data were issued by the Resource-sharing Platform of Polar Samples (http://birds.chinare.org.cn) maintained by Polar Research Institute of China (PRIC) and Chinese National Arctic &amp; Antarctic Data Center (CN-NADC). We thank the Chinese Arctic and Antarctic Administration and PRIC for logistical support in field. We also thank the Governor of Svalbard for permission to carry out fieldwork.</t>
  </si>
  <si>
    <t>1866-6280</t>
  </si>
  <si>
    <t>1866-6299</t>
  </si>
  <si>
    <t>ENVIRON EARTH SCI</t>
  </si>
  <si>
    <t>Environ. Earth Sci.</t>
  </si>
  <si>
    <t>10.1007/s12665-021-09946-3</t>
  </si>
  <si>
    <t>Environmental Sciences; Geosciences, Multidisciplinary; Water Resources</t>
  </si>
  <si>
    <t>Environmental Sciences &amp; Ecology; Geology; Water Resources</t>
  </si>
  <si>
    <t>UR1ZD</t>
  </si>
  <si>
    <t>WOS:000696552700004</t>
  </si>
  <si>
    <t>Rudolph, E. M.; Hedding, D. W.; Nel, W.</t>
  </si>
  <si>
    <t>The surface geology of the Prince Edward Islands: refined spatial data and call for geoconservation</t>
  </si>
  <si>
    <t>SOUTH AFRICAN JOURNAL OF GEOLOGY</t>
  </si>
  <si>
    <t>MARION-ISLAND; VEGETATION; OCEAN; GEODIVERSITY; TERRESTRIAL; GEOHERITAGE; HISTORY</t>
  </si>
  <si>
    <t>Volcanological maps of the sub-Antarctic Prince Edward Islands were first published in 1968, with a revised surface geology map of Marion Island produced in 2006. These maps have been widely used in terrestrial studies on the Prince Edward Islands but they have limitations in spatial accuracy and detail. Using high-resolution satellite imagery and digital elevation data, more spatially accurate data for both Prince Edward and Marion Island's surface geology are presented here. In particular, Marion Island's volcanology on the western coast, including the 1980s lava flow, and the newly exposed Central Highland following the disappearance of extensive ice and snow cover is mapped with greater detail and verified through field observations. The spatial data are downloadable as ESRI layer packages, which can assist in future investigations of island biotic-abiotic processes and interactions and enable improvements in spatial modelling. In addition, this paper highlights geological features and specimens from the Prince Edward Islands as unique examples of geodiversity in a South African context. An overview of these features are provided in terms of their geoheritage value to enable a more comprehensive geoconservation strategy be incorporated into the Prince Edward Islands Management Plan.</t>
  </si>
  <si>
    <t>[Rudolph, E. M.] Univ Free State, Dept Geog, Bloemfontein, South Africa; [Hedding, D. W.] Univ South Africa, Dept Geog, Florida, South Africa; [Nel, W.] Univ Ft Hare, Dept Geog &amp; Environm Sci, Alice, South Africa</t>
  </si>
  <si>
    <t>Rudolph, EM (corresponding author), Univ Free State, Dept Geog, Bloemfontein, South Africa.</t>
  </si>
  <si>
    <t>rudolphem@ufs.ac.za; heddidw@unisa.ac.za; wnel@ufh.ac.za</t>
  </si>
  <si>
    <t>Hedding, David William/0000-0002-9748-4499; Rudolph, Elizabeth M/0000-0002-3823-3278</t>
  </si>
  <si>
    <t>National Research Foundation [SANAP-NRF: 110723]</t>
  </si>
  <si>
    <t>National Research Foundation</t>
  </si>
  <si>
    <t>We are thankful for the South African National Antarctic Programme and the Department of Environmental Affairs/Environment, Forestry and Fisheries for their logistical support, and the National Research Foundation for financial support (SANAP-NRF: 110723) throughout this study. We also thank Mathieu Kervyn and an anonymous reviewer for the valuable comments that improved the manuscript.</t>
  </si>
  <si>
    <t>GEOLOGICAL SOC SOUTH AFRICA</t>
  </si>
  <si>
    <t>MARSHALLTOWN</t>
  </si>
  <si>
    <t>PO BOX 61809, MARSHALLTOWN 2107, SOUTH AFRICA</t>
  </si>
  <si>
    <t>1012-0750</t>
  </si>
  <si>
    <t>1996-8590</t>
  </si>
  <si>
    <t>S AFR J GEOL</t>
  </si>
  <si>
    <t>S. Afr. J. Geol.</t>
  </si>
  <si>
    <t>10.25131/sajg.124.0014</t>
  </si>
  <si>
    <t>UR4DM</t>
  </si>
  <si>
    <t>WOS:000696701300004</t>
  </si>
  <si>
    <t>Khera, M; Arbuckle, K; Hoffman, JI; Sanderson, JL; Cant, MA; Nichols, HJ</t>
  </si>
  <si>
    <t>Khera, Monil; Arbuckle, Kevin; Hoffman, Joseph, I; Sanderson, Jennifer L.; Cant, Michael A.; Nichols, Hazel J.</t>
  </si>
  <si>
    <t>Cooperatively breeding banded mongooses do not avoid inbreeding through familiarity-based kin recognition</t>
  </si>
  <si>
    <t>BEHAVIORAL ECOLOGY AND SOCIOBIOLOGY</t>
  </si>
  <si>
    <t>Inbreeding avoidance; Kin recognition; Familiarity; Cooperative breeder; Relatedness; Phenotype matching</t>
  </si>
  <si>
    <t>SOCIAL EVOLUTION; SCENT MARKING; MATE CHOICE; DISCRIMINATION; RELATEDNESS; ASSOCIATION; SUPPRESSION; COMPETITION; MECHANISMS; PREFERENCE</t>
  </si>
  <si>
    <t>In species that live in family groups, such as cooperative breeders, inbreeding is usually avoided through the recognition of familiar kin. For example, individuals may avoid mating with conspecifics encountered regularly in infancy, as these likely include parents, siblings, and closely related alloparents. Other mechanisms have also been reported, albeit rarely; for example, individuals may compare their own phenotype to that of others, with close matches representing likely relatives (phenotype matching). However, determinants of the primary inbreeding avoidance mechanisms used by a given species remain poorly understood. We use 24 years of life history and genetic data to investigate inbreeding avoidance in wild cooperatively breeding banded mongooses (Mungos mungo). We find that inbreeding avoidance occurs within social groups but is far from maximised (mean pedigree relatedness between 351 breeding pairs = 0.144). Unusually for a group-living vertebrate, we find no evidence that females avoid breeding with males with which they are familiar in early life. This is probably explained by communal breeding; females give birth in tight synchrony and pups are cared for communally, thus reducing the reliability of familiarity-based proxies of relatedness. We also found little evidence that inbreeding is avoided by preferentially breeding with males of specific age classes. Instead, females may exploit as-yet unknown proxies of relatedness, for example, through phenotype matching, or may employ postcopulatory inbreeding avoidance mechanisms. Investigation of species with unusual breeding systems helps to identify constraints against inbreeding avoidance and contributes to our understanding of the distribution of inbreeding across species. Significance statement Choosing the right mate is never easy, but it may be particularly difficult for banded mongooses. In most social animals, individuals avoid mating with those that were familiar to them as infants, as these are likely to be relatives. However, we show that this rule does not work in banded mongooses. Here, the offspring of several mothers are raised in large communal litters by their social group, and parents seem unable to identify or direct care towards their own pups. This may make it difficult to recognise relatives based on their level of familiarity and is likely to explain why banded mongooses frequently inbreed. Nevertheless, inbreeding is lower than expected if mates are chosen at random, suggesting that alternative pre- or post-copulatory inbreeding avoidance mechanisms are used.</t>
  </si>
  <si>
    <t>[Khera, Monil; Arbuckle, Kevin; Nichols, Hazel J.] Swansea Univ, Dept Biosci, Singleton Pk, Swansea SA2 8PP, W Glam, Wales; [Hoffman, Joseph, I; Nichols, Hazel J.] Univ Bielefeld, Dept Anim Behav, 33501 Postfach, D-100131 Bielefeld, Germany; [Hoffman, Joseph, I] British Antarctic Survey, Madingley Rd, Cambridge CB3 OET, England; [Sanderson, Jennifer L.; Cant, Michael A.] Univ Exeter, Coll Life &amp; Environm Sci, Penryn TR10 9FE, England</t>
  </si>
  <si>
    <t>Swansea University; University of Bielefeld; UK Research &amp; Innovation (UKRI); Natural Environment Research Council (NERC); NERC British Antarctic Survey; University of Exeter</t>
  </si>
  <si>
    <t>Khera, M (corresponding author), Swansea Univ, Dept Biosci, Singleton Pk, Swansea SA2 8PP, W Glam, Wales.</t>
  </si>
  <si>
    <t>873021@swansea.ac.uk</t>
  </si>
  <si>
    <t>Arbuckle, Kevin/A-1466-2011; Sanderson, Jennifer L/M-8686-2013; Cant, Michael A/B-1982-2009; Hoffman, Joseph/K-7725-2012</t>
  </si>
  <si>
    <t>Khera, Monil/0000-0002-6634-8152; Arbuckle, Kevin/0000-0002-9171-5874; Hoffman, Joseph/0000-0001-5895-8949</t>
  </si>
  <si>
    <t>Deutsche Forschungsgemeinschaft (DFG) [HO 5122/5-1]; Natural Environment Research Council (NERC) [NE/J010278/1]; Leverhulme International Fellowship [IAF-2018-006]; Swansea University Masters Excellence Scholarship; Humboldt Research Fellowship for Experienced Researchers - Alexander von Humboldt Foundation; NERC [NE/J010278/1] Funding Source: UKRI</t>
  </si>
  <si>
    <t>Deutsche Forschungsgemeinschaft (DFG)(German Research Foundation (DFG)); Natural Environment Research Council (NERC)(UK Research &amp; Innovation (UKRI)Natural Environment Research Council (NERC)); Leverhulme International Fellowship(Leverhulme Trust); Swansea University Masters Excellence Scholarship; Humboldt Research Fellowship for Experienced Researchers - Alexander von Humboldt Foundation(Alexander von Humboldt Foundation); NERC(UK Research &amp; Innovation (UKRI)Natural Environment Research Council (NERC))</t>
  </si>
  <si>
    <t>This work was supported by a Deutsche Forschungsgemeinschaft (DFG) standard grant (HO 5122/5-1) awarded to JIH, a Natural Environment Research Council (NERC) standard grant (NE/J010278/1) awarded to MAC, a Leverhulme International Fellowship (IAF-2018-006) awarded to HJN, a Swansea University Masters Excellence Scholarship awarded to MK and a Humboldt Research Fellowship for Experienced Researchers awarded by the Alexander von Humboldt Foundation to HJN.</t>
  </si>
  <si>
    <t>0340-5443</t>
  </si>
  <si>
    <t>1432-0762</t>
  </si>
  <si>
    <t>BEHAV ECOL SOCIOBIOL</t>
  </si>
  <si>
    <t>Behav. Ecol. Sociobiol.</t>
  </si>
  <si>
    <t>10.1007/s00265-021-03076-3</t>
  </si>
  <si>
    <t>Behavioral Sciences; Ecology; Zoology</t>
  </si>
  <si>
    <t>Behavioral Sciences; Environmental Sciences &amp; Ecology; Zoology</t>
  </si>
  <si>
    <t>UO6WR</t>
  </si>
  <si>
    <t>WOS:000694834300001</t>
  </si>
  <si>
    <t>Montes-Herrera, JC; Cimoli, E; Cummings, V; Hill, N; Lucieer, A; Lucieer, V</t>
  </si>
  <si>
    <t>Montes-Herrera, Juan C.; Cimoli, Emiliano; Cummings, Vonda; Hill, Nicole; Lucieer, Arko; Lucieer, Vanessa</t>
  </si>
  <si>
    <t>Underwater Hyperspectral Imaging (UHI): A Review of Systems and Applications for Proximal Seafloor Ecosystem Studies</t>
  </si>
  <si>
    <t>imaging spectroscopy; marine pigments; benthic habitat; remotely operated vehicle (ROV); spectral analysis; mapping; seafloor</t>
  </si>
  <si>
    <t>BIOOPTICAL TAXONOMIC TOOL; ICE ALGAL BIOMASS; MARINE BIODIVERSITY; SECRET GARDEN; DEEP; WATER; MICROPHYTOBENTHOS; PHYTODETRITUS; DIVERSITY; PHOTOGRAMMETRY</t>
  </si>
  <si>
    <t>Marine ecosystem monitoring requires observations of its attributes at different spatial and temporal scales that traditional sampling methods (e.g., RGB imaging, sediment cores) struggle to efficiently provide. Proximal optical sensing methods can fill this observational gap by providing observations of, and tracking changes in, the functional features of marine ecosystems non-invasively. Underwater hyperspectral imaging (UHI) employed in proximity to the seafloor has shown a further potential to monitor pigmentation in benthic and sympagic phototrophic organisms at small spatial scales (mm-cm) and for the identification of minerals and taxa through their finely resolved spectral signatures. Despite the increasing number of studies applying UHI, a review of its applications, capabilities, and challenges for seafloor ecosystem research is overdue. In this review, we first detail how the limited band availability inherent to standard underwater cameras has led to a data analysis bottleneck in seafloor ecosystem research, in part due to the widespread implementation of underwater imaging platforms (e.g., remotely operated vehicles, time-lapse stations, towed cameras) that can acquire large image datasets. We discuss how hyperspectral technology brings unique opportunities to address the known limitations of RGB cameras for surveying marine environments. The review concludes by comparing how different studies harness the capacities of hyperspectral imaging, the types of methods required to validate observations, and the current challenges for accurate and replicable UHI research.</t>
  </si>
  <si>
    <t>[Montes-Herrera, Juan C.; Cimoli, Emiliano; Hill, Nicole; Lucieer, Vanessa] Univ Tasmania, Inst Marine &amp; Antarctic Studies, Hobart, Tas 7001, Australia; [Cimoli, Emiliano; Lucieer, Arko] Univ Tasmania, Coll Sci &amp; Engn, Sch Technol Environments &amp; Design, Discipline Geog &amp; Spatial Sci, Hobart, Tas 7001, Australia; [Cummings, Vonda] Natl Inst Water &amp; Atmospher Res, Wellington 14901, New Zealand</t>
  </si>
  <si>
    <t>University of Tasmania; University of Tasmania; National Institute of Water &amp; Atmospheric Research (NIWA) - New Zealand</t>
  </si>
  <si>
    <t>Montes-Herrera, JC (corresponding author), Univ Tasmania, Inst Marine &amp; Antarctic Studies, Hobart, Tas 7001, Australia.</t>
  </si>
  <si>
    <t>juancarlos.montesherrera@utas.edu.au; emiliano.cimoli@utas.edu.au; vonda.cummings@niwa.co.nz; nicole.hill@utas.edu.au; Arko.Lucieer@utas.edu.au; vanessa.lucieer@utas.edu.au</t>
  </si>
  <si>
    <t>MontesHerrera, JuanCarlos/KHY-8148-2024; Lucieer, Arko/F-1247-2013; Cimoli, Emiliano/H-1862-2018; Lucieer, Vanessa/D-1697-2009</t>
  </si>
  <si>
    <t>MontesHerrera, JuanCarlos/0000-0002-3471-965X; Lucieer, Arko/0000-0002-9468-4516; Cimoli, Emiliano/0000-0001-7964-2716; Lucieer, Vanessa/0000-0001-7531-5750</t>
  </si>
  <si>
    <t>Australian Research Council's Special Research Initiative for the Antarctic Gateway Partnership [SR140300001]</t>
  </si>
  <si>
    <t>Australian Research Council's Special Research Initiative for the Antarctic Gateway Partnership(Australian Research Council)</t>
  </si>
  <si>
    <t>This research and J.C.M-H.'s Ph.D. scholarship were supported by the Australian Research Council's Special Research Initiative for the Antarctic Gateway Partnership (Project ID SR140300001).</t>
  </si>
  <si>
    <t>10.3390/rs13173451</t>
  </si>
  <si>
    <t>UO2UI</t>
  </si>
  <si>
    <t>WOS:000694554400001</t>
  </si>
  <si>
    <t>Urwin, J</t>
  </si>
  <si>
    <t>Urwin, Jessica</t>
  </si>
  <si>
    <t>The Radioactive Dr Mawson: Douglas Mawson and the Quest for Australia's Radium Riches, 1904-58</t>
  </si>
  <si>
    <t>AUSTRALIAN HISTORICAL STUDIES</t>
  </si>
  <si>
    <t>In Australia, our history with nuclear matter and its processes has its origins in the early twentieth-century scientific adventurism of famed Antarctic explorer Douglas Mawson. As much as Mawson's life has come to be defined by his forays into the ice, an examination of his personal and academic papers provides insight into how his relationship with radium was also of great importance, mirroring the shifting political and historical forces impacting upon the geologist. These are forces that he impacted in turn. Further to this, charting Mawson's relationship with the radioactive from 1904 until his death in 1958 demonstrates the ways that Australia's nuclear history entwines with scientific discovery, settler nationalistic ambition and colonialism.</t>
  </si>
  <si>
    <t>[Urwin, Jessica] Australian Natl Univ, Canberra, ACT, Australia</t>
  </si>
  <si>
    <t>Urwin, J (corresponding author), Australian Natl Univ, Canberra, ACT, Australia.</t>
  </si>
  <si>
    <t>jessica.urwin@anu.edu.au</t>
  </si>
  <si>
    <t>Urwin, Jessica/0000-0001-5044-947X</t>
  </si>
  <si>
    <t>1031-461X</t>
  </si>
  <si>
    <t>1940-5049</t>
  </si>
  <si>
    <t>AUST HISTORICAL STUD</t>
  </si>
  <si>
    <t>Aust. Hist. Stud.</t>
  </si>
  <si>
    <t>JAN 2</t>
  </si>
  <si>
    <t>10.1080/1031461X.2021.1958878</t>
  </si>
  <si>
    <t>History</t>
  </si>
  <si>
    <t>ZJ3OZ</t>
  </si>
  <si>
    <t>WOS:000694548500001</t>
  </si>
  <si>
    <t>Shahateet, K; Seehaus, T; Navarro, F; Sommer, C; Braun, M</t>
  </si>
  <si>
    <t>Shahateet, Kaian; Seehaus, Thorsten; Navarro, Francisco; Sommer, Christian; Braun, Matthias</t>
  </si>
  <si>
    <t>Geodetic Mass Balance of the South Shetland Islands Ice Caps, Antarctica, from Differencing TanDEM-X DEMs</t>
  </si>
  <si>
    <t>SAR; remote sensing; glacier; Antarctic Peninsula; Antarctic periphery; ice loss</t>
  </si>
  <si>
    <t>GLACIER VOLUME CHANGE; LIVINGSTON ISLAND; PENINSULA GLACIERS; SURFACE VELOCITY; ELEVATION; TEMPERATURE; SENSITIVITY; TREND; MODEL; HURD</t>
  </si>
  <si>
    <t>Although the glaciers in the Antarctic periphery currently modestly contribute to sea level rise, their contribution is projected to increase substantially until the end of the 21st century. The South Shetland Islands (SSI), located to the north of the Antarctic Peninsula, are lacking a geodetic mass balance calculation for the entire archipelago. We estimated its geodetic mass balance over a 3-4-year period within 2013-2017. Our estimation is based on remotely sensed multispectral and interferometric SAR data covering 96% of the glacierized areas of the islands considered in our study and 73% of the total glacierized area of the SSI archipelago (Elephant, Clarence, and Smith Islands were excluded due to data limitations). Our results show a close to balance, slightly negative average specific mass balance for the whole area of -0.106 +/- 0.007 m w.e. a(-1), representing a mass change of -238 +/- 12 Mt a(-1). These results are consistent with a wider scale geodetic mass balance estimation and with glaciological mass balance measurements at SSI locations for the same study period. They are also consistent with the cooling trend observed in the region between 1998 and the mid-2010s.</t>
  </si>
  <si>
    <t>[Shahateet, Kaian; Navarro, Francisco] Univ Politecn Madrid, Escuela Tecn Super Ingn Telecomunicac, Madrid 28040, Spain; [Seehaus, Thorsten; Sommer, Christian; Braun, Matthias] Friedrich Alexander Univ Erlangen Nurnberg, Inst Geog, D-91058 Erlangen, Germany</t>
  </si>
  <si>
    <t>Universidad Politecnica de Madrid; University of Erlangen Nuremberg</t>
  </si>
  <si>
    <t>Shahateet, K (corresponding author), Univ Politecn Madrid, Escuela Tecn Super Ingn Telecomunicac, Madrid 28040, Spain.</t>
  </si>
  <si>
    <t>k.fernandes@upm.es; thorsten.seehaus@fau.de; francisco.navarro@upm.es; chris.sommer@fau.de; matthias.h.braun@fau.de</t>
  </si>
  <si>
    <t>Navarro, Francisco/L-2941-2014; Braun, Matthias H/S-4693-2016; Shahateet, Kaian/KHD-4312-2024; Braun, Matthias/A-4968-2009</t>
  </si>
  <si>
    <t>Navarro, Francisco/0000-0002-5147-0067; Shahateet, Kaian/0000-0003-0033-0483; Seehaus, Thorsten/0000-0001-5055-8959; Braun, Matthias/0000-0001-5169-1567</t>
  </si>
  <si>
    <t>Agencia Estatal de Investigacion [CTM2017-84441-R, PID2020-113051RB-C31]</t>
  </si>
  <si>
    <t>Agencia Estatal de Investigacion</t>
  </si>
  <si>
    <t>This research was funded by Agencia Estatal de Investigacion, grant numbers CTM2017-84441-R and PID2020-113051RB-C31.</t>
  </si>
  <si>
    <t>10.3390/rs13173408</t>
  </si>
  <si>
    <t>UO2HF</t>
  </si>
  <si>
    <t>WOS:000694520100001</t>
  </si>
  <si>
    <t>Zhu, TT; Cui, XB; Zhang, Y</t>
  </si>
  <si>
    <t>Zhu, Tingting; Cui, Xiangbin; Zhang, Yu</t>
  </si>
  <si>
    <t>Analysis of Temporal and Spatial Variability of Fronts on the Amery Ice Shelf Automatically Detected Using Sentinel-1 SAR Data</t>
  </si>
  <si>
    <t>frontal position; constant false alarm rate; Sentinel-1 SAR data; Amery Ice Shelf; iceberg calving</t>
  </si>
  <si>
    <t>CFAR DETECTION; RIFT PROPAGATION; ANTARCTICA; GLACIER; EXTRACTION; COASTLINE; VELOCITY; INSAR</t>
  </si>
  <si>
    <t>The Amery Ice Shelf (AIS) dynamics and mass balance caused by iceberg calving and basal melting are significant in the ocean climate system. Using satellite imagery from Sentinel-1 SAR, we monitored the temporal and spatial variability of the frontal positions on the Amery Ice Shelf, Antarctica, from 2015 to 2021. In this paper, we propose an automatic algorithm based on the SO-CFAR strategy and a profile cumulative method for frontal line extraction. To improve the accuracy of the extracted frontal lines, we developed a framework combining the Constant False Alarm Rate (CFAR) and morphological image-processing strategies. A visual comparison between the proposed algorithm and state-of-the-art algorithm shows that our algorithm is effective in these cases including rifts, icebergs, and crevasses as well as ice-shelf surface structures. We present a detailed analysis of the temporal and spatial variability of fronts on AIS that we find, an advance of the AIS frontal line before the D28 calving event, and a continuous advance after the event. The study reveals that the AIS extent has been advanced at the rate of 1015 m/year. Studies have shown that the frontal location of AIS has continuously expanded. From March 2015 to May 2021, the frontal location of AIS expanded by 6.5 km; while the length of the AIS frontal line is relatively different after the D28 event, the length of the frontal line increased by about 7.5% during 2015 and 2021 (255.03 km increased to 273.5 km). We found a substantial increase in summer advance rates and a decrease in winter advance rates with the seasonal characteristics. We found this variability of the AIS frontal line to be in good agreement with the ice flow velocity.</t>
  </si>
  <si>
    <t>[Zhu, Tingting] Wuhan Univ, State Key Lab Informat Engn Surveying Mapping &amp; R, Wuhan 430079, Peoples R China; [Cui, Xiangbin] Polar Res Inst China, Shanghai 200136, Peoples R China; [Zhang, Yu] Wuhan Univ, Chinese Antarctic Ctr Surveying &amp; Mapping, Wuhan 430079, Peoples R China</t>
  </si>
  <si>
    <t>Wuhan University; Polar Research Institute of China; Wuhan University</t>
  </si>
  <si>
    <t>Zhang, Y (corresponding author), Wuhan Univ, Chinese Antarctic Ctr Surveying &amp; Mapping, Wuhan 430079, Peoples R China.</t>
  </si>
  <si>
    <t>ztt_polar_rs@whu.edu.cn; cuixiangbin@pric.org.cn; yuzhang_spl@whu.edu.cn</t>
  </si>
  <si>
    <t>Cui, Xiangbin/0000-0002-4269-8086; Zhang, Yu/0000-0001-9211-861X</t>
  </si>
  <si>
    <t>National Key Research and Development Program of China [2017YFA0603104]; National Natural Science Foundation of China [41801266, 41901275, 41776186, 41531069]; China Postdoctoral Science Foundation [2017M612512, 2018M632922]; LIESMARS</t>
  </si>
  <si>
    <t>National Key Research and Development Program of China; National Natural Science Foundation of China(National Natural Science Foundation of China (NSFC)); China Postdoctoral Science Foundation(China Postdoctoral Science Foundation); LIESMARS</t>
  </si>
  <si>
    <t>This work was supported by the National Key Research and Development Program of China under Grant 2017YFA0603104; the National Natural Science Foundation of China (No. 41801266, 41901275, 41776186, and 41531069); and the China Postdoctoral Science Foundation (No. 2017M612512 and 2018M632922), and LIESMARS special research funding.</t>
  </si>
  <si>
    <t>10.3390/rs13173528</t>
  </si>
  <si>
    <t>UO1OM</t>
  </si>
  <si>
    <t>WOS:000694471400001</t>
  </si>
  <si>
    <t>Darham, S; Syed-Muhaimin, SN; Subramaniam, K; Zulkharnain, A; Shaharuddin, NA; Khalil, KA; Ahmad, SA</t>
  </si>
  <si>
    <t>Darham, Syazani; Syed-Muhaimin, Sharifah Nabilah; Subramaniam, Kavilasni; Zulkharnain, Azham; Shaharuddin, Noor Azmi; Khalil, Khalilah Abdul; Ahmad, Siti Aqlima</t>
  </si>
  <si>
    <t>Optimisation of Various Physicochemical Variables Affecting Molybdenum Bioremediation Using Antarctic Bacterium, Arthrobacter sp. Strain AQ5-05</t>
  </si>
  <si>
    <t>Antarctica; molybdenum; microbial remediation; one-factor-at-a-time (OFAT); response surface methodology (RSM)</t>
  </si>
  <si>
    <t>STATISTICAL OPTIMIZATION; DIESEL BIODEGRADATION; WEST SUMATERA; SOILS; REDUCTION; PHENOL</t>
  </si>
  <si>
    <t>The versatility of a rare metal, molybdenum (Mo) in many industrial applications is one of the reasons why Mo is currently one of the growing environmental pollutants worldwide. Traces of inorganic contaminants, including Mo, have been discovered in Antarctica and are compromising the ecosystem. Bioremediation utilising bacteria to transform pollutants into a less toxic form is one of the approaches for solving Mo pollution. Mo reduction is a process of transforming sodium molybdate with an oxidation state of 6+ to Mo-blue, an inert version of the compound. Although there are a few Mo-reducing microbes that have been identified worldwide, only two studies were reported on the microbial reduction of Mo in Antarctica. Therefore, this study was done to assess the ability of Antarctic bacterium, Arthrobacter sp. strain AQ5-05, in reducing Mo. Optimisation of Mo reduction in Mo-supplemented media was carried out using one-factor-at-a-time (OFAT) and response surface methodology (RSM) approaches. Through OFAT, Mo was reduced optimally with substrate concentration of sucrose, ammonium sulphate, and molybdate at 1 g/L, 0.2 g/L, and 10 mM, respectively. The pH and salinity of the media were the best at 7.0 and 0.5 g/L, respectively, while the optimal temperature was at 10 degrees C. Further optimisation using RSM showed greater Mo-blue production in comparison to OFAT. The strain was able to stand high concentration of Mo and low temperature conditions, thus showing its potential in reducing Mo in Antarctica by employing conditions optimised by RSM.</t>
  </si>
  <si>
    <t>[Darham, Syazani; Syed-Muhaimin, Sharifah Nabilah; Subramaniam, Kavilasni; Shaharuddin, Noor Azmi; Ahmad, Siti Aqlima] Univ Putra Malaysia, Fac Biotechnol &amp; Biomol Sci, Dept Biochem, Serdang 43400, Malaysia; [Zulkharnain, Azham] Shibaura Inst Technol, Dept Biosci &amp; Engn, Coll Syst Engn &amp; Sci, Minuma Ku, 307 Fukasaku, Saitama 3378570, Japan; [Khalil, Khalilah Abdul] Univ Teknol MARA, Fac Appl Sci, Sch Biol, Shah Alam 40450, Malaysia</t>
  </si>
  <si>
    <t>Universiti Putra Malaysia; Shibaura Institute of Technology; Universiti Teknologi MARA</t>
  </si>
  <si>
    <t>Ahmad, SA (corresponding author), Univ Putra Malaysia, Fac Biotechnol &amp; Biomol Sci, Dept Biochem, Serdang 43400, Malaysia.</t>
  </si>
  <si>
    <t>szani.d@gmail.com; snns960811@gmail.com; kavilasnisubramaniam@gmail.com; azham@shibaura-it.ac.jp; noorazmi@upm.edu.my; khali552@uitm.edu.my; aqlima@upm.edu.my</t>
  </si>
  <si>
    <t>Darham, Syazani/ISU-3369-2023</t>
  </si>
  <si>
    <t>Shaharuddin, Noor Azmi/0000-0003-0057-9932; Zulkharnain, Azham/0000-0001-9173-8171; Ahmad, Siti Aqlima/0000-0002-7625-3704; Subramaniam, Kavilasni/0009-0002-0712-3065</t>
  </si>
  <si>
    <t>Universiti Putra Malaysia; Sultan Mizan Antarctic Reseach Foundation (YPASM Berth Support)</t>
  </si>
  <si>
    <t>This work was supported by Universiti Putra Malaysia (GPM-2018/9660000 and 9678900) and Sultan Mizan Antarctic Reseach Foundation (YPASM Berth Support). We also thank Universiti Putra Malaysia for providing GRF scholarship to Syazani Darham and Kavilasni Subramaniam.</t>
  </si>
  <si>
    <t>10.3390/w13172367</t>
  </si>
  <si>
    <t>UO2FD</t>
  </si>
  <si>
    <t>WOS:000694514700001</t>
  </si>
  <si>
    <t>Monks, PS; Ravishankara, AR; Von Schneidemesser, E; Sommariva, R</t>
  </si>
  <si>
    <t>Monks, Paul S.; Ravishankara, A. R.; von Schneidemesser, Erika; Sommariva, Roberto</t>
  </si>
  <si>
    <t>Opinion: Papers that shaped tropospheric chemistry</t>
  </si>
  <si>
    <t>VOLATILE ORGANIC-COMPOUNDS; PHOTOCHEMICAL AIR-POLLUTION; GAS-PHASE REACTIONS; MASTER CHEMICAL MECHANISM; BIOMASS BURNING EMISSIONS; KINETIC DATA EVALUATION; MCM V3 PART; ATMOSPHERIC CHEMISTRY; ANTARCTIC OZONE; SULFUR-DIOXIDE</t>
  </si>
  <si>
    <t>Which published papers have transformed our understanding of the chemical processes in the troposphere and shaped the field of atmospheric chemistry? By way of expert solicitation and interactive peer review, this paper explores the influence of the ideas in peer-reviewed articles based on input from our community of atmospheric scientists. We explore how these papers have shaped the development of the field of atmospheric chemistry and identify the major landmarks in the field of atmospheric chemistry through the lens of those papers' impact on science, legislation and environmental events. We also explore the ways in which one can identify the papers that have most impacted the field and discuss the advantages and disadvantages of the various approaches. Our work highlights the difficulty of creating a simple list, and we explore the reasons for this difficulty. The paper also provides a history of the development of our understanding of tropospheric chemistry and points some ways for the future.</t>
  </si>
  <si>
    <t>[Monks, Paul S.; Sommariva, Roberto] Univ Leicester, Sch Chem, Univ Rd, Leicester LE1 7RH, Leics, England; [Ravishankara, A. R.] Colorado State Univ, Dept Chem, Ft Collins, CO 80523 USA; [Ravishankara, A. R.] Colorado State Univ, Dept Atmospher Sci, Ft Collins, CO 80523 USA; [von Schneidemesser, Erika] Inst Adv Sustainabil Studies, Berlinerstr 130, D-14467 Potsdam, Germany</t>
  </si>
  <si>
    <t>University of Leicester; Colorado State University; Colorado State University</t>
  </si>
  <si>
    <t>Monks, PS (corresponding author), Univ Leicester, Sch Chem, Univ Rd, Leicester LE1 7RH, Leics, England.</t>
  </si>
  <si>
    <t>p.s.monks@leicester.ac.uk</t>
  </si>
  <si>
    <t>Sommariva, Roberto/M-5361-2014; Monks, Paul/H-6468-2016</t>
  </si>
  <si>
    <t>Sommariva, Roberto/0000-0002-2728-5814; Monks, Paul/0000-0001-9984-4390; von Schneidemesser, Erika/0000-0003-1386-285X</t>
  </si>
  <si>
    <t>Colorado State University; IASS Potsdam; Federal Ministry of Education and Research of Germany (BMBF); Ministry for Science, Research and Culture of the State of Brandenburg (MWFK)</t>
  </si>
  <si>
    <t>Colorado State University; IASS Potsdam; Federal Ministry of Education and Research of Germany (BMBF)(Federal Ministry of Education &amp; Research (BMBF)); Ministry for Science, Research and Culture of the State of Brandenburg (MWFK)</t>
  </si>
  <si>
    <t>The work of A. R. Ravishankara was supported by Colorado State University. The work of Erika von Schneidemesser was supported by the IASS Potsdam, with financial support provided by the Federal Ministry of Education and Research of Germany (BMBF) and the Ministry for Science, Research and Culture of the State of Brandenburg (MWFK).</t>
  </si>
  <si>
    <t>SEP 1</t>
  </si>
  <si>
    <t>10.5194/acp-21-12909-2021</t>
  </si>
  <si>
    <t>UL5KQ</t>
  </si>
  <si>
    <t>WOS:000692690100002</t>
  </si>
  <si>
    <t>Lankford, HV; Fox, LR</t>
  </si>
  <si>
    <t>Lankford, Harvey, V; Fox, Leslie R.</t>
  </si>
  <si>
    <t>The Wind-Chill Index</t>
  </si>
  <si>
    <t>WILDERNESS &amp; ENVIRONMENTAL MEDICINE</t>
  </si>
  <si>
    <t>Siple; Antarctica; weather; cold; frostbite; bioclimatology</t>
  </si>
  <si>
    <t>This Lessons from History article about the wind-chill index (WCI) explores the historical polar and meteorologic literature relevant to the topic and presents unpublished work from 1939. Geographer Paul Siple (1908-1968) was a 6-time Antarctic explorer and scientist who invented and named the WCI in his doctoral dissertation at Clark University. Siple and Charles Passel (1915-2002) performed studies in Antarctica in 1940 that led to publication in 1945. This paper is often credited as the beginning of the WCI. Through years of critiques and revisions by others, these efforts evolved into the wind-chill equivalent temperatures (WCTs) used today. This essay explores the history, the science, and the overlooked originality, simplicity, and details of Siple's unpublished work. The remarkable similarity of the original chart to a current chart is shown by adapting and overlaying the 1939 WCI onto a current WCT chart with its times-to-frostbite data. The writings of Siple, Passel, and others provide an evocative supporting narrative to illustrate some of the problems of living in cold environmental conditions.</t>
  </si>
  <si>
    <t>Lankford, HV (corresponding author), 8001 Riverside Dr, Richmond, VA 23225 USA.</t>
  </si>
  <si>
    <t>h.lankford@gmail.com</t>
  </si>
  <si>
    <t>1080-6032</t>
  </si>
  <si>
    <t>1545-1534</t>
  </si>
  <si>
    <t>WILD ENVIRON MED</t>
  </si>
  <si>
    <t>Wildern. Environ. Med.</t>
  </si>
  <si>
    <t>Public, Environmental &amp; Occupational Health; Sport Sciences</t>
  </si>
  <si>
    <t>UL4KC</t>
  </si>
  <si>
    <t>WOS:000692620800020</t>
  </si>
  <si>
    <t>Schubert, R; Thompson, AF; Speer, K; Chretien, LS; Bebieva, Y</t>
  </si>
  <si>
    <t>Schubert, Ryan; Thompson, Andrew F.; Speer, Kevin; Chretien, Lena Schulze; Bebieva, Yana</t>
  </si>
  <si>
    <t>The Antarctic Coastal Current in the Bellingshausen Sea</t>
  </si>
  <si>
    <t>MARGUERITE BAY; AMUNDSEN SEA; GLACIAL MELTWATER; ICE SHELVES; PENINSULA; VARIABILITY; CIRCULATION; WATER; WEST; DRIVEN</t>
  </si>
  <si>
    <t>The ice shelves of the West Antarctic Ice Sheet experience basal melting induced by underlying warm, salty Circumpolar DeepWater. Basal meltwater, along with runoff from ice sheets, supplies fresh buoyant water to a circulation feature near the coast, the Antarctic Coastal Current (AACC). The formation, structure, and coherence of the AACC has been well documented along the West Antarctic Peninsula (WAP). Observations from instrumented seals collected in the Bellingshausen Sea offer extensive hydrographic coverage throughout the year, providing evidence of the continuation of the westward flowing AACC from the WAP towards the Amundsen Sea. The observations reported here demonstrate that the coastal boundary current enters the eastern Bellingshausen Sea from the WAP and flows westward along the face of multiple ice shelves, including the westernmost Abbot Ice Shelf. The presence of the AACC in the western Bellingshausen Sea has implications for the export of water properties into the eastern Amundsen Sea, which we suggest may occur through multiple pathways, either along the coast or along the continental shelf break. The temperature, salinity, and density structure of the current indicates an increase in baroclinic transport as the AACC flows from the east to the west, and as it entrains meltwater from the ice shelves in the Bellingshausen Sea. The AACC acts as a mechanism to transport meltwater out of the Bellingshausen Sea and into the Amundsen and Ross seas, with the potential to impact, respectively, basal melt rates and bottom water formation in these regions.</t>
  </si>
  <si>
    <t>[Schubert, Ryan; Speer, Kevin; Bebieva, Yana] Florida State Univ, Geophys Fluid Dynam Inst, Tallahassee, FL 32306 USA; [Bebieva, Yana] Florida State Univ, Dept Sci Comp, Tallahassee, FL 32306 USA; [Thompson, Andrew F.] CALTECH, Environm Sci &amp; Engn, Pasadena, CA 91125 USA; [Chretien, Lena Schulze] Jacksonville Univ, Marine Sci Res Inst, Dept Biol &amp; Marine Sci, Jacksonville, FL USA</t>
  </si>
  <si>
    <t>State University System of Florida; Florida State University; State University System of Florida; Florida State University; California Institute of Technology; Jacksonville University</t>
  </si>
  <si>
    <t>Schubert, R (corresponding author), Florida State Univ, Geophys Fluid Dynam Inst, Tallahassee, FL 32306 USA.</t>
  </si>
  <si>
    <t>ryanschubert20@gmail.com</t>
  </si>
  <si>
    <t>Office of Polar Programs [1643679, 1644172]; Division of Ocean Sciences [1658479]; Directorate For Geosciences; Division Of Ocean Sciences [1658479] Funding Source: National Science Foundation; Office of Polar Programs (OPP); Directorate For Geosciences [1643679, 1644172] Funding Source: National Science Foundation</t>
  </si>
  <si>
    <t>Office of Polar Programs(National Science Foundation (NSF)NSF - Directorate for Geosciences (GEO)); Division of Ocean Sciences(National Science Foundation (NSF)NSF - Directorate for Geosciences (GEO)); Directorate For Geosciences; Division Of Ocean Sciences(National Science Foundation (NSF)NSF - Directorate for Geosciences (GEO)); Office of Polar Programs (OPP); Directorate For Geosciences(National Science Foundation (NSF)NSF - Directorate for Geosciences (GEO))</t>
  </si>
  <si>
    <t>This research has been supported by the Office of Polar Programs (grant nos. 1643679 and 1644172) and the Division of Ocean Sciences (grant no. 1658479).</t>
  </si>
  <si>
    <t>10.5194/tc-15-4179-2021</t>
  </si>
  <si>
    <t>UL5MH</t>
  </si>
  <si>
    <t>WOS:000692694600001</t>
  </si>
  <si>
    <t>Kader, MA; Zamli, KZ; Ahmed, BS</t>
  </si>
  <si>
    <t>Kader, Md. Abdul; Zamli, Kamal Z.; Ahmed, Bestoun S.</t>
  </si>
  <si>
    <t>A systematic review on emperor penguin optimizer</t>
  </si>
  <si>
    <t>NEURAL COMPUTING &amp; APPLICATIONS</t>
  </si>
  <si>
    <t>Emperor penguin optimizer; Systematic literature review; Metaheuristic algorithm</t>
  </si>
  <si>
    <t>LEARNING-BASED OPTIMIZATION; MULTIOBJECTIVE OPTIMIZATION; ALGORITHM; STRATEGY</t>
  </si>
  <si>
    <t>Emperor Penguin Optimizer (EPO) is a recently developed metaheuristic algorithm to solve general optimization problems. The main strength of EPO is twofold. Firstly, EPO has low learning curve (i.e., based on the simple analogy of huddling behavior of emperor penguins in nature (i.e., surviving strategy during Antarctic winter). Secondly, EPO offers straightforward implementation. In the EPO, the emperor penguins represent the candidate solution, huddle denotes the search space that comprises a two-dimensional L-shape polygon plane, and randomly positioned of the emperor penguins represents the feasible solution. Among all the emperor penguins, the focus is to locate an effective mover representing the global optimal solution. To-date, EPO has slowly gaining considerable momentum owing to its successful adoption in many broad range of optimization problems, that is, from medical data classification, economic load dispatch problem, engineering design problems, face recognition, multilevel thresholding for color image segmentation, high-dimensional biomedical data analysis for microarray cancer classification, automatic feature selection, event recognition and summarization, smart grid system, and traffic management system to name a few. Reflecting on recent progress, this paper thoroughly presents an in-depth study related to the current EPO's adoption in the scientific literature. In addition to highlighting new potential areas for improvements (and omission), the finding of this study can serve as guidelines for researchers and practitioners to improve the current state-of-the-arts and state-of-practices on general adoption of EPO while highlighting its new emerging areas of applications.</t>
  </si>
  <si>
    <t>[Kader, Md. Abdul; Zamli, Kamal Z.] Univ Malaysia Pahang, Fac Comp, Pekan 26600, Pahang, Malaysia; [Ahmed, Bestoun S.] Karlstad Univ, Dept Math &amp; Comp Sci, S-65188 Karlstad, Sweden; [Ahmed, Bestoun S.] Czech Tech Univ, Dept Comp Sci, Fac Elect Engn, Karlovo Nam 13, Prague 12135 2, Czech Republic</t>
  </si>
  <si>
    <t>Universiti Malaysia Pahang Al-Sultan Abdullah (UMPSA); Karlstad University; Czech Technical University Prague</t>
  </si>
  <si>
    <t>Zamli, KZ (corresponding author), Univ Malaysia Pahang, Fac Comp, Pekan 26600, Pahang, Malaysia.</t>
  </si>
  <si>
    <t>kdr2k10@gmail.com; kamalz@ump.edu.my; bestoun@kau.se</t>
  </si>
  <si>
    <t>Kader, Abdul/HHC-1471-2022; Ahmed, Bestoun S./B-4429-2010</t>
  </si>
  <si>
    <t>Kader, Abdul/0000-0003-0949-5030; Ahmed, Bestoun S./0000-0001-9051-7609</t>
  </si>
  <si>
    <t>Trans Disciplinary Research Grant Scheme from the Ministry of Higher Education Malaysia [RDU1918014]</t>
  </si>
  <si>
    <t>Trans Disciplinary Research Grant Scheme from the Ministry of Higher Education Malaysia</t>
  </si>
  <si>
    <t>The work reported in this paper is funded by the Trans Disciplinary Research Grant Scheme from the Ministry of Higher Education Malaysia titled: An Artificial Neural Network Sine Cosine Algorithm-based Hybrid Prediction Model for the Production of Cellulose Nanocrystals from Oil Palm Empty Fruit Bunch (RDU1918014).</t>
  </si>
  <si>
    <t>SPRINGER LONDON LTD</t>
  </si>
  <si>
    <t>236 GRAYS INN RD, 6TH FLOOR, LONDON WC1X 8HL, ENGLAND</t>
  </si>
  <si>
    <t>0941-0643</t>
  </si>
  <si>
    <t>1433-3058</t>
  </si>
  <si>
    <t>NEURAL COMPUT APPL</t>
  </si>
  <si>
    <t>Neural Comput. Appl.</t>
  </si>
  <si>
    <t>10.1007/s00521-021-06442-4</t>
  </si>
  <si>
    <t>Computer Science, Artificial Intelligence</t>
  </si>
  <si>
    <t>Computer Science</t>
  </si>
  <si>
    <t>WR3OP</t>
  </si>
  <si>
    <t>WOS:000691937200003</t>
  </si>
  <si>
    <t>Jayakrishnan, PR; Sivaprasad, P; Chenoli, SN; Babu, CA; Samah, AA; Mohammedali, NP</t>
  </si>
  <si>
    <t>Jayakrishnan, P. R.; Sivaprasad, P.; Nettukandy Chenoli, Sheeba; Babu, C. A.; Samah, Azizan Abu; Mohammedali, N. P.</t>
  </si>
  <si>
    <t>Sea breeze characteristics over a coastal station in peninsular Malaysia</t>
  </si>
  <si>
    <t>Sea breeze; diurnal variation; monsoon; synoptic wind</t>
  </si>
  <si>
    <t>CIRCULATION</t>
  </si>
  <si>
    <t>Land and sea breezes are formed due to differential heating between land and sea surfaces and are prominent local circulation in the tropical region. We present the first observational analysis of the overview of sea-breeze characteristics based on Automatic Weather Station (AWS) data and radiosonde ascends at Bachok Marine Research Station in peninsular Malaysia. Onset criteria for sea breeze were defined based on the variations of Sea Breeze Component (SBC). Associated parameters such as surface wind direction, wind speed, humidity, and air temperature are analysed for 3 yrs (2015-2017) from the AWS. The radiosonde data taken during two field experiments during northeast monsoon and southwest monsoon are utilised to investigate the impact of monsoons on the sea breeze in greater detail. The influence of synoptic-scale motion on the sea breeze is also investigated using radiosonde and reanalysis data. Generally, the sea breeze sets in from the east at about 10:00 AM and occasionally, prevailing monsoon flow intruded into the local circulation. An increase in station pressure is noted during the onset. The time of onset, as well as the strength of the sea breeze, is influenced by conditions such as clear, cloudy, partially cloudy days and the presence of thunderstorms.</t>
  </si>
  <si>
    <t>[Jayakrishnan, P. R.; Sivaprasad, P.; Nettukandy Chenoli, Sheeba; Samah, Azizan Abu] Univ Malaya, Inst Ocean &amp; Earth Sci, Kuala Lumpur 50603, Malaysia; [Nettukandy Chenoli, Sheeba; Samah, Azizan Abu] Univ Malaya, Fac Arts &amp; Social Sci, Dept Geog, Kuala Lumpur 50603, Malaysia; [Nettukandy Chenoli, Sheeba; Samah, Azizan Abu] Univ Malaya, Natl Antarctic Res Ctr, Kuala Lumpur 50603, Malaysia; [Babu, C. A.] Cochin Univ Sci &amp; Technol, Dept Atmospher Sci, Cochin 682016, Kerala, India; [Jayakrishnan, P. R.] Coll Climate Change &amp; Environm Sci CCCES, Vellanikkara 680656, Thrissur, India; [Mohammedali, N. P.] Bharathidasan Univ, Dept Marine Sci, Tiruchirappalli 620024, India</t>
  </si>
  <si>
    <t>Universiti Malaya; Universiti Malaya; Universiti Malaya; Cochin University Science &amp; Technology; Bharathidasan University</t>
  </si>
  <si>
    <t>Chenoli, SN (corresponding author), Univ Malaya, Inst Ocean &amp; Earth Sci, Kuala Lumpur 50603, Malaysia.;Chenoli, SN (corresponding author), Univ Malaya, Fac Arts &amp; Social Sci, Dept Geog, Kuala Lumpur 50603, Malaysia.;Chenoli, SN (corresponding author), Univ Malaya, Natl Antarctic Res Ctr, Kuala Lumpur 50603, Malaysia.</t>
  </si>
  <si>
    <t>sheeba@um.edu.my</t>
  </si>
  <si>
    <t>Chenoli, Sheeba Nettukandy/G-6726-2012</t>
  </si>
  <si>
    <t>Fundamental Research Grant Scheme (FRGS) [FP104-2018A]; eScience Fund [04-01-03-SF0410]; HICoE MOHE Project [IOES-2014 A, IOES-2014B]</t>
  </si>
  <si>
    <t>Fundamental Research Grant Scheme (FRGS); eScience Fund; HICoE MOHE Project</t>
  </si>
  <si>
    <t>The authors would like to acknowledge Fundamental Research Grant Scheme (FRGS) FP104-2018A, eScience Fund Project No. 04-01-03-SF0410 and HICoE MOHE Project Grant no: IOES-2014 A and IOES-2014B for Bnancial support. The authors acknowledge Prof. Yue Fang, First Institute of Oceanography, China, for providing fund for the studies. Acknowledgement to Ms Noraini Mohyeddin, National Antarctic Research Centre, University of Malaya for her eAorts in this work. We acknowledge the Malaysian Meteorological Department, Cooperative Institute for Meteorological Satellite Studies (CIMSS) and MOSDAC website for cloud data. The European Centre for Medium-Range Weather Forecasts for providing the data used for the analysis.</t>
  </si>
  <si>
    <t>10.1007/s12040-021-01632-z</t>
  </si>
  <si>
    <t>UJ7VG</t>
  </si>
  <si>
    <t>WOS:000691488400002</t>
  </si>
  <si>
    <t>Wang, XD; Wu, ZK</t>
  </si>
  <si>
    <t>Wang, Xingdong; Wu, Zhankai</t>
  </si>
  <si>
    <t>Variability in Polar Sea Ice (1989-2018)</t>
  </si>
  <si>
    <t>IEEE GEOSCIENCE AND REMOTE SENSING LETTERS</t>
  </si>
  <si>
    <t>First- and second-year ice extent; multiyear ice extent; polar sea ice; sea-ice concentration (SIC); total sea ice extent (SIE)</t>
  </si>
  <si>
    <t>INCREASED QUASI STATIONARITY; WINTER URAL BLOCKING; EXTREME COLD EVENTS; TRENDS; PERSISTENCE; CLIMATE</t>
  </si>
  <si>
    <t>This study is based on daily sea-ice concentration (SIC) data collected from the National Snow and Ice Data Center between 1989 and 2018. We analyzed the concentration, total sea ice extent (SIE), multiyear ice extent, and first- and second-year ice extent of Polar (Arctic and Antarctic) sea ice. The results showed that, over the analyzed 30 year span, the spatial distribution of SIC decreased in the Arctic, while it showed high regional variability within the Antarctic. The total SIE decreased in the polar regions at a rate of -0.051 x 10(6) km(2) yr(-1) (-2.07% per decade) and the multiyear ice extent at a rate of -0.086 x 106 km(2) yr(-1) (-12.31% per decade), while the first- and second-year ice extent increased at a rate of 0.054 x 10(6) km(2) yr(-1) (2.13% per decade).</t>
  </si>
  <si>
    <t>[Wang, Xingdong; Wu, Zhankai] Henan Univ Technol, Minist Educ, Key Lab Grain Informat Proc &amp; Control, Zhengzhou 450001, Peoples R China; [Wang, Xingdong; Wu, Zhankai] Henan Univ Technol, Coll Informat Sci &amp; Engn, Zhengzhou 450001, Peoples R China</t>
  </si>
  <si>
    <t>Henan University of Technology; Henan University of Technology</t>
  </si>
  <si>
    <t>Wu, ZK (corresponding author), Henan Univ Technol, Minist Educ, Key Lab Grain Informat Proc &amp; Control, Zhengzhou 450001, Peoples R China.</t>
  </si>
  <si>
    <t>spreadwu@126.com</t>
  </si>
  <si>
    <t>, Wang/0000-0002-8295-0311</t>
  </si>
  <si>
    <t>National Key Research and Development Program of China [2016YFB0501501]; State Key Laboratory of Cryospheric Science, Northwest Institute of Eco-Environment and Resources, Chinese Academy Sciences [SKLCS-OP-2020-6]; Cultivation Program for Young Backbone Teachers in the Henan University of Technology [21420070]; Basic Scientific Research Special Fund of the Henan University of Technology [2015RCJH18]; Key Scientific Research Project of Colleges and Universities in Henan Province [19B420001]</t>
  </si>
  <si>
    <t>National Key Research and Development Program of China; State Key Laboratory of Cryospheric Science, Northwest Institute of Eco-Environment and Resources, Chinese Academy Sciences; Cultivation Program for Young Backbone Teachers in the Henan University of Technology; Basic Scientific Research Special Fund of the Henan University of Technology; Key Scientific Research Project of Colleges and Universities in Henan Province</t>
  </si>
  <si>
    <t>This work was supported in part by the National Key Research and Development Program of China under Grant 2016YFB0501501, in part by the State Key Laboratory of Cryospheric Science, Northwest Institute of Eco-Environment and Resources, Chinese Academy Sciences under Grant SKLCS-OP-2020-6, in part by the Cultivation Program for Young Backbone Teachers in the Henan University of Technology under Grant 21420070, in part by the Basic Scientific Research Special Fund of the Henan University of Technology under Grant 2015RCJH18, and in part by the Key Scientific Research Project of Colleges and Universities in Henan Province under Grant 19B420001.</t>
  </si>
  <si>
    <t>1545-598X</t>
  </si>
  <si>
    <t>1558-0571</t>
  </si>
  <si>
    <t>IEEE GEOSCI REMOTE S</t>
  </si>
  <si>
    <t>IEEE Geosci. Remote Sens. Lett.</t>
  </si>
  <si>
    <t>10.1109/LGRS.2020.3004257</t>
  </si>
  <si>
    <t>Geochemistry &amp; Geophysics; Engineering, Electrical &amp; Electronic; Remote Sensing; Imaging Science &amp; Photographic Technology</t>
  </si>
  <si>
    <t>Geochemistry &amp; Geophysics; Engineering; Remote Sensing; Imaging Science &amp; Photographic Technology</t>
  </si>
  <si>
    <t>UI2JV</t>
  </si>
  <si>
    <t>WOS:000690441200010</t>
  </si>
  <si>
    <t>Pirli, M; Voss, PH</t>
  </si>
  <si>
    <t>Pirli, Myrto; Voss, Peter H.</t>
  </si>
  <si>
    <t>Preface to the Focus Section on Arctic and Antarctic Seismology</t>
  </si>
  <si>
    <t>SEISMOLOGICAL RESEARCH LETTERS</t>
  </si>
  <si>
    <t>[Voss, Peter H.] Geol Survey Denmark &amp; Greenland, Copenhagen, Denmark</t>
  </si>
  <si>
    <t>Geological Survey Of Denmark &amp; Greenland</t>
  </si>
  <si>
    <t>myrto.pirli@gmail.com</t>
  </si>
  <si>
    <t>Voss, Peter Henrik/G-4612-2018</t>
  </si>
  <si>
    <t>Voss, Peter Henrik/0000-0002-6689-564X</t>
  </si>
  <si>
    <t>SEISMOLOGICAL SOC AMER</t>
  </si>
  <si>
    <t>ALBANY</t>
  </si>
  <si>
    <t>400 EVELYN AVE, SUITE 201, ALBANY, CA 94706-1375 USA</t>
  </si>
  <si>
    <t>0895-0695</t>
  </si>
  <si>
    <t>1938-2057</t>
  </si>
  <si>
    <t>SEISMOL RES LETT</t>
  </si>
  <si>
    <t>Seismol. Res. Lett.</t>
  </si>
  <si>
    <t>10.1785/0220210163</t>
  </si>
  <si>
    <t>UG8HJ</t>
  </si>
  <si>
    <t>WOS:000689485800001</t>
  </si>
  <si>
    <t>Winter, K; Lombardi, D; Diaz-Moreno, A; Bainbridge, R</t>
  </si>
  <si>
    <t>Winter, Kate; Lombardi, Denis; Diaz-Moreno, Alejandro; Bainbridge, Rupert</t>
  </si>
  <si>
    <t>Monitoring Icequakes in East Antarctica with the Raspberry Shake</t>
  </si>
  <si>
    <t>DRONNING MAUD LAND; BLUE-ICE AREAS; SEISMIC NOISE; SNOW; FIELD</t>
  </si>
  <si>
    <t>We evaluate the performance of the low-cost seismic sensor Raspberry Shake (RS) to identify and monitor icequakes (which occur when glacial ice experiences brittle deformation) in extreme environments. In January 2020, three RS3D sensors were installed on a katabatic wind-scoured blue ice area (BIA) close to the Princess Elisabeth Antarctica research station in Dronning Maud Land, East Antarctica. The sensors were configured for Antarctic deployment and placed in insulated enclosures to protect them from harsh weather systems. The RS network (installed in a triangular array) performed well in the cold and with rapid air temperature change, as diurnal temperatures fluctuated from a high of 0.0 degrees C to a minimum temperature of -15.0 degrees C. Although battery connectivity issues in one unit limit full triangulation of seismic signals, and high background noise may mask some seismic signals, data from the RS2 unit reveals that 2936 icequakes were detected over a 10-day period. The temporal occurrence of these icequakes, combined with satellite-derived surface temperature measurements and automatic weather station data, suggest that diurnal fluctuations in solar radiation control ice surface temperature changes, driving thermal contraction of the ice. Seismic investigations like these can therefore provide information on the thermal state and ice fracture mechanics of ablation zones such as BIAs. Our work highlights the potential application of the RS (after minimal modification) in glaciated environments where equipment often needs to be portable, temporary and lightweight, and able to perform in extreme weather conditions.</t>
  </si>
  <si>
    <t>[Winter, Kate] Northumbria Univ, Dept Geog &amp; Environm Sci Engn &amp; Environm, Newcastle Upon Tyne, Tyne &amp; Wear, England; [Diaz-Moreno, Alejandro] Reynolds Int Ltd, Mold, Flint, England; [Diaz-Moreno, Alejandro; Bainbridge, Rupert] Newcastle Univ, Sch Geog Polit &amp; Sociol, Newcastle Upon Tyne, Tyne &amp; Wear, England</t>
  </si>
  <si>
    <t>Northumbria University; Newcastle University - UK</t>
  </si>
  <si>
    <t>Winter, K (corresponding author), Northumbria Univ, Dept Geog &amp; Environm Sci Engn &amp; Environm, Newcastle Upon Tyne, Tyne &amp; Wear, England.</t>
  </si>
  <si>
    <t>k.winter@northumbria.ac.uk</t>
  </si>
  <si>
    <t>Diaz Moreno, Alejandro/L-5594-2014</t>
  </si>
  <si>
    <t>Diaz Moreno, Alejandro/0000-0003-3288-3728; Winter, Kate/0000-0003-2389-8637; Bainbridge, Rupert/0000-0002-6375-4956</t>
  </si>
  <si>
    <t>Baillet Latour Antarctica Fellowship; ELIS through Belgian Science Policy Contracts [EA/33/2A, EA/33/2B]</t>
  </si>
  <si>
    <t>Baillet Latour Antarctica Fellowship; ELIS through Belgian Science Policy Contracts</t>
  </si>
  <si>
    <t>Antarctic fieldwork was funded by the Baillet Latour Antarctica Fellowship, awarded to Kate Winter in October 2018. The three RS3D sensors were purchased through Northumbria University's Extreme Environments research grant. Staff from the International Polar Foundation at the Princess Elisabeth Antarctica (PEA) research station are thanked for their assistance with the research project and their help to maintain the broadband (BB) seismic station-ELIS. The authors are grateful for the air temperature data provided to them by Konrad Steffen at the Swiss Federal Institute for Forest, Snow and Landscape Research. Konrad Steffen strove to collect meteorological data in the most remote places on Earth during his esteemed research career. The glaciology community acknowledges him for his considerable contribution to Science in polar and alpine regions. The authors thank Thierry Camelbeeck and Thomas Lecocq (Royal Observatory of Belgium [ROB]) for access to the BB seismic data (who in turn acknowledge the financial support of ELIS through Belgian Science Policy Contracts EA/33/2A and EA/33/2B), Maxime Bes de Berc (Institut de physique du globe de Strasbourg [IPGS]) and Robert Anthony (U.S. Geological Survey [USGS]) for the Raspberry Shake (RS) self-noise information, and the RS team for their assistance and encouragement. The authors are grateful for the constant development of the following software packages used in this study: GISMO Seismic Analysis Toolbox (Reyes and West, 2011; Thompson and Reyes, 2018), Matplotlib (Hunter, 2007), Python (python.org), and ObsPy (Beyreuther et al., 2010), and the authors thank the National Aeronautics and Space Administration [NASA]/USGS for the acquisition and free distribution of Landsat 8 images and Quinten Vanhellemont (RBINS) for assistance with ACOLITE. The authors also wish to extend gratitude to Myrto Pirli (Guest Editor) and two anonymous reviewers for their insightful and constructive comments.</t>
  </si>
  <si>
    <t>10.1785/0220200483</t>
  </si>
  <si>
    <t>WOS:000689485800005</t>
  </si>
  <si>
    <t>Linares, MPP; Cravos, C; Laterza, R; Bernardi, P; Comelli, P; Grossi, M; Magrin, A; Pesaresi, D; Sandron, D; Santulin, M; Sugan, M; Vuan, A; Parolai, S</t>
  </si>
  <si>
    <t>Linares, Milton Percy Plasencia; Cravos, Claudio; Laterza, Roberto; Bernardi, Paolo; Comelli, Paolo; Grossi, Maurizio; Magrin, Andrea; Pesaresi, Damiano; Sandron, Denis; Santulin, Marco; Sugan, Monica; Vuan, Alessandro; Parolai, Stefano</t>
  </si>
  <si>
    <t>The Antarctic Seismographic Argentinean Italian Network (ASAIN): Recording Earthquakes in the Scotia Sea Region</t>
  </si>
  <si>
    <t>GROUP-VELOCITY TOMOGRAPHY; STRUCTURE BENEATH; BRANSFIELD STRAIT; WEST ANTARCTICA; WAVE; CRUSTAL; INVERSION; OBSPY</t>
  </si>
  <si>
    <t>The Antarctic Seismographic Argentinean Italian Network (ASAIN) is a permanent broad-band seismic network that has operated since 1995 in the Scotia Sea region, the Antarctic peninsula, and the polar area. It was deployed and is managed in the framework of cooperation between the National Institute of Oceanography and Applied Geophysics and Direccion Nacional del Antartico-Instituto Antartico Argentino and is financially supported by the Programma Nazionale di Ricerca in Antartide. The network consists of seven seismological stations with broadband sensors. ASAIN provides data to Incorporated Research Institutions for Seismology, Observatories and Research Facilities for European Seismology, and GEOFOrschungsNetz. It improves the worldwide seismic net-works' detection capabilities and contributes to refining regional earthquake locations released by the U.S. Geological Survey. The proximity of the seismic stations to the Antarctic continent and their continuous operation in the long term also allows for having a privileged observatory on the ice-related seismicity along the Antarctica peninsula. In this article, we discuss the historical development of ASAIN, its current configu-ration, and the main characteristics of the seismic stations. Finally, we also provide information on the ASAIN data exchange and the contribution to the scientific research in Antarctica.</t>
  </si>
  <si>
    <t>[Linares, Milton Percy Plasencia; Cravos, Claudio; Laterza, Roberto; Bernardi, Paolo; Comelli, Paolo; Grossi, Maurizio; Magrin, Andrea; Pesaresi, Damiano; Sandron, Denis; Santulin, Marco; Sugan, Monica; Vuan, Alessandro; Parolai, Stefano] Natl Inst Oceanog &amp; Appl Geophys OGS, Borgo Grotta Gigante, Italy</t>
  </si>
  <si>
    <t>Magrin, A (corresponding author), Natl Inst Oceanog &amp; Appl Geophys OGS, Borgo Grotta Gigante, Italy.</t>
  </si>
  <si>
    <t>amagrin@inogs.it</t>
  </si>
  <si>
    <t>SANDRON, Denis/ABD-3338-2020; Vuan, Alessandro/GLR-3168-2022; Parolai, Stefano/HTS-8267-2023; Parolai, Stefano/AGZ-3980-2022; Pesaresi, Damiano/AAY-7841-2020</t>
  </si>
  <si>
    <t>SANDRON, Denis/0000-0002-1143-9954; Pesaresi, Damiano/0000-0002-4411-7281; Sugan, Monica/0000-0002-1247-3193; Bernardi, Paolo/0000-0002-4005-3102; Santulin, Marco/0000-0002-8068-1218; MAGRIN, ANDREA/0000-0002-7017-0529; PLASENCIA LINARES, Milton Percy/0000-0002-6218-8411; Parolai, Stefano/0000-0002-9084-7488</t>
  </si>
  <si>
    <t>Italian Programma Nazionale di Ricerche in Antartide (PNRA) [PdR_14_0028]</t>
  </si>
  <si>
    <t>Italian Programma Nazionale di Ricerche in Antartide (PNRA)</t>
  </si>
  <si>
    <t>This research has been funded by the Italian Programma Nazionale di Ricerche in Antartide (PNRA) within the framework of the project PdR_14_0028 Rete sismografica antartica a larga banda nella regione del mare di Scotia e aree limitrofe, and PEA 2011-2013 Manutenzione straordinaria e upgrade della Rete degli Osservatori Permanenti. The authors are especially grateful to Marino Russi, who from 1992 to 2011 looked after in an excellent way the growth and development of the Antarctic Seismographic Argentinean Italian Network (ASAIN) . The authors acknowledge the scientific and logistic support of Direccion Nacional del Antartico (DNA) -Instituto Antartico Argentino (IAA) and the fundamental role of the Armada, Ejercito, and Fuerza Aerea Argentina personnel in creating and maintaining the proper operating conditions for the ASAIN stations in the Antarctic bases.</t>
  </si>
  <si>
    <t>10.1785/0220200484</t>
  </si>
  <si>
    <t>WOS:000689485800006</t>
  </si>
  <si>
    <t>Aster, RC; Lipovsky, BP; Cole, HM; Bromirski, PD; Gerstoft, P; Nyblade, A; Wiens, DA; Stephen, R</t>
  </si>
  <si>
    <t>Aster, Richard C.; Lipovsky, Bradley P.; Cole, Hank M.; Bromirski, Peter D.; Gerstoft, Peter; Nyblade, Andrew; Wiens, Douglas A.; Stephen, Ralph</t>
  </si>
  <si>
    <t>Swell-Triggered Seismicity at the Near-Front Damage Zone of the Ross Ice Shelf</t>
  </si>
  <si>
    <t>INFRAGRAVITY WAVES; RIFT PROPAGATION; ICEBERGS; SURFACE; NOISE; EARTHQUAKE; MECHANICS; TSUNAMIS; GLACIERS; TREMOR</t>
  </si>
  <si>
    <t>Ocean swell interacting with Antarctic ice shelves produces sustained (approximately, 2 x 106 cycles per year) gravity-elastic perturbations with deformation amplitudes near the ice front as large as tens to hundreds of nanostrain. This process is the most energetically excited during the austral summer, when sea ice-induced swell attenuation is at a minimum. A 2014-2017 deployment of broadband seismographs on the Ross Ice shelf, which included three stations sited, approximately, 2 km from the ice front, reveals prolific swell-associated triggering of discrete near-ice-front (magnitude greater than or similar to 0) seismic subevents, for which we identify three generic types. During some strong swell episodes, subevent timing becomes sufficiently phase-locked with swell excitation, to create prominent harmonic features in spectra calculated across sufficiently lengthy time windows via a Dirac comb effect, for which we articulate a theoretical development for randomized interevent times. These events are observable at near-front stations, have dominant frequency content between 0.5 and 20 Hz, and, in many cases, show highly repetitive waveforms. Matched filtering detection and analysis shows that events occur at a low-background rate during all swell states, but become particularly strongly excited during large amplitude swell at rates of up to many thousands per day. The superimposed elastic energy from swell-triggered sources illuminates the shelf interior as extensional (elastic plate) Lamb waves that are observable more than 100 km from the ice edge. Seismic swarms show threshold excitation and hysteresis with respect to rising and falling swell excitation. This behavior is consistent with repeated seismogenic fracture excitation and growth within a near-ice-front damage zone, encompassing fracture features seen in satellite imagery. A much smaller population of distinctly larger near-front seismic events, previously noted to be weakly associated with extended periods of swell perturbation, likely indicate calving or other larger-scale ice failures near the shelf front.</t>
  </si>
  <si>
    <t>[Aster, Richard C.; Cole, Hank M.] Colorado State Univ, Warner Coll Nat Resources, Geosci Dept, Ft Collins, CO 80523 USA; [Lipovsky, Bradley P.] Univ Washington, Dept Earth &amp; Space Sci, Seattle, WA USA; [Bromirski, Peter D.; Gerstoft, Peter] Univ Calif San Diego, Scripps Inst Oceanog, San Diego, CA USA; [Nyblade, Andrew] Penn State Univ, Dept Geosci, University Pk, PA 16802 USA; [Wiens, Douglas A.] Washington Univ, Dept Earth &amp; Planetary Sci, St Louis, MO 63130 USA; [Stephen, Ralph] Woods Hole Oceanog Inst, Woods Hole, MA 02543 USA</t>
  </si>
  <si>
    <t>Colorado State University; University of Washington; University of Washington Seattle; University of California System; University of California San Diego; Scripps Institution of Oceanography; Pennsylvania Commonwealth System of Higher Education (PCSHE); Pennsylvania State University; Pennsylvania State University - University Park; Washington University (WUSTL); Woods Hole Oceanographic Institution</t>
  </si>
  <si>
    <t>Aster, RC (corresponding author), Colorado State Univ, Warner Coll Nat Resources, Geosci Dept, Ft Collins, CO 80523 USA.</t>
  </si>
  <si>
    <t>rick.aster@colostate.edu</t>
  </si>
  <si>
    <t>Aster, Richard/E-5067-2013; Wiens, Douglas A/J-9259-2016; Gerstoft, Peter/B-2842-2009</t>
  </si>
  <si>
    <t>Aster, Richard/0000-0002-0821-4906; Gerstoft, Peter/0000-0002-0471-062X</t>
  </si>
  <si>
    <t>National Science Foundation (NSF) [EAR-1261681, PLR-1142518, PLR-1141916, PLR-1142126, PLR-1246151, PLR-1246416, PLR-1853896]; California Department of Parks and Recreation, Division of Boating and Waterways [11-106-107]; U.S. Department of Energy (DOE) National Nuclear Security Administration</t>
  </si>
  <si>
    <t>National Science Foundation (NSF)(National Science Foundation (NSF)); California Department of Parks and Recreation, Division of Boating and Waterways; U.S. Department of Energy (DOE) National Nuclear Security Administration(National Nuclear Security AdministrationUnited States Department of Energy (DOE))</t>
  </si>
  <si>
    <t>This research was supported by the National Science Foundation (NSF) Grant Numbers PLR-1142518, 1141916, 1142126, 1246151, 1246416, and 1853896. Peter D. Bromirski also received support from the California Department of Parks and Recreation, Division of Boating and Waterways, under Contract Number 11-106-107. The authors thank Reinhard Flick and Patrick Shore for their support dur-ing field work, Tom Bolmer in preparing maps, and the U.S. AntarcticProgram for logistical support. The facilities of the Incorporated Research Institutions for Seismology (IRIS) Consortium are sup-ported by the National Science Foundation (NSF) under Cooperative Agreement EAR-1261681 and the U.S. Department of Energy (DOE) National Nuclear Security Administration.</t>
  </si>
  <si>
    <t>10.1785/0220200478</t>
  </si>
  <si>
    <t>WOS:000689485800008</t>
  </si>
  <si>
    <t>Motoyama, H; Takahashi, A; Tanaka, Y; Shinbori, K; Miyahara, M; Yoshimoto, T; Fujii, Y; Furusaki, A; Azuma, N; Ozawa, Y; Kobayashi, A; Yoshise, Y</t>
  </si>
  <si>
    <t>Motoyama, Hideaki; Takahashi, Akiyoshi; Tanaka, Yoichi; Shinbori, Kunio; Miyahara, Morihiro; Yoshimoto, Takayasu; Fujii, Yoshiyuki; Furusaki, Atsushi; Azuma, Nobuhiko; Ozawa, Yukio; Kobayashi, Akio; Yoshise, Yasushi</t>
  </si>
  <si>
    <t>Deep ice core drilling to a depth of 3035.22 m at Dome Fuji, Antarctica in 2001-07</t>
  </si>
  <si>
    <t>Antarctic glaciology; ice coring; ice engineering</t>
  </si>
  <si>
    <t>PROJECT; DESIGN</t>
  </si>
  <si>
    <t>The Japanese second deep ice coring project was carried out at Dome Fuji, Antarctica. Following the drilling of the pilot hole in 2001, deep ice core drilling led by the Japanese Antarctic Research Expedition (JARE) was conducted over four austral summer seasons, beginning with the 2003/04 season and reached a depth of 3035.22 m near the bedrock in January 2007. The new drill was designed and developed with the goals of (1) solving the problems encountered during the first JARE deep coring drill and (2) achieving more efficient drilling. In particular, the maximum core length that can be drilled at one time was increased from 2.30 m to 3.84 m and the chip storage efficiency was enhanced by a special pipe with many small holes. This paper gives an outline of the improved drilling system, the progress of drilling and various drilling data.</t>
  </si>
  <si>
    <t>[Motoyama, Hideaki; Fujii, Yoshiyuki] Natl Inst Polar Res, 10-3 Midori Cho, Tachikawa, Tokyo 1908518, Japan; [Motoyama, Hideaki] Grad Univ Adv Studies, Dept Polar Sci, SOKENDAI, 10-3 Midori Cho, Tachikawa, Tokyo 1908518, Japan; [Takahashi, Akiyoshi] Geo Tecs Co Ltd, Obihiro, Hokkaido, Japan; [Tanaka, Yoichi] Geosyst Inc, Oshidate 4-11-20, Fuchu, Tokyo 1830012, Japan; [Shinbori, Kunio] Hokkaido Univ, Inst Low Temp Sci, Kita Ku, Kita 19,Nishi 8, Sapporo, Hokkaido 0600819, Japan; [Miyahara, Morihiro] Anori Inc, 1-43-401 Ohamacho, Nishinomiya, Hyogo 6620957, Japan; [Yoshimoto, Takayasu] IOK Kyushu Olympia Kogyo Co Ltd, Kunitomi, Miyazaki 8801106, Japan; [Furusaki, Atsushi] Asahikawa Natl Coll Technol, 2-1-6,2 Jou, Asahikawa, Hokkaido 0718142, Japan; [Azuma, Nobuhiko] Nagaoka Univ Technol, 1603-1 Kamitomioka, Nagaoka, Niigata 9402188, Japan; [Ozawa, Yukio] OhTEC Elect, Uehatta 140-41, Minami Alps, Yamanashi 4000215, Japan; [Kobayashi, Akio; Yoshise, Yasushi] Kyushu Olympia Kogyo Co Ltd, Kunitomi, Miyazaki 8801106, Japan</t>
  </si>
  <si>
    <t>Research Organization of Information &amp; Systems (ROIS); National Institute of Polar Research (NIPR) - Japan; Graduate University for Advanced Studies - Japan; Hokkaido University; Nagaoka University of Technology</t>
  </si>
  <si>
    <t>Motoyama, H (corresponding author), Natl Inst Polar Res, 10-3 Midori Cho, Tachikawa, Tokyo 1908518, Japan.;Motoyama, H (corresponding author), Grad Univ Adv Studies, Dept Polar Sci, SOKENDAI, 10-3 Midori Cho, Tachikawa, Tokyo 1908518, Japan.</t>
  </si>
  <si>
    <t>motoyama@nipr.ac.jp</t>
  </si>
  <si>
    <t>10.1017/aog.2020.84</t>
  </si>
  <si>
    <t>WOS:000756851600004</t>
  </si>
  <si>
    <t>Golubev, S</t>
  </si>
  <si>
    <t>Golubev, Sergey</t>
  </si>
  <si>
    <t>Seabirds in Conditions of Local Chronic Oil Pollution, Davis Sea, Antarctica</t>
  </si>
  <si>
    <t>BIRDS</t>
  </si>
  <si>
    <t>oil; fuel; spills; pollution; seabirds; penguins; Mirny; Haswell archipelago; Antarctica</t>
  </si>
  <si>
    <t>BAHIA-PARAISO; PENGUINS; SPILL</t>
  </si>
  <si>
    <t>Simple Summary Oil spills are rare in Antarctica. They happen in the ocean and on land. The purpose of the study is to determine the total number of seabird species interacting with oil at the Mirny Station and around it, to assess the extent of pollution and to identify the most important sites of interaction. Observations carried out at the beginning of the 21st century at the Mirny Station revealed significant oil pollution in its territory. This pollution had affected the coastal ecosystem for more than 60 years. Five bird species were found to have been in contact with oil. The least affected by pollution were Wilson's Storm Petrels (Oceanites oceanicus) and skuas. Most petrels did not interact with oil. Adelie (Pygoscelis adeliae) and Macaroni (Eudyptes chrysolophus) penguins were found to be vulnerable to oil pollution. Hot spots have been identified where penguins' interactions with oil occur most frequently. Mechanical cleaning of rocks in hot spots can reduce the impact of pollution on local fauna. This information can be useful in assessing the health status of marine vertebrate populations and in preserving the marine biodiversity of Antarctic ecosystems.Abstract Oil spills are rare in Antarctica. They threaten flying birds and penguins. This is the first report on the interactions of seabirds with oil in the area of the Mirny Station (East Antarctica). The purpose of the study is to determine the total number of seabird species interacting with oil in and around the Mirny Station, to assess the extent of pollution and to identify the most important sites of interactions. Oil pollution is found on the ground, on the continental ice and, on the seawater surface, both directly in the Mirny and beyond. Five species of seabirds were in contact with oil. Oil pollution threats have been identified for breeding and molting Adelie Penguins (Pygoscelis adeliae) and vagrant Macaroni Penguins (Eudyptes chrysolophus). Less affected by oil pollution during the breeding season were tube-nosed bird species and skuas. The most important places of interaction of seabirds with oil are at Cape Mabus, on the islands of Zykov, Tokarev, and Stroiteley. Evidence of long-term oil pollution of the environment is indicative of the chronic nature of the impacts on the coastal ecosystem.</t>
  </si>
  <si>
    <t>[Golubev, Sergey] Russian Acad Sci, Papanin Inst Biol Inland Waters, Borok,Nekouzskii Raion, Yaroslavl 152742, Russia</t>
  </si>
  <si>
    <t>Papanin Institute for Biology of Inland Waters; Russian Academy of Sciences</t>
  </si>
  <si>
    <t>Golubev, S (corresponding author), Russian Acad Sci, Papanin Inst Biol Inland Waters, Borok,Nekouzskii Raion, Yaroslavl 152742, Russia.</t>
  </si>
  <si>
    <t>gol_arctic@mail.ru</t>
  </si>
  <si>
    <t>Sergey, Golubev/0000-0003-4306-9190</t>
  </si>
  <si>
    <t>2673-6004</t>
  </si>
  <si>
    <t>BIRDS-BASEL</t>
  </si>
  <si>
    <t>Birds</t>
  </si>
  <si>
    <t>10.3390/birds2030020</t>
  </si>
  <si>
    <t>Z0RE5</t>
  </si>
  <si>
    <t>WOS:001109233100001</t>
  </si>
  <si>
    <t>Botsa, SM; Dllm, T; Magesh, NS; Tiwari, AK</t>
  </si>
  <si>
    <t>Botsa, Sathish Mohan; Dllm, Tara; Magesh, N. S.; Tiwari, Anoop Kumar</t>
  </si>
  <si>
    <t>Characterization of black carbon aerosols over Indian Antarctic station, Maitri and identification of potential source areas</t>
  </si>
  <si>
    <t>PARTICULATE MATTER; CHANGING ASSESSMENT; PUBLIC-HEALTH; AIR; AETHALOMETER; INSTRUMENT; COMPONENTS; ABSORPTION; TRANSPORT; QUALITY</t>
  </si>
  <si>
    <t>With the advent of industrialization, aerosol pollutants have gained global attention for being a formidable threat to the human health and climate change. These pollutants travel via long range transportation to the far reaches of the Earth, wreaking havoc. Black carbon (BC) depositories have repercussions in snow and ice profiles such as alterations in ablation and albedo processes leading to accelerated ice melting rates. In the present study, atmospheric BC aerosol concentrations were measured at 'Maitri', the Indian Polar research station situated in Schirmacher Hills, East Antarctica during the austral summer of December 2018 to February 2019 on behalf of the XXXVIII Indian Scientific Expedition to Antarctica (ISEA). For that, an AE42 Aethalometer was used and found a maximum concentration of 82 ng m(-3) for BC aerosol between a timeline of 09.00 and 13.00 LT in the month of February, 2019 whereas a minimum concentration of 37 ng m(-3) in the timeline of 21.00-22.00 LT, Dec 2018, with the mean of 60 ng m(-3) being observed throughout the study period. The potential source areas (Patagonia, Australia, New Zealand and South Africa) were examined to study the source of long-range transport of BC to Maitri by backward and forward trajectory analyses. The trajectory analysis confirmed that Patagonia is a definitive BC origin in addition to the day-to-day station related activities. The influence of meteorological parameters on BC aerosols at Maitri was also studied and correlation analysis stated that BC has a negative alliance with RH, temperature and pressure except wind speed denoting meteorological conditions as a driver of spatio-temporal variation of BC.</t>
  </si>
  <si>
    <t>[Botsa, Sathish Mohan; Dllm, Tara; Magesh, N. S.; Tiwari, Anoop Kumar] Minist Earth Sci, Natl Ctr Polar &amp; Ocean Res, Vasco Da Gama 403804, Goa, India</t>
  </si>
  <si>
    <t>Botsa, SM; Tiwari, AK (corresponding author), Minist Earth Sci, Natl Ctr Polar &amp; Ocean Res, Vasco Da Gama 403804, Goa, India.</t>
  </si>
  <si>
    <t>anooptiwari@ncpor.res.in</t>
  </si>
  <si>
    <t>TIWARI, ANOOP KUMAR/AAY-8915-2021; Magesh, N. S./C-3549-2013</t>
  </si>
  <si>
    <t>Magesh, N. S./0000-0002-9335-9156</t>
  </si>
  <si>
    <t>National Centre for Polar and Ocean Research, Ministry of Earth Sciences</t>
  </si>
  <si>
    <t>We would like to thank Dr Muthalagu Ravichandran, the Director of National Centre for Polar and Ocean Research, Ministry of Earth Sciences for his support and permission to participate in XXXVIII-Indian Scientific Expedition to Antarctica during the austral summer period of 2018-19. This is the NCPOR contribution number J-28/2021-22.</t>
  </si>
  <si>
    <t>10.1039/d1ea00024a</t>
  </si>
  <si>
    <t>5L9CQ</t>
  </si>
  <si>
    <t>WOS:000870705700007</t>
  </si>
  <si>
    <t>Webb, DJ; Spence, P; Holmes, RM; England, MH</t>
  </si>
  <si>
    <t>Webb, D. J.; Spence, P.; Holmes, R. M.; England, M. H.</t>
  </si>
  <si>
    <t>Planetary-Wave-Induced Strengthening of the AMOC Forced by Poleward Intensified Southern Hemisphere Westerly Winds</t>
  </si>
  <si>
    <t>Ocean dynamics; Planetary waves; Teleconnections; Thermocline circulation; Meridional overturning circulation; Southern Ocean; Annular mode</t>
  </si>
  <si>
    <t>MERIDIONAL OVERTURNING CIRCULATION; BUOYANCY FORCES; OCEAN; VARIABILITY; CLIMATE; ADJUSTMENT; BOUNDARY</t>
  </si>
  <si>
    <t>The Atlantic meridional overturning circulation (AMOC) plays a key role in determining the distribution of heat and nutrients in the global ocean. Climate models suggest that Southern Ocean winds will strengthen and shift poleward in the future, which could have implications for future AMOC trends. Using a coupled global-ocean sea ice model at 1/4 degrees horizontal resolution, we study the response of the North Atlantic overturning to two anomalous Southern Ocean wind-forcing scenarios; namely, a strengthening (tau(+15%)) and a poleward intensification (tau(4)degrees(+15%)(S)). In both scenarios, a strengthening in the North Atlantic overturning develops within a decade, with a much stronger response in the tau(4)degrees(+15%)(S)case. In tau(4)degrees(+15%)(S), we find that the primary link between the North Atlantic response and the Southern Ocean forcing is via the propagation of baroclinic waves. In fact, due to the rapid northward propagation of these waves, changes in the AMOC in the tau(4)degrees(+15%)(S) case appear to originate in the North Atlantic and propagate southward, whereas in the tau(+15% )case AMOC anomalies propagate northward from the Southern Ocean. We find the difference to be predominately caused by the sign of the baroclinic waves propagating from the forcing region into the North Atlantic: down-welling in the tau(4)degrees(+15%)(S) case versus upwelling in the tau(+15%) case. In the tau(4)degrees(+15%)(S) case, upwelling waves propagate into the NADW formation regions along shelfslope topography bringing dense water to the surface. This reduces vertical density gradients leading to deeper wintertime convective overturn of surface waters and an intensification of the AMOC.</t>
  </si>
  <si>
    <t>[Webb, D. J.; Holmes, R. M.; England, M. H.] Univ New South Wales, Climate Change Res Ctr, Sydney, NSW, Australia; [Spence, P.] Univ Sydney, Sch Geosci, Sydney, NSW, Australia; [Holmes, R. M.] Univ New South Wales, Sch Math &amp; Stat, Sydney, NSW, Australia; [England, M. H.] Univ New South Wales, Australian Ctr Excellence Antarctic Sci, Sydney, NSW, Australia</t>
  </si>
  <si>
    <t>University of New South Wales Sydney; University of Sydney; University of New South Wales Sydney; University of New South Wales Sydney</t>
  </si>
  <si>
    <t>Webb, DJ (corresponding author), Univ New South Wales, Climate Change Res Ctr, Sydney, NSW, Australia.</t>
  </si>
  <si>
    <t>d.webb@unsw.edu.au</t>
  </si>
  <si>
    <t>Spence, Paul/IZE-7366-2023; England, Matthew/A-7539-2011; Holmes, Ryan/J-3024-2019</t>
  </si>
  <si>
    <t>Spence, Paul/0000-0001-5156-2204; England, Matthew/0000-0001-9696-2930; Holmes, Ryan/0000-0002-6799-9109; Webb, David/0000-0001-5847-7002</t>
  </si>
  <si>
    <t>Australian Research Council [FT190100413, CE170100023, DP190100494]; Centre for Southern Hemisphere Oceans Research (CSHOR); QNLM; CSIRO; UNSW; UTAS; Australian Research Council [FT190100413] Funding Source: Australian Research Council</t>
  </si>
  <si>
    <t>Australian Research Council(Australian Research Council); Centre for Southern Hemisphere Oceans Research (CSHOR); QNLM; CSIRO(Commonwealth Scientific &amp; Industrial Research Organisation (CSIRO)); UNSW; UTAS; Australian Research Council(Australian Research Council)</t>
  </si>
  <si>
    <t>This study was supported by the Australian Research Council (Grants FT190100413, CE170100023, DP190100494), and the Centre for SouthernHemisphereOceans Research (CSHOR), a joint research center between QNLM, CSIRO, UNSW, and UTAS. Thanks to T. Beuzen, S. Keating, and A. Hogg for their contributions in the initial stages of this study. We also thank the Australian National Computing Infrastructure for computational support.</t>
  </si>
  <si>
    <t>10.1175/JCLI-D-20-0858.1</t>
  </si>
  <si>
    <t>WOS:000752587000008</t>
  </si>
  <si>
    <t>Xu, S; Vadas, SL; Yue, J</t>
  </si>
  <si>
    <t>Xu, Shuang; Vadas, Sharon L.; Yue, Jia</t>
  </si>
  <si>
    <t>Thermospheric Traveling Atmospheric Disturbances in Austral Winter From GOCE and CHAMP</t>
  </si>
  <si>
    <t>traveling atmospheric disturbance; gravity waves; thermosphere; secondary wave generation</t>
  </si>
  <si>
    <t>GENERATED GRAVITY-WAVES; IONOSPHERIC DISTURBANCES; SATELLITE-OBSERVATIONS; F-REGION; DEEP CONVECTION; BODY FORCES; HF DOPPLER; MIDDLE; DISSIPATION; MODEL</t>
  </si>
  <si>
    <t>In this study, we analyze the thermospheric density data provided by the Gravity Field and Steady-State Ocean Circulation Explorer during June-August 2010-2013 at similar to 260 km altitude and the Challenging Minisatellite Payload during June-August 2004-2007 at similar to 370 km altitude to study high latitude traveling atmospheric disturbances (TADs) in austral winter. We extract the TADs along the satellite tracks from the density for varying Kp, and linearly extrapolate the TAD distribution to Kp = 0; we call these the geomagnetic quiet time results here. We find that the quiet time spatial distribution of TADs depends on the spatial scale (along-track horizontal wavelength lambda track) and altitude. At z similar to 260 km, TADs with lambda track &lt;= 330 km are seen mainly around and slightly downstream of the Southern Andes-Antarctic region, while TADs with lambda track &gt; 800 km are distributed fairly evenly around the geographic South pole at latitudes &gt;= 60 degrees S. At z similar to 370 km, TADs with lambda track &lt;= 330 km are relatively weak and are distributed fairly evenly over Antarctica, while TADs with lambda track &gt; 330 km make up a bipolar distribution. For the latter, the larger size lobe is centered at similar to 60 degrees S, and is located around, downstream and somewhat upstream of the Andes/Antarctic Peninsula, while the smaller lobe is located over the Antarctic continent at 90 degrees-150 degrees E. We also find that the TAD morphology for Kp &gt;= 2 and lambda track &gt; 330 km depends strongly on geomagnetic activity, likely due to auroral activity, with greatly enhanced TAD amplitudes with increasing Kp.</t>
  </si>
  <si>
    <t>[Xu, Shuang] Hampton Univ, Dept Atmospher &amp; Planetary Sci, Hampton, VA 23668 USA; [Vadas, Sharon L.] Northwest Res Associates, Boulder, CO USA; [Yue, Jia] Catholic Univ Amer, Dept Phys, Washington, DC 20064 USA; [Yue, Jia] NASA, Goddard Space Flight Ctr, Greenbelt, MD USA</t>
  </si>
  <si>
    <t>Hampton University; NorthWest Research Associates; Catholic University of America; National Aeronautics &amp; Space Administration (NASA); NASA Goddard Space Flight Center</t>
  </si>
  <si>
    <t>Xu, S (corresponding author), Hampton Univ, Dept Atmospher &amp; Planetary Sci, Hampton, VA 23668 USA.</t>
  </si>
  <si>
    <t>shuang.xu@my.hamptonu.edu</t>
  </si>
  <si>
    <t>Yue, Jia/D-8177-2011</t>
  </si>
  <si>
    <t>Yue, Jia/0000-0003-0577-5289; Xu, Shuang/0000-0002-1221-5338; Xu, Shuang/0000-0001-9063-4004</t>
  </si>
  <si>
    <t>NSF [AGS-1832988, AGS-1651394, AGS-1834222]; NASA [80NSSC19K0836, 80NSSC20K0628]</t>
  </si>
  <si>
    <t>S. Xu and S.L. Vadas were supported by NSF Grant AGS-1832988 and by NASA grants 80NSSC19K0836 and 80NSSC20K0628. J. Yue was supported by NSF grants AGS-1651394, AGS-1834222 and by NASA AIM and 80NSSC20K0628. S. Xu would like to thank Dr. James M. Russell III, Dr. Christian Siemes, Dr. Huixin Liu, Dr. Wenbin Wang and Simin Zhang for helpful discussions.</t>
  </si>
  <si>
    <t>e2021JA029335</t>
  </si>
  <si>
    <t>10.1029/2021JA029335</t>
  </si>
  <si>
    <t>WOS:000702340700002</t>
  </si>
  <si>
    <t>Kapun, M; Nunez, JCB; Bogaerts-Márquez, M; Murga-Moreno, J; Paris, M; Outten, J; Coronado-Zamora, M; Tern, C; Rota-Stabelli, O; Guerreiro, MPG; Casillas, S; Orengo, DJ; Puerma, E; Kankare, M; Ometto, L; Loeschcke, V; Onder, BS; Abbott, JK; Schaeffer, SW; Rajpurohit, S; Behrman, EL; Schou, MF; Merritt, TJS; Lazzaro, BP; Glaser-Schmitt, A; Argyridou, E; Staubach, F; Wang, Y; Tauber, E; Serga, SV; Fabian, DK; Dyer, KA; Wheat, CW; Parsch, J; Grath, S; Veselinovic, MS; Stamenkovic-Radak, M; Jelic, M; Buendía-Ruíz, AJ; Gómez-Julián, MJ; Espinosa-Jimenez, ML; Gallardo-Jiménez, FD; Patenkovic, A; Eric, K; Tanaskovic, M; Ullastres, A; Guio, L; Merenciano, M; Guirao-Rico, S; Horváth, V; Obbard, DJ; Pasyukova, E; Alatortsev, VE; Vieira, CP; Vieira, J; Torres, JR; Kozeretska, I; Maistrenko, OM; Montchamp-Moreau, C; Mukha, DV; Machado, HE; Lamb, K; Paulo, T; Yusuf, L; Barbadilla, A; Petrov, D; Schmidt, P; Gonzalez, J; Flatt, T; Bergland, AO</t>
  </si>
  <si>
    <t>Kapun, Martin; Nunez, Joaquin C. B.; Bogaerts-Marquez, Maria; Murga-Moreno, Jesus; Paris, Margot; Outten, Joseph; Coronado-Zamora, Marta; Tern, Courtney; Rota-Stabelli, Omar; Guerreiro, Maria P. Garcia; Casillas, Sonia; Orengo, Dorcas J.; Puerma, Eva; Kankare, Maaria; Ometto, Lino; Loeschcke, Volker; Onder, Banu S.; Abbott, Jessica K.; Schaeffer, Stephen W.; Rajpurohit, Subhash; Behrman, Emily L.; Schou, Mads F.; Merritt, Thomas J. S.; Lazzaro, Brian P.; Glaser-Schmitt, Amanda; Argyridou, Eliza; Staubach, Fabian; Wang, Yun; Tauber, Eran; Serga, Svitlana, V; Fabian, Daniel K.; Dyer, Kelly A.; Wheat, Christopher W.; Parsch, John; Grath, Sonja; Veselinovic, Marija Savic; Stamenkovic-Radak, Marina; Jelic, Mihailo; Buendia-Ruiz, Antonio J.; Gomez-Julian, Maria Josefa; Espinosa-Jimenez, Maria Luisa; Gallardo-Jimenez, Francisco D.; Patenkovic, Aleksandra; Eric, Katarina; Tanaskovic, Marija; Ullastres, Anna; Guio, Lain; Merenciano, Miriam; Guirao-Rico, Sara; Horvath, Vivien; Obbard, Darren J.; Pasyukova, Elena; Alatortsev, Vladimir E.; Vieira, Cristina P.; Vieira, Jorge; Torres, Jorge Roberto; Kozeretska, Iryna; Maistrenko, Oleksandr M.; Montchamp-Moreau, Catherine; Mukha, Dmitry, V; Machado, Heather E.; Lamb, Keric; Paulo, Tania; Yusuf, Leeban; Barbadilla, Antonio; Petrov, Dmitri; Schmidt, Paul; Gonzalez, Josefa; Flatt, Thomas; Bergland, Alan O.</t>
  </si>
  <si>
    <t>Drosophila Evolution over Space and Time (DEST): A New Population Genomics Resource</t>
  </si>
  <si>
    <t>MOLECULAR BIOLOGY AND EVOLUTION</t>
  </si>
  <si>
    <t>Drosophila melanogaster; population genomics; SNPs; evolution; adaptation; demography</t>
  </si>
  <si>
    <t>MELANOGASTER POPULATIONS; DEMOGRAPHIC HISTORY; LIFE-HISTORY; ADAPTIVE DIFFERENTIATION; NUCLEOTIDE POLYMORPHISM; EUROPEAN ADMIXTURE; GENETIC-VARIATION; CLINAL VARIATION; REFERENCE PANEL; WIDE PATTERNS</t>
  </si>
  <si>
    <t>Drosophila melanogaster is a leading model in population genetics and genomics, and a growing number of whole-genome data sets from natural populations of this species have been published over the last years. A major challenge is the integration of disparate data sets, often generated using different sequencing technologies and bioinformatic pipelines, which hampers our ability to address questions about the evolution of this species. Here we address these issues by developing a bioinformatics pipeline that maps pooled sequencing (Pool-Seq) reads from D. melanogaster to a hologenome consisting of fly and symbiont genomes and estimates allele frequencies using either a heuristic (PoolSNP) or a probabilistic variant caller (SNAPE-pooled). We use this pipeline to generate the largest data repository of genomic data available for D. melanogaster to date, encompassing 271 previously published and unpublished population samples from over 100 locations in &gt;20 countries on four continents. Several of these locations have been sampled at different seasons across multiple years. This data set, which we call Drosophila Evolution over Space and Time (DEST), is coupled with sampling and environmental metadata. A web-based genome browser and web portal provide easy access to the SNP data set. We further provide guidelines on how to use Pool-Seq data for model-based demographic inference. Our aim is to provide this scalable platform as a community resource which can be easily extended via future efforts for an even more extensive cosmopolitan data set. Our resource will enable population geneticists to analyze spatiotemporal genetic patterns and evolutionary dynamics of D. melanogaster populations in unprecedented detail.</t>
  </si>
  <si>
    <t>[Kapun, Martin] Univ Zurich, Dept Evolutionary Biol &amp; Environm Studies, Zurich, Switzerland; [Kapun, Martin] Med Univ Vienna, Ctr Anat &amp; Cell Biol, Dept Cell &amp; Dev Biol, Vienna, Austria; [Nunez, Joaquin C. B.; Outten, Joseph; Tern, Courtney; Lamb, Keric; Bergland, Alan O.] Univ Virginia, Dept Biol, Charlottesville, VA 22904 USA; [Bogaerts-Marquez, Maria; Coronado-Zamora, Marta; Ullastres, Anna; Guio, Lain; Merenciano, Miriam; Guirao-Rico, Sara; Horvath, Vivien; Gonzalez, Josefa] Univ Pompeu Fabra, Inst Evolutionary Biol, CSIC, Barcelona, Spain; [Murga-Moreno, Jesus; Guerreiro, Maria P. Garcia; Casillas, Sonia; Barbadilla, Antonio] Univ Autonoma Barcelona, Dept Genet &amp; Microbiol, Barcelona, Spain; [Murga-Moreno, Jesus; Casillas, Sonia; Barbadilla, Antonio] Univ Autonoma Barcelona, Inst Biotechnol &amp; Biomed, Barcelona, Spain; [Paris, Margot; Flatt, Thomas] Univ Fribourg, Dept Biol, Fribourg, Switzerland; [Rota-Stabelli, Omar] Univ Trento, Ctr Agr Food Environm, San Michele All Adige, Italy; [Orengo, Dorcas J.; Puerma, Eva] Univ Barcelona, Fac Biol, Dept Genet Microbiol &amp; Estat, Barcelona, Spain; [Orengo, Dorcas J.; Puerma, Eva] Univ Barcelona, Inst Recerca Biodiversitat IRBio, Barcelona, Spain; [Kankare, Maaria] Univ Jyvaskyla, Dept Biol &amp; Environm Sci, Jyvaskyla, Finland; [Ometto, Lino] Univ Pavia, Dept Biol &amp; Biotechnol, Pavia, Italy; [Loeschcke, Volker; Schou, Mads F.] Aarhus Univ, Dept Biol, Aarhus, Denmark; [Onder, Banu S.] Hacettepe Univ, Dept Biol, Ankara, Turkey; [Abbott, Jessica K.; Schou, Mads F.] Lund Univ, Dept Biol, Lund, Sweden; [Schaeffer, Stephen W.; Schmidt, Paul] Penn State Univ, Dept Biol, University Pk, PA 16802 USA; [Rajpurohit, Subhash; Behrman, Emily L.] Univ Penn, Dept Biol, Philadelphia, PA 19104 USA; [Rajpurohit, Subhash] Ahmedabad Univ, Sch Arts &amp; Sci, Div Biol &amp; Life Sci, Ahmadabad, Gujarat, India; [Behrman, Emily L.] Janelia Res Campus, Ashburn, VA USA; [Merritt, Thomas J. S.] Laurentian Univ, Dept Chem &amp; Biochem, Sudbury, ON, Canada; [Lazzaro, Brian P.] Cornell Univ, Dept Entomol, Ithaca, NY 14853 USA; [Glaser-Schmitt, Amanda; Argyridou, Eliza; Parsch, John; Grath, Sonja] Ludwig Maximilians Univ Munchen, Fac Biol, Div Evolutionary Biol, Munich, Germany; [Staubach, Fabian; Wang, Yun] Univ Freiburg, Dept Evolut &amp; Ecol, Freiburg, Germany; [Tauber, Eran] Univ Haifa, Inst Evolut, Dept Evolutionary &amp; Environm Biol, Haifa, Israel; [Serga, Svitlana, V; Kozeretska, Iryna; Maistrenko, Oleksandr M.] Taras Shevchenko Natl Univ Kyiv, Dept Gen &amp; Med Genet, Kiev, Ukraine; [Serga, Svitlana, V; Kozeretska, Iryna] Minist Educ &amp; Sci Ukraine, State Inst Natl Antarctic Sci Ctr, Kiev, Ukraine; [Fabian, Daniel K.] Univ Cambridge, Dept Genet, Cambridge, England; [Dyer, Kelly A.] Univ Georgia, Dept Genet, Athens, GA 30602 USA; [Wheat, Christopher W.] Stockholm Univ, Dept Zool, Stockholm, Sweden; [Veselinovic, Marija Savic; Stamenkovic-Radak, Marina; Jelic, Mihailo] Univ Belgrade, Fac Biol, Belgrade, Serbia; [Buendia-Ruiz, Antonio J.; Gomez-Julian, Maria Josefa; Espinosa-Jimenez, Maria Luisa] IES Eladio Cabanero, Tomelloso, Spain; [Gallardo-Jimenez, Francisco D.] IES Jose de Mora, Baza, Spain; [Patenkovic, Aleksandra; Eric, Katarina; Tanaskovic, Marija] Univ Belgrade, Inst Biol Res Sinisa Stankovic, Natl Inst Republ Serbia, Belgrade, Serbia; [Obbard, Darren J.] Univ Edinburgh, Inst Evolutionary Biol, Edinburgh, Midlothian, Scotland; [Pasyukova, Elena; Alatortsev, Vladimir E.] Natl Res Ctr, Inst Mol Genet, Kurchatov Inst, Moscow, Russia; [Vieira, Cristina P.; Vieira, Jorge] Inst Biol Mol &amp; Celular IBMC, Porto, Portugal; [Vieira, Cristina P.; Vieira, Jorge] Univ Porto, Inst Invest &amp; Inovacao Saude, Porto, Portugal; [Torres, Jorge Roberto] Ciencia Teu Mon, Barcelona, Spain; [Maistrenko, Oleksandr M.] European Mol Biol Lab, Struct &amp; Computat Biol Unit, Heidelberg, Germany; [Montchamp-Moreau, Catherine] Univ Paris Saclay, CNRS, UMR Evolut Genomes Comportement &amp; Ecol, Gif Sur Yvette, France; [Mukha, Dmitry, V] Russian Acad Sci, Vavilov Inst Gen Genet, Moscow, Russia; [Machado, Heather E.; Petrov, Dmitri] Stanford Univ, Dept Biol, Stanford, CA 94305 USA; [Machado, Heather E.] Wellcome Trust Sanger Inst, Hinxton, England; [Paulo, Tania] Inst Gulbenkian Ciencias, Dept Biol Anim, Oeiras, Portugal; [Yusuf, Leeban] Univ St Andrews, Ctr Biol Divers, St Andrews, Fife, Scotland</t>
  </si>
  <si>
    <t>University of Zurich; Medical University of Vienna; University of Virginia; Pompeu Fabra University; Consejo Superior de Investigaciones Cientificas (CSIC); CSIC-UPF - Institut de Biologia Evolutiva (IBE); Autonomous University of Barcelona; Autonomous University of Barcelona; University of Fribourg; University of Trento; University of Barcelona; University of Barcelona; University of Jyvaskyla; University of Pavia; Aarhus University; Hacettepe University; Lund University; Pennsylvania Commonwealth System of Higher Education (PCSHE); Pennsylvania State University; Pennsylvania State University - University Park; University of Pennsylvania; Ahmedabad University; Laurentian University; Cornell University; University of Munich; University of Freiburg; University of Haifa; Ministry of Education &amp; Science of Ukraine; Taras Shevchenko National University of Kyiv; Ministry of Education &amp; Science of Ukraine; State Institution National Antarctic Scientific Center; University of Cambridge; University System of Georgia; University of Georgia; Stockholm University; University of Belgrade; University of Belgrade; University of Edinburgh; National Research Centre - Kurchatov Institute; Universidade do Porto; Universidade do Porto; i3S - Instituto de Investigacao e Inovacao em Saude, Universidade do Porto; European Molecular Biology Laboratory (EMBL); Universite Paris Saclay; Universite Paris Cite; Centre National de la Recherche Scientifique (CNRS); Russian Academy of Sciences; Vavilov Institute of General Genetics; Stanford University; Wellcome Trust Sanger Institute; Instituto Gulbenkian de Ciencia; University of St Andrews</t>
  </si>
  <si>
    <t>Kapun, M (corresponding author), Univ Zurich, Dept Evolutionary Biol &amp; Environm Studies, Zurich, Switzerland.;Kapun, M (corresponding author), Med Univ Vienna, Ctr Anat &amp; Cell Biol, Dept Cell &amp; Dev Biol, Vienna, Austria.;Bergland, AO (corresponding author), Univ Virginia, Dept Biol, Charlottesville, VA 22904 USA.;Gonzalez, J (corresponding author), Univ Pompeu Fabra, Inst Evolutionary Biol, CSIC, Barcelona, Spain.;Flatt, T (corresponding author), Univ Fribourg, Dept Biol, Fribourg, Switzerland.;Schmidt, P (corresponding author), Penn State Univ, Dept Biol, University Pk, PA 16802 USA.;Petrov, D (corresponding author), Stanford Univ, Dept Biol, Stanford, CA 94305 USA.</t>
  </si>
  <si>
    <t>martin.kapun@uzh.ch; dpetrov@stanford.edu; schmidtp@upenn.edu; josefa.gonzalez@csic.es; thomas.flatt@unifr.ch; aob2x@virginia.edu</t>
  </si>
  <si>
    <t>Guerreiro, Maria Pilar Garcia/AAB-5507-2019; Wheat, Christopher W/E-7137-2010; Pasyukova, Elena G./I-8377-2017; Obbard, Darren/A-9235-2008; Coronado-Zamora, Marta/F-4513-2016; Kapun, Martin/GLU-9265-2022; Schaeffer, Stephen/AAA-2303-2021; Paris, Margot/C-8076-2012; Maistrenko, Oleksandr/AAC-9919-2020; Nunez, Joaquin C. B./L-5355-2015; Núñez, Joaquín/IZQ-1883-2023; Kapun, Martin/GVT-4278-2022; Tauber, Eran/F-9826-2011; Guirao-Rico, Sara/F-4145-2016; Rota-Stabelli, Omar/G-8477-2011; Glaser-Schmitt, Amanda/AFP-4908-2022; Kozeretska, Iryna A/F-1383-2010; Barbadilla, Antonio/A-6915-2017; Wang, Yun/GNH-3144-2022; Casillas, Sonia/I-5442-2014; Patenkovic, Aleksandra/HCH-8127-2022; Abbott, Jessica/F-5848-2010; Vieira, Cristina/K-1775-2013; Schou, Mads Fristrup/J-2148-2014; Onder, Banu Sebnem/A-3275-2013</t>
  </si>
  <si>
    <t>Guerreiro, Maria Pilar Garcia/0000-0001-9951-1879; Obbard, Darren/0000-0001-5392-8142; Kapun, Martin/0000-0002-3810-0504; Schaeffer, Stephen/0000-0003-2070-5342; Paris, Margot/0000-0001-7328-3820; Maistrenko, Oleksandr/0000-0003-1961-7548; Nunez, Joaquin C. B./0000-0002-3171-8918; Kapun, Martin/0000-0002-3810-0504; Tauber, Eran/0000-0003-4018-6535; Wang, Yun/0000-0002-2441-4182; Casillas, Sonia/0000-0001-8191-0062; Tanaskovic, Marija/0000-0003-1440-2257; Mukha, Dmitry/0000-0002-7380-0776; Patenkovic, Aleksandra/0000-0001-5763-6294; Schmidt, Paul/0000-0002-8076-6705; Horvath, Vivien/0000-0001-6536-1710; Abbott, Jessica/0000-0002-8743-2089; Orengo, Dorcas/0000-0001-7911-3224; Vieira, Cristina/0000-0002-7139-2107; Savic Veselinovic, Marija/0000-0001-8461-4373; Stamenkovic-Radak, Marina/0000-0002-6937-7282; Kankare, Maaria/0000-0003-1541-9050; Schou, Mads Fristrup/0000-0001-5521-5269; Grath, Sonja/0000-0003-3621-736X; Onder, Banu Sebnem/0000-0002-3003-248X; Barbadilla, Antonio/0000-0002-0374-1475; Ullastres, Anna/0009-0003-3681-0080; Puerma, Eva/0000-0001-7261-187X</t>
  </si>
  <si>
    <t>Special Topic Networks (STN) grant from the European Society for Evolutionary Biology (ESEB); Austrian Science Foundation [FWF P32275]; European Research Council (ERC) under the European Union [H2020-ERC-2014-CoG-647900]; Spanish Ministry of Science and Innovation [BFU-2011-24397]; Swiss National Science Foundation (SNSF) [PP00P3_133641, PP00P3_165836, 31003A_182262]; Mercator Fellowship from the German Research Foundation (DFG); National Institutes of Health [R35 GM119686]; Academy of Finland [322980]; Danish Natural Science Research Council (FNU) [4002-00113B]; Deutsche Forschungsgemeinschaft (DFG) [STA1154/4-1, 408908608]; Deutsche Forschungsgemeinschaft [274388701, 347368302]; FPI fellowship [BES-2012-052999]; Israel Science Foundation (ISF) [1737/17]; Ministry of Education, Science and Technological Development of the Republic of Serbia [45103-68/2020-14/200007, 451-03-68/2020-14/200178]; NSERC [RGPIN-2018-05551]; Swiss National Science Foundation (SNF) [31003A_182262] Funding Source: Swiss National Science Foundation (SNF); Academy of Finland (AKA) [322980] Funding Source: Academy of Finland (AKA)</t>
  </si>
  <si>
    <t>Special Topic Networks (STN) grant from the European Society for Evolutionary Biology (ESEB); Austrian Science Foundation(Austrian Science Fund (FWF)); European Research Council (ERC) under the European Union(European Research Council (ERC)); Spanish Ministry of Science and Innovation(Spanish Government); Swiss National Science Foundation (SNSF)(Swiss National Science Foundation (SNSF)); Mercator Fellowship from the German Research Foundation (DFG)(German Research Foundation (DFG)); National Institutes of Health(United States Department of Health &amp; Human ServicesNational Institutes of Health (NIH) - USA); Academy of Finland(Research Council of Finland); Danish Natural Science Research Council (FNU)(Danish Natural Science Research Council); Deutsche Forschungsgemeinschaft (DFG)(German Research Foundation (DFG)); Deutsche Forschungsgemeinschaft(German Research Foundation (DFG)); FPI fellowship(Spanish Government); Israel Science Foundation (ISF)(Israel Science Foundation); Ministry of Education, Science and Technological Development of the Republic of Serbia(Ministry of Education, Science &amp; Technological Development, Serbia); NSERC(Natural Sciences and Engineering Research Council of Canada (NSERC)); Swiss National Science Foundation (SNF)(Swiss National Science Foundation (SNSF)); Academy of Finland (AKA)(Research Council of Finland)</t>
  </si>
  <si>
    <t>We thank four reviewers and the handling editor for helpful comments on previous versions of our manuscript. We are grateful to the members of the DrosEU and DrosRTEC consortia for their long-standing support, collaboration, and for discussion. DrosEU was funded by a Special Topic Networks (STN) grant from the European Society for Evolutionary Biology (ESEB). M.K. was supported by the Austrian Science Foundation (grant no. FWF P32275); J.G. by the European Research Council (ERC) under the European Union's Horizon 2020 research and innovation programme (H2020-ERC-2014-CoG-647900) and by the Spanish Ministry of Science and Innovation (BFU-2011-24397); T.F. by the Swiss National Science Foundation (SNSF grants PP00P3_133641, PP00P3_165836, and 31003A_182262) and a Mercator Fellowship from the German Research Foundation (DFG), held as a EvoPAD Visiting Professor at the Institute for Evolution and Biodiversity, University of Munster; AOB by the National Institutes of Health (R35 GM119686); M.K. by Academy of Finland grant 322980; V.L. by Danish Natural Science Research Council (FNU) (grant no. 4002-00113B); FS Deutsche Forschungsgemeinschaft (DFG) (grant no. STA1154/4-1), Project 408908608; J.P. by the Deutsche Forschungsgemeinschaft Projects 274388701 and 347368302; A.U. by FPI fellowship (BES-2012-052999); ET Israel Science Foundation (ISF) (grant no. 1737/17); M.S.V., M.S.R. and M.J. by a grant from the Ministry of Education, Science and Technological Development of the Republic of Serbia (451-03-68/2020-14/200178); A.P., K.E. and M.T. by a grant from the Ministry of Education, Science and Technological Development of the Republic of Serbia (45103-68/2020-14/200007); and TM NSERC grant RGPIN-2018-05551. The authors acknowledge Research Computing at The University of Virginia for providing computational resources and technical support that have contributed to the results reported within this publication (https://rc.virginia.edu, last accessed September 6, 2021).</t>
  </si>
  <si>
    <t>0737-4038</t>
  </si>
  <si>
    <t>1537-1719</t>
  </si>
  <si>
    <t>MOL BIOL EVOL</t>
  </si>
  <si>
    <t>Mol. Biol. Evol.</t>
  </si>
  <si>
    <t>10.1093/molbev/msab259</t>
  </si>
  <si>
    <t>YE8KO</t>
  </si>
  <si>
    <t>WOS:000741368600039</t>
  </si>
  <si>
    <t>Hereme, R; Galleguillos, C; Morales-Navarro, S; Molina-Montenegro, MA</t>
  </si>
  <si>
    <t>Hereme, Rasme; Galleguillos, Carolina; Morales-Navarro, Samuel; Molina-Montenegro, Marco A.</t>
  </si>
  <si>
    <t>What if the cold days return? Epigenetic mechanisms in plants to cold tolerance</t>
  </si>
  <si>
    <t>PLANTA</t>
  </si>
  <si>
    <t>Epigenetics mechanisms; Cold stress; Epigenetics memory; Global warming</t>
  </si>
  <si>
    <t>DNA METHYLATION ALTERATIONS; ABIOTIC-STRESS; GENE-REGULATION; TRANSCRIPTIONAL ACTIVATION; SIGNAL-TRANSDUCTION; FREEZING TOLERANCE; PROTEIN; ACCLIMATION; EXPRESSION; REGULATOR</t>
  </si>
  <si>
    <t>Main conclusion The epigenetic could be an important, but seldom assessed, mechanisms in plants inhabiting cold ecosystems. Thus, this review could help to fill a gap in the current literature. Low temperatures are one of the most critical environmental conditions that negatively affect the growth, development, and geographic distribution of plants. Exposure to low temperatures results in a suit of physiological, biochemical and molecular modifications through the reprogramming of the expression of genes and transcription factors. Scientific evidence shows that the average annual temperature has increased in recent years worldwide, with cold ecosystems (polar and high mountain) being among the most sensitive to these changes. However, scientific evidence also indicates that there would be specific events of low temperatures, due it is highly relevant to know the capacity for adaptation, regulation and epigenetic memory in the face of these events, by plants. Epigenetic regulation has been described to play an important role in the face of environmental stimuli, especially in response to abiotic stress. Several studies on epigenetic mechanisms have focused on responses to stress as drought and/or salinity; however, there is a gap in the current literature considering those related to low temperatures. In this review, we focus on systematizing the information published to date, related to the regulation of epigenetic mechanisms such as DNA methylation, histone modification, and non-coding RNA-dependent silencing mechanisms, in the face of plant ' s stress due to low temperatures. Finally, we present a schematic model about the potential responses by plants taking in count their epigenetic memory; considering a global warming scenario and with the presence or absence of extreme specific events of low temperatures.</t>
  </si>
  <si>
    <t>[Hereme, Rasme; Galleguillos, Carolina; Morales-Navarro, Samuel; Molina-Montenegro, Marco A.] Univ Talca, Inst Ciencias Biol, Campus Talca, Talca, Chile; [Molina-Montenegro, Marco A.] Univ Catolica Norte, Ctr Estudios Avanzados Zonas Aridas CEAZA, Coquimbo, Chile; [Molina-Montenegro, Marco A.] Univ Catol Maule, Ctr Invest Estudios Avanzados Maule CIEAM, Talca, Chile</t>
  </si>
  <si>
    <t>Universidad de Talca; Universidad Catolica del Norte; Universidad Catolica del Maule</t>
  </si>
  <si>
    <t>Molina-Montenegro, MA (corresponding author), Univ Talca, Inst Ciencias Biol, Campus Talca, Talca, Chile.;Molina-Montenegro, MA (corresponding author), Univ Catolica Norte, Ctr Estudios Avanzados Zonas Aridas CEAZA, Coquimbo, Chile.;Molina-Montenegro, MA (corresponding author), Univ Catol Maule, Ctr Invest Estudios Avanzados Maule CIEAM, Talca, Chile.</t>
  </si>
  <si>
    <t>marco.molina@utalca.cl</t>
  </si>
  <si>
    <t>Instituto Antartico Chileno (INACH) [DT_18_19]; Agencia Nacional de Investigacion y desarrollo (ANID), national doctoral fellowship [21180714]; ANID-PIA-ANILLO INACH [ACT192057]</t>
  </si>
  <si>
    <t>Instituto Antartico Chileno (INACH); Agencia Nacional de Investigacion y desarrollo (ANID), national doctoral fellowship; ANID-PIA-ANILLO INACH</t>
  </si>
  <si>
    <t>Instituto Antartico Chileno (INACH), supports program for postgraduate thesis in antarctic issues; proyect code DT_18_19. Agencia Nacional de Investigacion y desarrollo (ANID), national doctoral fellowship; folio number 21180714. ANID-PIA-ANILLO INACH ACT192057.</t>
  </si>
  <si>
    <t>0032-0935</t>
  </si>
  <si>
    <t>1432-2048</t>
  </si>
  <si>
    <t>Planta</t>
  </si>
  <si>
    <t>10.1007/s00425-021-03694-1</t>
  </si>
  <si>
    <t>TX8OR</t>
  </si>
  <si>
    <t>WOS:000683346600001</t>
  </si>
  <si>
    <t>Anthony, RE; Ringler, AT; DuVernois, M; Anderson, KR; Wilson, DC</t>
  </si>
  <si>
    <t>Anthony, Robert E.; Ringler, Adam T.; DuVernois, Michael; Anderson, Kent R.; Wilson, David C.</t>
  </si>
  <si>
    <t>Six Decades of Seismology at South Pole, Antarctica: Current Limitations and Future Opportunities to Facilitate New Geophysical Observations</t>
  </si>
  <si>
    <t>SPLITTING FUNCTION MEASUREMENTS; SEISMIC NOISE; INTRAPLATE SEISMICITY; FREE OSCILLATIONS; FIELD; ATTENUATION; TIDES; EARTHQUAKES; VARIABILITY; NETWORK</t>
  </si>
  <si>
    <t>Seismograms from the South Pole have been important for seismological observations for over six decades by providing (until 2007) the only continuous seismic records from the interior of the Antarctic continent. The South Pole, Antarctica station has undergone many updates over the years, including conversion to a digital recording station as part of the Global Seismographic Network (GSN) in 1991 and being relocated to multiple deep (5 mHz), normal-mode oscillations of the planet excited by large earthquakes can be recorded without influence from Earth's rotation, and most of the direct effects of the solid Earth tide vanish. However, the current sensors are largely 1980s vintage, and, while able to make some lower-frequency observations from earthquakes, the borehole sensors appear unable to resolve ambient ground motions at frequencies lower than 25 mHz due to instrument noise and contamination from magnetic field variations. Recently developed borehole sensors offer the potential to extend background noise observations to below 3 mHz, which would substantially improve the fidelity and scientific value of seismic observations at South Pole. Through collaboration with the IceCube Neutrino Observatory, the opportunity exists to emplace a modern very broadband seismometer near the base ( 2 km depth) of the Antarctic ice cap, which could lead to unprecedented seismic observations at long periods and facilitate a broad spectrum of Earth science studies.</t>
  </si>
  <si>
    <t>[Anthony, Robert E.; Ringler, Adam T.; Wilson, David C.] US Geol Survey, Albuquerque Seismol Lab, Albuquerque, NM 82010 USA; [DuVernois, Michael] Univ Wisconsin, Wisconsin IceCube Particle Astrophys Ctr WIPAC, Dept Phys, Madison, WI USA; [Anderson, Kent R.] Inc Res Inst Seismol, Socorro, NM USA</t>
  </si>
  <si>
    <t>United States Department of the Interior; United States Geological Survey; University of Wisconsin System; University of Wisconsin Madison</t>
  </si>
  <si>
    <t>Anthony, RE (corresponding author), US Geol Survey, Albuquerque Seismol Lab, Albuquerque, NM 82010 USA.</t>
  </si>
  <si>
    <t>reanthony@usgs.gov</t>
  </si>
  <si>
    <t>Anthony, Rob/J-2212-2017</t>
  </si>
  <si>
    <t>DuVernois, Michael/0000-0002-2987-9691; Wilson, David/0000-0003-2582-5159; Anthony, Robert/0000-0001-7089-8846</t>
  </si>
  <si>
    <t>10.1785/0220200448</t>
  </si>
  <si>
    <t>WOS:000689485800004</t>
  </si>
  <si>
    <t>Li, CY; Peng, ZG; Chaput, JA; Walter, JI; Aster, RC</t>
  </si>
  <si>
    <t>Li, Chenyu; Peng, Zhigang; Chaput, Julien A.; Walter, Jacob, I; Aster, Richard C.</t>
  </si>
  <si>
    <t>Remote Triggering of Icequakes at Mt. Erebus, Antarctica by Large Teleseismic Earthquakes</t>
  </si>
  <si>
    <t>SEISMICITY RATE CHANGES; VOLCANO; ISLAND; OBSPY</t>
  </si>
  <si>
    <t>Recent studies have shown that the Antarctic cryosphere is sensitive to external disturbances such as tidal stresses or dynamic stresses from remote large earthquakes. In this study, we systematically examine evidence of remotely triggered microseismicity around Mount (Mt.) Erebus, an active high elevation stratovolcano located on Ross Island, Antarctica. We detect microearthquakes recorded by multiple stations from the Mt. Erebus Volcano Observatory Seismic Network one day before and after 43 large teleseismic earthquakes, and find that seven large earthquakes (including the 2010 M-w 8.8 Maule, Chile, and 2012 M-w 8.6 Indian Ocean events) triggered local seismicity on the volcano, with most triggered events occurring during the passage of the shorter-period Rayleigh waves. In addition, their waveforms and locations for the triggered events are different when comparing with seismic events arising from the persistent small-scale eruptions, but similar to other detected events before and after the main-shocks. Based on the waveform characteristics and their locations, we infer that these triggered events are likely shallow icequakes triggered by dilatational stress perturbations from teleseismic surface waves. We show that teleseismic earthquakes with higher peak dynamic stress changes are more capable of triggering icequakes at Mt. Erebus. We also find that the icequakes in this study are more likely to be triggered during the austral summer months. Our study motivates the continued monitoring of Mount Erebus with dense seismic instrumentation to better understand interactions between dynamic seismic triggering, crospheric processes, and volcanic activity.</t>
  </si>
  <si>
    <t>[Li, Chenyu; Peng, Zhigang] Georgia Inst Technol, Sch Earth &amp; Atmospher Sci, Atlanta, GA 30332 USA; [Chaput, Julien A.] Univ Texas El Paso, Dept Geol Sci, El Paso, TX 79968 USA; [Walter, Jacob, I] Univ Oklahoma, Oklahoma Geol Survey, Norman, OK 73019 USA; [Aster, Richard C.] Colorado State Univ, Dept Geosci, Ft Collins, CO 80523 USA; [Aster, Richard C.] Colorado State Univ, Warner Coll Nat Resources, Ft Collins, CO 80523 USA</t>
  </si>
  <si>
    <t>University System of Georgia; Georgia Institute of Technology; University of Texas System; University of Texas El Paso; University of Oklahoma System; University of Oklahoma - Norman; Colorado State University; Colorado State University</t>
  </si>
  <si>
    <t>Li, CY (corresponding author), Georgia Inst Technol, Sch Earth &amp; Atmospher Sci, Atlanta, GA 30332 USA.</t>
  </si>
  <si>
    <t>Ichenyu1992@gmail.com</t>
  </si>
  <si>
    <t>Aster, Richard/E-5067-2013; Peng, Zhigang/HPF-2037-2023; Li, Chenyu/ABU-5416-2022; Walter, Jacob/C-6806-2015</t>
  </si>
  <si>
    <t>Aster, Richard/0000-0002-0821-4906; Li, Chenyu/0000-0002-0442-6928; Walter, Jacob/0000-0001-7127-9422</t>
  </si>
  <si>
    <t>National Science Foundation (NSF) [EAR-1543399, EAR-1745135]; Seismological Facilities for the Advancement of Geoscience (SAGE) Award of the National Science Foundation [EAR-1851048]</t>
  </si>
  <si>
    <t>National Science Foundation (NSF)(National Science Foundation (NSF)National Research Foundation of Korea); Seismological Facilities for the Advancement of Geoscience (SAGE) Award of the National Science Foundation</t>
  </si>
  <si>
    <t>The authors thank the Mount Erebus Volcano Observatory Seismic Network for deploying and maintaining the seismic network. The authors appreciate Incorporated Research Institutions for Seismology (IRIS) Data Management Center for making these data available to the public. This article benefits from suggestions from SRL Editor-in-Chief Allison Bent, Guest Editor Myrto Pirli, Peter Voss, Reviewer Debi Kilb, and one anonymous reviewer. This work is supported by National Science Foundation (NSF) Grants EAR-1543399 (C. L. and Z. P.) and EAR-1745135 (J. W.) . The IRIS Data Services are funded through the Seismological Facilities for the Advancement of Geoscience (SAGE) Award of the National Science Foundation under Cooperative Support Agreement EAR-1851048.</t>
  </si>
  <si>
    <t>10.1785/0220210027</t>
  </si>
  <si>
    <t>UH1BK</t>
  </si>
  <si>
    <t>WOS:000689673900003</t>
  </si>
  <si>
    <t>Verheye, ML; D'Acoz, CD</t>
  </si>
  <si>
    <t>Verheye, Marie L.; D'Acoz, Cedric D'Udekem</t>
  </si>
  <si>
    <t>Integrative taxonomy of giant crested Eusirus in the Southern Ocean, including the description of a new species (Crustacea: Amphipoda: Eusiridae)</t>
  </si>
  <si>
    <t>alpha taxonomy; cryptic species; genetics; molecular systematics; phylogenetic systematics</t>
  </si>
  <si>
    <t>NYMPHON-AUSTRALE HODGSON; CRYPTIC SPECIATION; CLIMATE-CHANGE; SEA STAR; MITOCHONDRIAL LINEAGES; PERDENTATUS CHEVREUX; DELIMITATION METHOD; GENETIC-STRUCTURE; GENUS EPIMERIA; DNA TAXONOMY</t>
  </si>
  <si>
    <t>Among Antarctic amphipods of the genus Eusirus, a highly distinctive Glade of giant species is characterized by a dorsal, blade-shaped tooth on pereionites 5-7 and pleonites 1-3. This lineage, herein named 'crested Eusirus', includes two potential species complexes, the Eusirus perdentatus and Eusirus giganteus complexes, in addition to the more distinctive Eusirus propeperdentatus. Molecular phylogenies and statistical parsimony networks (COI, CytB and ITS2) of crested Eusirus are herein reconstructed. This study aims to formally revise species diversity within crested Eusirus by applying several species delimitation methods (Bayesian implementation of the Poisson tree processes model, general mixed Yule coalescent, multi-rate Poisson tree processes and automatic barcode gap discovery) on the resulting phylogenies. In addition, results from the DNA-based methods are benchmarked against a detailed morphological analysis of all available specimens of the E. perdentatus complex. Our results indicate that species diversity of crested Eusirus is underestimated. Overall, DNA-based methods suggest that the E. perdentatus complex is composed of three putative species and that the E. giganteus complex includes four or five putative species. The morphological analysis of available specimens from the E. perdentatus complex corroborates molecular results by identifying two differentiable species, the genuine E. perdentatus and a new species, herein described as Eusirus pontomedon sp. nov.</t>
  </si>
  <si>
    <t>[Verheye, Marie L.; D'Acoz, Cedric D'Udekem] Royal Belgian Inst Nat Sci, OD Nat, Rue Vautier 29, B-1000 Brussels, Belgium; [Verheye, Marie L.] Univ Liege, Lab Oceanol, Allee 6 Aout 11, B-4000 Liege, Belgium</t>
  </si>
  <si>
    <t>Royal Belgian Institute of Natural Sciences; University of Liege</t>
  </si>
  <si>
    <t>Verheye, ML (corresponding author), Royal Belgian Inst Nat Sci, OD Nat, Rue Vautier 29, B-1000 Brussels, Belgium.;Verheye, ML (corresponding author), Univ Liege, Lab Oceanol, Allee 6 Aout 11, B-4000 Liege, Belgium.</t>
  </si>
  <si>
    <t>mverheye@naturalsciences.be</t>
  </si>
  <si>
    <t>Verheye, Marie/0000-0001-8702-9292</t>
  </si>
  <si>
    <t>Australian Antarctic Division [53]; Japanese Science Foundation; Institut polaire francais Paul Emile Victor (IPEV) (programme ICOTA); Fonds Leopold III; Belgian Federal Science Policy Office [BR/132/A1/vERSO]; BELSPO [BR/154/A1/RECTO]</t>
  </si>
  <si>
    <t>Australian Antarctic Division; Japanese Science Foundation; Institut polaire francais Paul Emile Victor (IPEV) (programme ICOTA); Fonds Leopold III; Belgian Federal Science Policy Office(Belgian Federal Science Policy Office); BELSPO(Belgian Federal Science Policy Office)</t>
  </si>
  <si>
    <t>The CAML-CEAMARC cruise of RSV Aurora Australis (IPY project no. 53) was supported by the Australian Antarctic Division, the Japanese Science Foundation and the Institut polaire francais Paul Emile Victor (IPEV) (programme ICOTA). The material belongs to the Museum National d'Histoire Naturelle, Paris and was partly transferred to us by Christoph Held (Alfred-Wegener-InstitutHelmoltz-Zentrum fur Polar-und Meeresforschung). Many thanks to Helena Baird (Monash University, Clayton, Victoria, Australia) and Glenn Johnstone [Australian Antarctic Division (AAD)] for the helpful correspondence and for organizing transfer of CEAMARC specimens from the AAD. The authors wish to thank Huw Griffiths and Katrin Linse (British Antarctic Survey) for giving us access to the material collected by the RRS James Clark Ross. The travel expenses of the authors during ANT-XXIX/3 were funded by the Fonds Leopold III. We would like to thank our scientific colleagues, the crew and the captain of the RV Polarstern for their fruitful collaboration during various Antarctic cruises. We wish to thank the editor of the journal and the anonymous reviewer for helpful comments and improvements of this manuscript. This publication is registered as ANDEEP contribution no. 219, contribution no. 45 to the vERSO project (Belgian Federal Science Policy Office, contract no. BR/132/A1/vERSO) and contribution no. 20 to the RECTO project (BELSPO, contract no. BR/154/A1/RECTO).</t>
  </si>
  <si>
    <t>10.1093/zoolinnean/zlaa141</t>
  </si>
  <si>
    <t>UN0UI</t>
  </si>
  <si>
    <t>WOS:000693738100002</t>
  </si>
  <si>
    <t>Pathak, VK; Kharwar, A; Rai, AK</t>
  </si>
  <si>
    <t>Pathak, Vishwesh Kumar; Kharwar, Ashish; Rai, Ajai Kumar</t>
  </si>
  <si>
    <t>Benthic foraminiferal response to changes in the northwestern Arabian Sea oxygen minimum zone (OMZ) during past ∼ 145 kyr</t>
  </si>
  <si>
    <t>Benthic foraminifera; Arabian Sea; oxygen minimum zone; dysoxic taxa; productivity</t>
  </si>
  <si>
    <t>LATE QUATERNARY; CONTINENTAL-MARGIN; INDIAN-OCEAN; MICROHABITAT PREFERENCES; SURFACE TEMPERATURE; WINTER MONSOON; PRODUCTIVITY; RECORD; WATER; VARIABILITY</t>
  </si>
  <si>
    <t>The benthic foraminiferal abundance and diversity for the last similar to 145 kyr at ODP Hole 723A in the northwestern Arabian Sea have been analyzed to better understand the factors responsible for the changes in the strength of Oxygen Minimum Zone (OMZ). The decline in the abundance of dysoxic taxa and more diverse fauna during interstadials of MIS 5 (5.5 and 5.1) along with higher percentages of G. bulloides reveal that the increased advection of well-oxygenated southern deep waters enhanced the rate of remineralization of sinking organic matter and also reduced the strength of OMZ. The improved supply of organic matter to the sea floor due to southwest summer monsoon linked higher surface productivity between 114 and 108 ka and 102 and 92 ka enhanced the decay of organic matter utilizing more oxygen at intermediate depths which resulted in the development of strong OMZ. The increased inflow of well-oxygenated Sub-Antarctic Mode and Antarctic Intermediate Waters (SAMW-AAIW) and significantly reduced or negligible outflow of low oxygen Red Sea Water (RSW) in the northwestern Arabian Sea developed relatively weak OMZ and better bottom water oxygenation during early Holocene. The low abundance of G. bulloides indicates decline in the surface water productivity due to weaker southwest summer monsoon during late Holocene while more outflow of oxygen poor RSW at intermediate depths and no further inflow of well oxygenated SAMW-AAIW beyond 5 degrees N relatively strengthens the OMZ in the northwestern Arabian Sea.</t>
  </si>
  <si>
    <t>[Pathak, Vishwesh Kumar; Kharwar, Ashish; Rai, Ajai Kumar] Univ Allahabad, Dept Earth &amp; Planetary Sci, Prayagraj 211002, India</t>
  </si>
  <si>
    <t>University of Allahabad</t>
  </si>
  <si>
    <t>Rai, AK (corresponding author), Univ Allahabad, Dept Earth &amp; Planetary Sci, Prayagraj 211002, India.</t>
  </si>
  <si>
    <t>raikajai@gmail.com</t>
  </si>
  <si>
    <t>DST, New Delhi [DST/INSPIRE Fellowship/IF150618]</t>
  </si>
  <si>
    <t>DST, New Delhi(Department of Science &amp; Technology (India))</t>
  </si>
  <si>
    <t>The Ocean Drilling Program (ODP) is gratefully acknowledged to provide the core samples for the present work. Authors are very thankful to the anonymous reviewer whose thoughtful comments improved the quality of this manuscript. The grants provided to VKP as INSPIRE Fellowship by the DST (Grant No. DST/INSPIRE Fellowship/IF150618), New Delhi partially supported the present research work.</t>
  </si>
  <si>
    <t>10.1007/s12040-021-01659-2</t>
  </si>
  <si>
    <t>TZ1KK</t>
  </si>
  <si>
    <t>WOS:000684234100003</t>
  </si>
  <si>
    <t>Kang, JJ; Mao, RY; Chang, YT; Fu, HL</t>
  </si>
  <si>
    <t>Kang, Jianjun; Mao, Runyu; Chang, Yiting; Fu, Hongli</t>
  </si>
  <si>
    <t>Comparative analysis of significant wave height between a new Southern Ocean buoy and satellite altimeter</t>
  </si>
  <si>
    <t>ATMOSPHERIC AND OCEANIC SCIENCE LETTERS</t>
  </si>
  <si>
    <t>Mooring buoy; Southern ocean; Satellite altimeter; Significant wave height</t>
  </si>
  <si>
    <t>WIND-SPEED; CALIBRATION</t>
  </si>
  <si>
    <t>In-situ observation is restricted by the strong wind and waves in the Southern Ocean. A Westerlies Environmental Monitoring Buoy (WEMB) was firstly deployed in the Southern Ocean during China's 35th Antarctic Expedition, facilitating further understanding of the oceanic environmental characteristics of this region. With the development of technology and the improvement of data processing methods, the accuracy of satellite altimeter products is constantly improved, thus making it possible to inspect and evaluate the in-situ observation data. Based on the L3 products of multiple satellite altimeters, this paper analyzes and corrects the significant wave height (SWH) data of WEMB by means of data matching, error statistics, and linear least-squares fitting. Through this study, the authors obtained the following results. The effect of gravitational acceleration changes with latitude on SWH accuracy is fairly small. Due to the low response of WEMB to high-frequency waves, there is a systematic deviation. A feasible correction method is therefore proposed to improve the SWH accuracy of WEMB. The temporal variation of the corrected SWH is highly consistent with that of the 10 m wind during the observation period, and its average value reaches 3.8 m.</t>
  </si>
  <si>
    <t>[Kang, Jianjun; Mao, Runyu; Chang, Yiting] Natl Ocean Technol Ctr, Tianjin, Peoples R China; [Fu, Hongli] Natl Marine Data &amp; Informat Serv, Tianjin, Peoples R China</t>
  </si>
  <si>
    <t>National Ocean Technology Center (NOTC); National Marine Data &amp; Information Service</t>
  </si>
  <si>
    <t>Kang, JJ (corresponding author), Natl Ocean Technol Ctr, Tianjin, Peoples R China.</t>
  </si>
  <si>
    <t>kjjcowboy@126.com</t>
  </si>
  <si>
    <t>National Key R&amp;D Program of China [2017YFC1403300, 2016YFC1401701]</t>
  </si>
  <si>
    <t>National Key R&amp;D Program of China</t>
  </si>
  <si>
    <t>This study was supported by the National Key R&amp;D Program of China [grant number 2017YFC1403300 and 2016YFC1401701].</t>
  </si>
  <si>
    <t>KEAI PUBLISHING LTD</t>
  </si>
  <si>
    <t>16 DONGHUANGCHENGGEN NORTH ST, BEIJING, DONGHENG DISTRICT 100717, PEOPLES R CHINA</t>
  </si>
  <si>
    <t>1674-2834</t>
  </si>
  <si>
    <t>2376-6123</t>
  </si>
  <si>
    <t>ATMOS OCEAN SCI LETT</t>
  </si>
  <si>
    <t>Atmos. Ocean. Sci. Lett.</t>
  </si>
  <si>
    <t>10.1016/j.aosl.2021.100044</t>
  </si>
  <si>
    <t>TP5VX</t>
  </si>
  <si>
    <t>WOS:000677668200005</t>
  </si>
  <si>
    <t>Lobanov, AA; Fesyun, AD; Voronenko, AG; Andronov, S; Yakovlev, MY; Rachin, AP; Solimene, U; Nikitina, AM; Zaitsev, AR; Kochetkova, VA; Barashkov, GN; Mitroshkina, EE; Zharkov, A; Konchugova, T; Grishechkina, IA; Ying, L; Bogdanova, EN; Eremushkin, MA; Saganova, TR; Reverchuk, I; Zuev, A</t>
  </si>
  <si>
    <t>Lobanov, Andrey A.; Fesyun, Anatoliy D.; Voronenko, Aleksandr G.; Andronov, Sergey, V; Yakovlev, Maxim Y.; Rachin, Andrey P.; Solimene, Umberto; Nikitina, Anfisa M.; Zaitsev, Andrey R.; Kochetkova, Vasilisa A.; Barashkov, Gleb N.; Mitroshkina, Elena E.; Zharkov, Alexey, I; Konchugova, Tatiana, V; Grishechkina, Irina A.; Ying, Luo; Bogdanova, Elena N.; Eremushkin, Michail A.; Saganova, Tatiana R.; Reverchuk, Igor, V; Zuev, Andrey, V</t>
  </si>
  <si>
    <t>The application of mineral water in the treatment of chronic obstructive pulmonary disease: a meta-analysis</t>
  </si>
  <si>
    <t>MINERVA RESPIRATORY MEDICINE</t>
  </si>
  <si>
    <t>Meta-analysis; Mineral waters; Fitness centers; Prevention and control; Pulmonary disease, chronic obstructive; Spirometry</t>
  </si>
  <si>
    <t>SULFUROUS THERMAL WATER; HYDROGEN-SULFIDE; AIRWAY INFLAMMATION; CLINICAL CONTROL; SPA THERAPY; INHALATIONS; BALNEOTHERAPY; SULFHYDRATION; QUALITY</t>
  </si>
  <si>
    <t>INTRODUCTION: A review of literature data and meta-analysis was performed, which showed the effectiveness of inhaled use of natural mineral water in patients with chronic obstructive pulmonary disease. EVIDENCE ACQUISITION: Randomized clinical trials were searched in Pubmed, Embase, ELibrary, MedPilot, and CyberLeninka databases, according to the PRISMA strategy, published between 1990 and July 2020. For the calculation, a standardized difference of average values and their 95% confidence intervals using a random effects model we used. EVIDENCE SYNTHESIS: 1510 scientific publications were analyzed. The meta-analysis included 7 studies, including 5 randomized controlled clinical trials, including the results of treatment of 1068 patients. All 7 articles concluded that treatment (inhalation) with mineral water has a positive effect on the course of chronic obstructive pulmonary disease. Analysis of the data obtained showed that in the group of patients with chronic obstructive pulmonary disease after inhalation of mineral water compared with the control group, there is an improvement in FEV1, as the main indicator of respiratory function. The standardized difference between the average FEV1 (%) values (Hedge's g) was 0.4 (95% CI: 0.1-0.7), and the FEV1 (l) values (Hedge's g) were 0.1 (95% CI: -0.1-0.3). There was significant heterogeneity in the results of individual studies (Q=25.0; df=4, P&lt;0.001 and Q=29.0; df=3, P&lt;0.001). CONCLUSIONS: The review of literature data showed that mineral water inhalation improves the course of chronic obstructive pulmonary disease by reducing the activity of inflammation and lipid peroxidation in the airway mucosa, improves mucociliary clearance and bronchial drainage. A meta-analysis showed that mineral water inhalation contributes to a statistically significant increase in FEV1.</t>
  </si>
  <si>
    <t>[Lobanov, Andrey A.; Andronov, Sergey, V; Zaitsev, Andrey R.; Kochetkova, Vasilisa A.; Grishechkina, Irina A.] FSBI Natl Med Ctr Rehabil &amp; Balneol, Lab Studying Mech Act Phys Factors, Moscow, Russia; [Fesyun, Anatoliy D.] FSBI Natl Med Ctr Rehabil &amp; Balneol, Adm Dept, Moscow, Russia; [Voronenko, Aleksandr G.] FSBI Natl Med Ctr Rehabil &amp; Balneol, Sci &amp; Org Dept, Moscow, Russia; [Yakovlev, Maxim Y.] FSBI Natl Med Ctr Rehabil &amp; Balneol, Med Rehabil Org Ctr, Moscow, Russia; [Rachin, Andrey P.] FSBI Natl Med Ctr Rehabil &amp; Balneol, Dept Neurorehabil &amp; Clin Psychol, Moscow, Russia; [Solimene, Umberto] World Federation Hydrotherapy &amp; Climatotherapy FE, Milan, Italy; [Nikitina, Anfisa M.; Barashkov, Gleb N.; Konchugova, Tatiana, V] FSBI Natl Med Ctr Rehabil &amp; Balneol, Dept Physiotherapy &amp; Reflexol, Moscow, Russia; [Mitroshkina, Elena E.] FSBI Natl Med Ctr Rehabil &amp; Balneol, Dept Physiotherapy &amp; Sports Med, Moscow, Russia; [Zharkov, Alexey, I] Ctr Testing &amp; Expertise Nat Med Resources, Dept Customer Relat, Moscow, Russia; [Ying, Luo] Guangdong Univ Foreign Studies South China Busine, Arctic &amp; Antarctic Res Ctr, Guangzhou, Guangdong, Peoples R China; [Bogdanova, Elena N.] Northern Arctic Fed Univ, Dept Econ &amp; Management, Arkhangelsk, Russia; [Eremushkin, Michail A.] FSBI Natl Med Ctr Rehabil &amp; Balneol, Dept Phys Therapy &amp; Clin Biomech, Moscow, Russia; [Saganova, Tatiana R.] Moscow State Univ Med &amp; Dent, Dept Microbiol Virol &amp; Immunol, Moscow, Russia; [Reverchuk, Igor, V] FSAEI Higher Educ, Dept Psychiat &amp; Neurosci, Kaliningrad, Russia; [Zuev, Andrey, V] FSAEI Higher Educ, Dept Dermatovenerol &amp; Cosmetol, Kaliningrad, Russia</t>
  </si>
  <si>
    <t>Guangdong University of Foreign Studies; Northern Arctic Federal University; Moscow State University of Medicine &amp; Dentistry; Immanuel Kant Baltic Federal University; Immanuel Kant Baltic Federal University</t>
  </si>
  <si>
    <t>Saganova, TR (corresponding author), Moscow State Univ Med &amp; Dent, Dept Microbiol Virol &amp; Immunol, Moscow, Russia.</t>
  </si>
  <si>
    <t>saganova.tatiana@yandex.ru</t>
  </si>
  <si>
    <t>Bogdanova, Elena/HPE-0080-2023; Andronov, Sergei/G-4977-2016; Bogdanova, Elena/AAY-1394-2021; Irina, Grishechkina Alexandrovna/AEP-7795-2022</t>
  </si>
  <si>
    <t>Bogdanova, Elena/0000-0001-9610-4709; Irina, Grishechkina Alexandrovna/0000-0002-4384-2860; Andronov, Sergei/0000-0002-5616-5897</t>
  </si>
  <si>
    <t>EDIZIONI MINERVA MEDICA</t>
  </si>
  <si>
    <t>TURIN</t>
  </si>
  <si>
    <t>CORSO BRAMANTE 83-85 INT JOURNALS DEPT., 10126 TURIN, ITALY</t>
  </si>
  <si>
    <t>2784-8477</t>
  </si>
  <si>
    <t>2724-6493</t>
  </si>
  <si>
    <t>MINERVA RESPIR MED</t>
  </si>
  <si>
    <t>Minerva Respir. Med.</t>
  </si>
  <si>
    <t>10.23736/S2784-8477.21.01915-5</t>
  </si>
  <si>
    <t>Respiratory System</t>
  </si>
  <si>
    <t>TP4NZ</t>
  </si>
  <si>
    <t>WOS:000677573700005</t>
  </si>
  <si>
    <t>Zheng, JR; Li, MQ; Wang, CZ; Sun, N; Lin, SY</t>
  </si>
  <si>
    <t>Zheng, Jingru; Li, Mengqi; Wang, Chuanzhi; Sun, Na; Lin, Songyi</t>
  </si>
  <si>
    <t>A novel nonapeptide SSDAFFPFR from Antarctic krill exerts a protective effect on PC12 cells through the BCL-XL/Bax/Caspase-3/p53 signaling pathway</t>
  </si>
  <si>
    <t>FOOD BIOSCIENCE</t>
  </si>
  <si>
    <t>Antarctic krill; Antioxidant peptide; In silico analysis; Oxidative stress; Signaling pathway</t>
  </si>
  <si>
    <t>ANTIOXIDANT ACTIVITY; PROTEIN HYDROLYSATE; OXIDATIVE STRESS; PEPTIDES; DAMAGE; SUSCEPTIBILITY; CAPACITY; BINDING; INJURY</t>
  </si>
  <si>
    <t>This study aims to investigate the protective effect on PC12 cells of Ser-Ser-Asp-Ala-Phe-Phe-Pro-Phe-Arg (SSDAFFPFR) and Ser-Asn-Val-Phe-Asp-Met-Phe (SNVFDMF) derived from Antarctic krill and the related signaling pathways involved in the inhibition of oxidative stress. Peptide sequences of the antioxidant component in the hydrolysates of Antarctic krill were identified by Nano-HPLC- MS/MS, then the bioactivity was predicted by in silico analysis. Results showed that SSDAFFPFR and SNVFDMF showed the highest activity with a PeptideRanker score of 0.97 and 0.89, respectively, and both contained serine and phenylalanine related to the antioxidant activity. Based on Electron paramagnetic resonance (EPR) method, SSDAFFPFR exhibited a higher DPPH radical scavenging rate than SNVFDMF (71.88 +/- 4.01% vs 34.57 +/- 2.38%), due to the presence of hydroxyl, amino, and carboxyl groups at its C and N terminals as well as the branched-chain of SSDAFFPFR peptide. In addition, SSDAFFPFR significantly suppressed the decrease of SOD activity and decreased ROS content induced by scopolamine in PC12 cells, as well as inhibited the expression of Bax, Caspase-3 and p53 and promoted the expression of BCL-XL, thereby protecting PC12 cells from the effects of oxidative stress. Thus the Antarctic krill peptide SSDAFFPFR showed its protective effect on PC12 cells through the BCL-XL/Bax/Caspase-3/p53 pathway.</t>
  </si>
  <si>
    <t>[Zheng, Jingru; Li, Mengqi; Wang, Chuanzhi; Sun, Na; Lin, Songyi] Dalian Polytech Univ, Sch Food Sci &amp; Technol, Natl Engn Res Ctr Seafood, 1 Qinggongyuan, Dalian 116034, Peoples R China; [Sun, Na; Lin, Songyi] Dalian Polytech Univ, Collaborat Innovat Ctr Seafood Deep Proc, Dalian 116034, Peoples R China</t>
  </si>
  <si>
    <t>Dalian Polytechnic University; Dalian Polytechnic University</t>
  </si>
  <si>
    <t>Sun, N; Lin, SY (corresponding author), Dalian Polytech Univ, Sch Food Sci &amp; Technol, Natl Engn Res Ctr Seafood, 1 Qinggongyuan, Dalian 116034, Peoples R China.</t>
  </si>
  <si>
    <t>sunna1215@126.com; linsongyi730@163.com</t>
  </si>
  <si>
    <t>Lin, Song-Y i/A-1778-2012; Li, Mengqi/HPF-6473-2023</t>
  </si>
  <si>
    <t>National Natural Science Foundation of China [32022067]; Dalian High-level Talent Innovation Support Program of China [2019RQ003]</t>
  </si>
  <si>
    <t>National Natural Science Foundation of China(National Natural Science Foundation of China (NSFC)); Dalian High-level Talent Innovation Support Program of China</t>
  </si>
  <si>
    <t>This work was supported by National Natural Science Foundation of China [Grant No.32022067] and Dalian High-level Talent Innovation Support Program of China [Grant No.2019RQ003] .</t>
  </si>
  <si>
    <t>2212-4292</t>
  </si>
  <si>
    <t>2212-4306</t>
  </si>
  <si>
    <t>FOOD BIOSCI</t>
  </si>
  <si>
    <t>Food Biosci.</t>
  </si>
  <si>
    <t>10.1016/j.fbio.2021.101345</t>
  </si>
  <si>
    <t>AUG 2021</t>
  </si>
  <si>
    <t>WK0FC</t>
  </si>
  <si>
    <t>WOS:000709409600002</t>
  </si>
  <si>
    <t>Halici, MG; Kahraman, M; Scur, MC; Kitaura, MJ</t>
  </si>
  <si>
    <t>Halici, Mehmet G.; Kahraman, Merve; Scur, Mayara C.; Kitaura, Marcos J.</t>
  </si>
  <si>
    <t>Leptogium Pirireisii, a new species of lichenized Ascomycota (Collemataceae) from James Ross Island in Antarctica</t>
  </si>
  <si>
    <t>NEW ZEALAND JOURNAL OF BOTANY</t>
  </si>
  <si>
    <t>Antarctic Peninsula; DNA barcode; diversity; nuITS; Peltigerales; new taxon</t>
  </si>
  <si>
    <t>REVISION; IDENTIFICATION; CLASSIFICATION; COMPLEX; BLOCKS; FUNGI; KEY</t>
  </si>
  <si>
    <t>The first author collected lichens in the austral summer of 2017 from James Ross Island, located in the North-East region of the Antarctic Peninsula, which is one of the lichen-rich islands in Antarctica, with around 60 species reported previously. In this project, the lichen biodiversity of the island is studied by using molecular techniques in addition to morphological characters. Our results show that the lichen biodiversity of Antarctica is not well known, as many undescribed or unreported species are still present. One of the undescribed species is Leptogium pirireisii, a cyanolichen with Nostoc photobiont, a nitrogen fixer. In the nuITS phylogenetic tree, L. pirireisii clustered, with high support, with the species L. antarcticum, L. furfuraceum, L. marcellii, L. pseudofurfuraceum, L. puberulum and L. tectum, which are all characterised by the presence of hairs, while these are absent in the new species. We also confirmed the occurrence of L. antarcticum on James Ross Island based on molecular data and further generated nuITS sequences of L. puberulum.</t>
  </si>
  <si>
    <t>[Halici, Mehmet G.; Kahraman, Merve] Erciyes Univ, Fac Sci, Dept Biol, Kayseri, Turkey; [Scur, Mayara C.] Univ Fed Mato Grosso do Sul, Ecol &amp; Evolutionary Biol Lab, Campo Grande Campus, Campo Grande, MS, Brazil; [Kitaura, Marcos J.] Univ Fed Mato Grosso do Sul, Biodivers Study Lab, Aquidauana Campus, Campo Grande, MS, Brazil</t>
  </si>
  <si>
    <t>Erciyes University; Universidade Federal de Mato Grosso do Sul; Universidade Federal de Mato Grosso do Sul</t>
  </si>
  <si>
    <t>Halici, MG (corresponding author), Erciyes Univ, Fac Sci, Dept Biol, Kayseri, Turkey.</t>
  </si>
  <si>
    <t>mghalici@gmail.com</t>
  </si>
  <si>
    <t>Kahraman Yiğit, Merve/AAW-5674-2021</t>
  </si>
  <si>
    <t>Scientific and Technological Research Council of Turkey (TUBITAK) [118Z587]; Turkish Academy of Science</t>
  </si>
  <si>
    <t>Scientific and Technological Research Council of Turkey (TUBITAK)(Turkiye Bilimsel ve Teknolojik Arastirma Kurumu (TUBITAK)); Turkish Academy of Science(Turkish Academy of Sciences)</t>
  </si>
  <si>
    <t>This work was supported by The Scientific and Technological Research Council of Turkey (TUBITAK) [Grant Number 118Z587]; Turkish Academy of Science.</t>
  </si>
  <si>
    <t>0028-825X</t>
  </si>
  <si>
    <t>1175-8643</t>
  </si>
  <si>
    <t>NEW ZEAL J BOT</t>
  </si>
  <si>
    <t>N. Z. J. Bot.</t>
  </si>
  <si>
    <t>10.1080/0028825X.2021.1939735</t>
  </si>
  <si>
    <t>YY0SZ</t>
  </si>
  <si>
    <t>WOS:000695516600001</t>
  </si>
  <si>
    <t>Minamoto, Y; Kamogawa, M; Kadokura, A; Omiya, S; Hirasawa, N; Sato, M</t>
  </si>
  <si>
    <t>Minamoto, Yasuhiro; Kamogawa, Masashi; Kadokura, Akira; Omiya, Satoshi; Hirasawa, Naohiko; Sato, Mitsuteru</t>
  </si>
  <si>
    <t>Origin of the intense positive and moderate negative atmospheric electric field variations measured during and after Antarctic blizzards</t>
  </si>
  <si>
    <t>ATMOSPHERIC RESEARCH</t>
  </si>
  <si>
    <t>Atmospheric electric field; Potential gradient; Electric field mill; Blizzard; Antarctica; Charged snow particles</t>
  </si>
  <si>
    <t>BLOWING-SNOW; WIND; PARTICLES; CIRCUIT; CHARGES; FLUX</t>
  </si>
  <si>
    <t>There is an atmospheric electric field (AEF) or an electric potential gradient (PG) in fair weather between the Earth's surface and the mesosphere/ionosphere, which is positive. During blizzards/snowstorms in the polar regions, an intense positive AEF/PG in the order of 10(3)V/m of the same polarity in fair weather was observed using an electric field mill at 1.4 m in height. In contrast, a moderately negative AEF/PG variation after a blizzard was observed in 2015 at Syowa Station, Antarctica. The negative variation, where the magnitude ranged from tens to hundreds of V/m, gradually recovered into the positive AEF/PG for more than 40 min. According to various studies on blowing/drifting snow dynamics and electricity in laboratory experiments and field observations, snow particles colliding with the snow surface are charged, and the charge of suspended and saltating particles during the snowstorm is negative on average. To verify the AEF/PG observed during and after the blizzards, we numerically estimated the electric field surrounding the conductive sensor unit of the electric field mill using a three-dimensional Poisson equation. Under blizzard conditions, the polarity of the estimated AEF/PG was the opposite of that of the observed AEF/PG. From the noise study of the field mill, we deduced that the positive AEF/PG variations were caused by the collision of negatively charged snow particles with the electric probe on the sensor unit. Just after the blizzard, the number of snow particles measured at 4.4 m in height clearly decreased, and the camera image showed clear visibility. From this evidence, we modeled the suspended and saltating negatively charged snow particles that had fallen onto the ground surface and then constructed a charge layer of the snow particles softly attaching to the ground, which slowly discharged following the study on the electrical resistance of the powders. The three-dimensional Poisson calculation based on the model reproduced a moderately negative AEF/PG. Thus, we elucidated that the origins of the intense positive and moderate negative electric fields during and after blizzards are the charged snow particles colliding with the electric probe on the sensor unit and the negative snow layers softly attached to the ground, respectively. These results are applicable to studies on dust storm electrification on Mars' and Earth's deserts, snowstorm electrification in the polar regions, and high mountains, such as Mt. Fuji in Japan, and turbulent electrification for industrial dust, which provides the identification of intense electrification and storms.</t>
  </si>
  <si>
    <t>[Minamoto, Yasuhiro; Kamogawa, Masashi] Lab Environm Res Mt Fuji, Res Stn, Tokyo 1690072, Japan; [Kamogawa, Masashi] Univ Shizuoka, Global Ctr Asian &amp; Reg Res, Shizuoka 4200839, Japan; [Kadokura, Akira; Hirasawa, Naohiko] Natl Inst Polar Res, Tokyo 1908518, Japan; [Omiya, Satoshi] PWRI, Civil Engn Res Inst Cold Reg, Sapporo, Hokkaido 0628602, Japan; [Sato, Mitsuteru] Hokkaido Univ, Fac Sci, Sapporo, Hokkaido 0600810, Japan</t>
  </si>
  <si>
    <t>University of Shizuoka; Research Organization of Information &amp; Systems (ROIS); National Institute of Polar Research (NIPR) - Japan; PWRI: Public Works Research Institute; Hokkaido University</t>
  </si>
  <si>
    <t>Kamogawa, M (corresponding author), Lab Environm Res Mt Fuji, Res Stn, Tokyo 1690072, Japan.;Kamogawa, M (corresponding author), Univ Shizuoka, Global Ctr Asian &amp; Reg Res, Shizuoka 4200839, Japan.</t>
  </si>
  <si>
    <t>kamogawa@u-shizuoka-ken.ac.jp</t>
  </si>
  <si>
    <t>Omiya, Satoshi/D-8420-2012</t>
  </si>
  <si>
    <t>Science Program of the Japanese Antarctic Research Expedition (JARE) [AP41, AP905, AP0940, AMS0901]; NIPR [23-12, 26-13, 29-15, 3-5]; Joint Support-Center for Data Science Research ROIS-DS-JOINT 2018, 2020, and 2021; Institute of Oceanic Research and Development, Tokai University [2019-01]; JSPS KAKENHI [20H02419]; Grants-in-Aid for Scientific Research [20H01954, 20H02419] Funding Source: KAKEN</t>
  </si>
  <si>
    <t>Science Program of the Japanese Antarctic Research Expedition (JARE); NIPR(National Institute of Polar Research (NIPR) - Japan); Joint Support-Center for Data Science Research ROIS-DS-JOINT 2018, 2020, and 2021; Institute of Oceanic Research and Development, Tokai University;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</si>
  <si>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thank Y. Kimura, Y. Suzuki, and T. Ishikawa (Tokyo Gakugei University) for their help and discussion. The Japan Meteoro-logical Agency (JMA) provides 1-min wind velocity data. The AEF data are provided by the University of Shizuoka and the National Institute of Polar Research (NIPR) , Japan. The data on the NPPs and time-lapse images are provided by NIPR. Fig. 1 was created using the map Syowa Station at a scale of 1:2,500 by the Geographical Survey Institute of Japan. This study was part of the Science Program (AP41, AP905, AP0940 and AMS0901) of the Japanese Antarctic Research Expedition (JARE; YM, MK, AK, NH and SM) . It was supported by NIPR through General Collaboration Project No. 23-12 (YM, MK, and AK) , 26-13 (YM, MK, AK, and SM) , 29-15 (YM, MK, AK, and SM) , and 3-5 (YM, MK, AK, and SM) . The authors are grateful to the JARE members for their efforts to maintain the AEF and other observation equipment at Syowa Station. This research was also supported in part by the Joint Support-Center for Data Science Research ROIS-DS-JOINT 2018, 2020, and 2021 (YM, MK, AK, and SM) , research project no. 2019-01, Institute of Oceanic Research and Development, Tokai University (MK) , and JSPS KAKENHI Grant Number 20H02419 (MK) .</t>
  </si>
  <si>
    <t>0169-8095</t>
  </si>
  <si>
    <t>1873-2895</t>
  </si>
  <si>
    <t>ATMOS RES</t>
  </si>
  <si>
    <t>Atmos. Res.</t>
  </si>
  <si>
    <t>10.1016/j.atmosres.2021.105812</t>
  </si>
  <si>
    <t>UZ9QU</t>
  </si>
  <si>
    <t>WOS:000702534000005</t>
  </si>
  <si>
    <t>Nordström, VJ; Seppälä, A</t>
  </si>
  <si>
    <t>Nordstrom, Viktoria J.; Seppala, Annika</t>
  </si>
  <si>
    <t>Does the coupling of the semiannual oscillation with the quasi-biennial oscillation provide predictability of Antarctic sudden stratospheric warmings?</t>
  </si>
  <si>
    <t>OZONE DEPLETION; CIRCULATION; WINTER; CLIMATOLOGY; QBO; MJO</t>
  </si>
  <si>
    <t>During September 2019 a minor sudden stratospheric warming took place over the Southern Hemisphere (SH), bringing disruption to the usually stable winter vortex. The mesospheric winds reversed and temperatures in the stratosphere rose by over 50 K. Whilst sudden stratospheric warmings (SSWs) in the SH are rare, with the only major SSW having occurred in 2002, the Northern Hemisphere experiences about six per decade. Amplification of atmospheric waves during winter is thought to be one of the possible triggers for SSWs, although other mechanisms are also possible. Our understanding, however, remains incomplete, especially with regards to SSW occurrence in the SH. Here, we investigate the effect of two equatorial atmospheric modes, the quasi-biennial oscillation (QBO) at 10 hPa and the semiannual oscillation (SAO) at 1 hPa during the SH winters of 2019 and 2002. Using MERRA-2 reanalysis data we find that the easterly wind patterns resembling the two modes merge at low latitudes in the early winter, forming a zerowind line that stretches from the lower stratosphere into the mesosphere. This influences the meridional wave guide, resulting in easterly momentum being deposited in the polar atmosphere throughout the polar winter, decelerating the westerly winds in the equatorward side of the polar vortex. As the winter progresses, the momentum deposition and wind anomalies descend further down into the stratosphere. We find similar behaviour in other years with early onset SH vortex weakening events. The magnitude of the SAO and the timing of the upper stratospheric (10 hPa) easterly QBO signal was found to be unique in these years when compared to the years with a similar QBO phase. We were able to identify the SSW and weak vortex years from the early winter location of the zero-wind line at 1 hPa together with Eliassen-Palm flux divergence in the upper stratosphere at 40-50 degrees S. We propose that this early winter behaviour resulting in deceleration of the polar winds may precondition the southern atmosphere for a later enhanced wave forcing from the troposphere, resulting in an SSW or vortex weakening event. Thus, the early winter equatorial upper stratosphere-mesosphere, together with the polar upper atmosphere, may provide early clues to an imminent SH SSW.</t>
  </si>
  <si>
    <t>[Nordstrom, Viktoria J.; Seppala, Annika] Univ Otago, Dept Phys, Dunedin, New Zealand</t>
  </si>
  <si>
    <t>University of Otago</t>
  </si>
  <si>
    <t>Seppälä, A (corresponding author), Univ Otago, Dept Phys, Dunedin, New Zealand.</t>
  </si>
  <si>
    <t>Seppälä, Annika/C-8031-2014</t>
  </si>
  <si>
    <t>Seppälä, Annika/0000-0002-5028-8220</t>
  </si>
  <si>
    <t>AUG 31</t>
  </si>
  <si>
    <t>10.5194/acp-21-12835-2021</t>
  </si>
  <si>
    <t>UL4JJ</t>
  </si>
  <si>
    <t>WOS:000692618900001</t>
  </si>
  <si>
    <t>Arndt, S; Haas, C; Meyer, H; Peeken, I; Krumpen, T</t>
  </si>
  <si>
    <t>Arndt, Stefanie; Haas, Christian; Meyer, Hanno; Peeken, Ilka; Krumpen, Thomas</t>
  </si>
  <si>
    <t>Recent observations of superimposed ice and snow ice on sea ice in the northwestern Weddell Sea</t>
  </si>
  <si>
    <t>MASS-BALANCE; THICKNESS; 1ST-YEAR; EVOLUTION; VARIABILITY; PATTERNS; ISOTOPE; SUMMER; COVER; RATES</t>
  </si>
  <si>
    <t>Recent low summer sea ice extent in the Weddell Sea raises questions about the contributions of dynamic and thermodynamic atmospheric and oceanic energy fluxes. The roles of snow, superimposed ice, and snow ice are particularly intriguing, as they are sensitive indicators of changes in atmospheric forcing and as they could trigger snow-albedo feedbacks that could accelerate ice melt. Here we present snow depth data and ice core observations of superimposed ice and snow ice collected in the northwestern Weddell Sea in late austral summer 2019, supplemented by airborne ice thickness measurements. Texture, salinity, and oxygen isotope analyses showed mean thicknesses of superimposed and snow ice of 0.11 +/- 0.11 and 0.22 +/- 0.22 m, respectively, or 3% to 54% of total ice thickness. Mean snow depths ranged between 0.46 +/- 0.29 m in the south to 0.05 +/- 0.06 m in the north, with mean and modal total ice thicknesses of 4.12 +/- 1.87 to 1.62 +/- 1.05 m and 3.9 to 0.9 m, respectively. These snow and ice properties are similar to results from previous studies, suggesting that the ice's summer surface energy balance and related seasonal transition of snow properties have changed little in past decades. This is supported by our additional analyses of the summer energy balance using atmospheric reanalysis data and by melt onset observations from satellite scatterometry showing few recent changes.</t>
  </si>
  <si>
    <t>[Arndt, Stefanie; Haas, Christian; Peeken, Ilka; Krumpen, Thomas] Alfred Wegener Inst, Helmholtz Zentrum Polar &amp; Meeresforsch, D-27570 Bremerhaven, Germany; [Meyer, Hanno] Alfred Wegener Inst, Helmholtz Zentrum Polar &amp; Meeresforsch, D-14473 Potsdam, Germany</t>
  </si>
  <si>
    <t>Helmholtz Association; Alfred Wegener Institute, Helmholtz Centre for Polar &amp; Marine Research; Helmholtz Association; Alfred Wegener Institute, Helmholtz Centre for Polar &amp; Marine Research</t>
  </si>
  <si>
    <t>Arndt, S (corresponding author), Alfred Wegener Inst, Helmholtz Zentrum Polar &amp; Meeresforsch, D-27570 Bremerhaven, Germany.</t>
  </si>
  <si>
    <t>stefanie.arndt@awi.de</t>
  </si>
  <si>
    <t>Arndt, Stefanie/AAA-6178-2021; Krumpen, Thomas/D-5163-2011; Haas, Christian/L-5279-2016; Meyer, Hanno/E-2870-2016</t>
  </si>
  <si>
    <t>Arndt, Stefanie/0000-0001-9782-3844; Krumpen, Thomas/0000-0001-6234-8756; Haas, Christian/0000-0002-7674-3500; Peeken, Ilka/0000-0003-1531-1664; Meyer, Hanno/0000-0003-4129-4706</t>
  </si>
  <si>
    <t>German Research Council (DFG) [SPP1158, AR1236/1]; Alfred-Wegener-Institut, Helmholtz-Zentrum fur Polar-und Meeresforschung</t>
  </si>
  <si>
    <t>German Research Council (DFG)(German Research Foundation (DFG)); Alfred-Wegener-Institut, Helmholtz-Zentrum fur Polar-und Meeresforschung</t>
  </si>
  <si>
    <t>This work was supported by the German Research Council (DFG) in the framework of the priority program Antarctic Research with comparative investigations in the Arctic ice areas (grant nos. SPP1158 and AR1236/1) and by the Alfred-Wegener-Institut, Helmholtz-Zentrum fur Polar-und Meeresforschung.</t>
  </si>
  <si>
    <t>10.5194/tc-15-4165-2021</t>
  </si>
  <si>
    <t>UL3EL</t>
  </si>
  <si>
    <t>WOS:000692538400001</t>
  </si>
  <si>
    <t>Li, XC; Cai, WJ; Meehl, GA; Chen, DK; Yuan, XJ; Raphael, M; Holland, DM; Ding, QH; Fogt, RL; Markle, BR; Wang, GJ; Bromwich, DH; Turner, J; Xie, SP; Steig, EJ; Gille, ST; Xiao, CD; Wu, BY; Lazzara, MA; Chen, XY; Stammerjohn, S; Holland, PR; Holland, MM; Cheng, X; Price, SF; Wang, ZM; Bitz, CM; Shi, JX; Gerber, EP; Liang, X; Goosse, H; Yoo, C; Ding, MH; Geng, L; Xin, MJ; Li, CN; Dou, TF; Liu, CY; Sun, WJ; Wang, XY; Song, CT</t>
  </si>
  <si>
    <t>Li, Xichen; Cai, Wenju; Meehl, Gerald A.; Chen, Dake; Yuan, Xiaojun; Raphael, Marilyn; Holland, David M.; Ding, Qinghua; Fogt, Ryan L.; Markle, Bradley R.; Wang, Guojian; Bromwich, David H.; Turner, John; Xie, Shang-Ping; Steig, Eric J.; Gille, Sarah T.; Xiao, Cunde; Wu, Bingyi; Lazzara, Matthew A.; Chen, Xianyao; Stammerjohn, Sharon; Holland, Paul R.; Holland, Marika M.; Cheng, Xiao; Price, Stephen F.; Wang, Zhaomin; Bitz, Cecilia M.; Shi, Jiuxin; Gerber, Edwin P.; Liang, Xi; Goosse, Hugues; Yoo, Changhyun; Ding, Minghu; Geng, Lei; Xin, Meijiao; Li, Chuanjin; Dou, Tingfeng; Liu, Chengyan; Sun, Weijun; Wang, Xinyue; Song, Chentao</t>
  </si>
  <si>
    <t>Tropical teleconnection impacts on Antarctic climate changes</t>
  </si>
  <si>
    <t>NATURE REVIEWS EARTH &amp; ENVIRONMENT</t>
  </si>
  <si>
    <t>AMUNDSEN SEA EMBAYMENT; INDIAN-OCEAN DIPOLE; SOUTHERN-HEMISPHERE CLIMATE; SURFACE AIR-TEMPERATURE; MERIDIONAL OVERTURNING CIRCULATION; ISLAND ICE-SHELF; EL-NINO; WEST ANTARCTICA; LEVEL RISE; MASS-LOSS</t>
  </si>
  <si>
    <t>Over the modern satellite era, substantial climatic changes have been observed in the Antarctic, including atmospheric and oceanic warming, ice sheet thinning and a general Antarctic-wide expansion of sea ice, followed by a more recent rapid loss. Although these changes, featuring strong zonal asymmetry, are partially influenced by increasing greenhouse gas emissions and stratospheric ozone depletion, tropical-polar teleconnections are believed to have a role through Rossby wave dynamics. In this Review, we synthesize understanding of tropical teleconnections to the Southern Hemisphere extratropics arising from the El Nino-Southern Oscillation, Interdecadal Pacific Oscillation and Atlantic Multidecadal Oscillation, focusing on the mechanisms and long-term climatic impacts. These teleconnections have contributed to observed Antarctic and Southern Ocean changes, including regional rapid surface warming, pre-2015 sea ice expansion and its sudden reduction thereafter, changes in ocean heat content and accelerated thinning of most of the Antarctic ice sheet. However, due to limited observations and inherent model biases, uncertainties remain in understanding and assessing the importance of these teleconnections versus those arising from greenhouse gases, ozone recovery and internal variability. Sustained pan-Antarctic efforts towards long-term observations, and more realistic dynamics and parameterizations in high-resolution climate models, offer opportunities to reduce these uncertainties. Tropical teleconnections can influence polar climates through the generation of stationary Rossby waves. This Review outlines the dynamics and impacts of long-term tropical-polar connections on the Antarctic climate, which include warming trends and ice mass loss in West Antarctica.</t>
  </si>
  <si>
    <t>[Li, Xichen; Xin, Meijiao; Wang, Xinyue; Song, Chentao] Chinese Acad Sci, Inst Atmospher Phys, Beijing, Peoples R China; [Cai, Wenju; Wang, Guojian; Chen, Xianyao] Ocean Univ China, Frontiers Sci Ctr Deep Ocean Multispheres &amp; Earth, Qingdao, Peoples R China; [Cai, Wenju; Wang, Guojian; Chen, Xianyao] Ocean Univ China, Phys Oceanog Lab, Qingdao, Peoples R China; [Cai, Wenju; Wang, Guojian; Chen, Xianyao] Qingdao Natl Lab Marine Sci &amp; technol, Qingdao, Peoples R China; [Cai, Wenju; Wang, Guojian] CSIRO Oceans &amp; Atmosphere, Ctr Southern Hemisphere Oceans Res CSHOR, Hobart, Tas, Australia; [Meehl, Gerald A.; Holland, Marika M.] Natl Ctr Atmospher Res, Climate &amp; Global Dynam Lab, POB 3000, Boulder, CO 80307 USA; [Chen, Dake] Minist Nat resources, Inst Oceanog 2, Hangzhou, Peoples R China; [Chen, Dake; Cheng, Xiao; Wang, Zhaomin; Liu, Chengyan] Southern Marine Sci &amp; Engn Guangdong Lab Zhuhai, Zhuhai, Peoples R China; [Yuan, Xiaojun] Columbia Univ, Lamont Doherty Earth Observ, New York, NY USA; [Raphael, Marilyn] Univ Calif Los Angeles, Dept Geog, Los Angeles, CA 90024 USA; [Holland, David M.; Gerber, Edwin P.] NYU, Courant Inst Math Sci, 251 Mercer St, New York, NY USA; [Holland, David M.] New York Univ Abu Dhabi, Ctr Global Sea Level Change, Abu Dhabi, U Arab Emirates; [Ding, Qinghua; Markle, Bradley R.] Univ Calif Santa Barbara, Dept Geog, Santa Barbara, CA 93106 USA; [Ding, Qinghua; Markle, Bradley R.] Univ Calif Santa Barbara, Earth Res Inst, Santa Barbara, CA 93106 USA; [Fogt, Ryan L.] Ohio Univ, Dept Geog, Athens, OH 45701 USA; [Markle, Bradley R.; Stammerjohn, Sharon] Univ Colorado, Inst Arctic &amp; Alpine Res, Boulder, CO 80309 USA; [Bromwich, David H.] Ohio State Univ, Byrd Polar &amp; Climate Res Ctr, Columbus, OH 43210 USA; [Bromwich, David H.] Ohio State Univ, Atmospher Sci Program, Columbus, OH 43210 USA; [Bromwich, David H.; Turner, John; Holland, Paul R.] British Antarctic Survey, Nat Environm Res Council, Cambridge, England; [Xie, Shang-Ping; Gille, Sarah T.] Univ Calif San Diego, Scripps Inst Oceanog, La Jolla, CA 92093 USA; [Steig, Eric J.] Univ Washington, Dept Earth &amp; Space Sci, Seattle, WA 98195 USA; [Xiao, Cunde] Beijing Normal Univ, State Key Lab Earth Surface Proc &amp; Resource Ecol, Beijing, Peoples R China; [Wu, Bingyi] Fudan Univ, Dept Atmospher &amp; Ocean Sci, Shanghai, Peoples R China; [Wu, Bingyi] Fudan Univ, Inst Atmospher Sci, Shanghai, Peoples R China; [Lazzara, Matthew A.] Univ Wisconsin, Ctr Space Sci &amp; Engn, 1225 W Dayton St, Madison, WI 53706 USA; [Lazzara, Matthew A.] Madison Area Tech Coll, Dept Phys Sci, Madison, WI USA; [Cheng, Xiao] Sun Yat Sen Univ, Sch Geospatial Engn &amp; Sci, Zhuhai, Peoples R China; [Price, Stephen F.] Los Alamos Natl Lab, Fluid Dynam &amp; Solid Mech Grp, Los Alamos, NM USA; [Wang, Zhaomin; Liu, Chengyan] Hohai Univ, Coll Oceanog, Nanjing, Peoples R China; [Bitz, Cecilia M.] Univ Washington, Dept Atmospher Sci, Seattle, WA 98195 USA; [Shi, Jiuxin] Ocean Univ China, Key Lab Phys Oceanog, Qingdao, Peoples R China; [Liang, Xi] Natl Marine Environm Forecasting Ctr, Key Lab Res Marine Hazards Forecasting, Beijing, Peoples R China; [Goosse, Hugues] Univ Catholique Louvain UCLouvain, Earth &amp; Life Inst, Louvain La Neuve, Belgium; [Yoo, Changhyun] Ewha Womans Univ, Dept Climate &amp; Energy Syst Engn, Seoul, South Korea; [Ding, Minghu] Chinese Acad Meteorol Sci, Inst Tibetan Plateau &amp; Polar Meteorol, Beijing, Peoples R China; [Geng, Lei] Univ Sci &amp; Technol China, Sch Earth &amp; Space Sci, Hefei, Peoples R China; [Li, Chuanjin] Chinese Acad Sci, Northwest Inst Ecoenvironm &amp; Resources, Lanzhou, Peoples R China; [Dou, Tingfeng] Univ Chinese Acad Sci, Coll Resources &amp; Environm, Beijing, Peoples R China; [Sun, Weijun] Shandong Normal Univ, Coll Geog &amp; Environm, Jinan, Peoples R China</t>
  </si>
  <si>
    <t>Chinese Academy of Sciences; Institute of Atmospheric Physics, CAS; Ocean University of China; Ocean University of China; Laoshan Laboratory; Commonwealth Scientific &amp; Industrial Research Organisation (CSIRO); National Center Atmospheric Research (NCAR) - USA; Ministry of Natural Resources of the People's Republic of China; Southern Marine Science &amp; Engineering Guangdong Laboratory; Southern Marine Science &amp; Engineering Guangdong Laboratory (Zhuhai); Columbia University; University of California System; University of California Los Angeles; New York University; New York University Abu Dhabi; University of California System; University of California Santa Barbara; University of California System; University of California Santa Barbara; University System of Ohio; Ohio University; University of Colorado System; University of Colorado Boulder; University System of Ohio; Ohio State University; University System of Ohio; Ohio State University; UK Research &amp; Innovation (UKRI); Natural Environment Research Council (NERC); NERC British Antarctic Survey; University of California System; University of California San Diego; Scripps Institution of Oceanography; University of Washington; University of Washington Seattle; Beijing Normal University; Fudan University; Fudan University; University of Wisconsin System; University of Wisconsin Madison; Sun Yat Sen University; United States Department of Energy (DOE); Los Alamos National Laboratory; Hohai University; University of Washington; University of Washington Seattle; Ocean University of China; National Marine Environmental Forecasting Center; Ewha Womans University; China Meteorological Administration; Chinese Academy of Meteorological Sciences (CAMS); Chinese Academy of Sciences; University of Science &amp; Technology of China, CAS; Chinese Academy of Sciences; Chinese Academy of Sciences; University of Chinese Academy of Sciences, CAS; Shandong Normal University</t>
  </si>
  <si>
    <t>Li, XC (corresponding author), Chinese Acad Sci, Inst Atmospher Phys, Beijing, Peoples R China.</t>
  </si>
  <si>
    <t>lixichen@mail.iap.ac.cn</t>
  </si>
  <si>
    <t>Steig, Eric J/G-9088-2015; Wang, Guojian/AAF-9297-2020; Bitz, Cecilia M/S-8423-2016; Fogt, Ryan L/B-6989-2008; Liang, Xi/HOF-5510-2023; sun, weijun/GZB-2595-2022; Li, Xichen/ISB-4663-2023; geng, lei/KEZ-8801-2024; Holland, Paul R/G-2796-2012; Xie, Shang-Ping/C-1254-2009; Yuan, Xiaojun/AAI-7770-2020; Ding, Minghu/AFU-3600-2022; Cai, Wei-Jun/C-1361-2013; Price, Stephen/E-1568-2013; cai, wenju/C-2864-2012</t>
  </si>
  <si>
    <t>Wang, Guojian/0000-0002-8881-7394; Fogt, Ryan L/0000-0002-5398-3990; Liang, Xi/0000-0001-8986-1154; Xie, Shang-Ping/0000-0002-3676-1325; Ding, Minghu/0000-0002-1142-6598; Price, Stephen/0000-0001-6878-2553; Bitz, Cecilia/0000-0002-9477-7499; cai, wenju/0000-0001-6520-0829; Chen, Dake/0000-0002-8193-7158; Li, Xichen/0000-0001-6325-6626</t>
  </si>
  <si>
    <t>National Key Research and Development Program of China [2019YFC1509100]; National Natural Science Foundation of China [41676190, 41825012]; Chinese Arctic and Antarctic Administration [CXPT2020015]; Regional and Global Model Analysis (RGMA) component of Earth and Environmental System Modeling in the Earth and Environmental Systems Sciences Division of the U.S. Department of Energy's Office of Biological and Environmental Research (BER) via National Sc [1947282]; National Center for Atmospheric Research [1852977]; LDEO; National Science Foundation, Office of Polar Programs [NSF-OPP-1745089]; Center for Global Sea Level Change (CSLC) of NYU Abu Dhabi Research Institute [G1204]; NSF [PLR-1739003, AGS-1852727]; Climate Variability Predictability [NA18OAR4310424]; National Science Foundation [PLR-1744998, AGS-2105654, AGS-1934392, AGS-1637450, U.S. NSF PLR-1440435, U.S. NSF OPP-1724748]; Stanback Postdoctoral Fellowship; U.S. NSF [OPP-1823135, PLR-1425989, OPP-1936222]; U.S. Department of Energy (DOE) [DE-SC0020073]; Office of Polar Programs, National Science Foundation [1924730]; U.S. Department of Energy Office of Science, Biological and Environmental Research programme; China National Natural Science Foundation (NSFC) [41941007, 41876220]; Fonds de la Recherche Scientifique-FNRS; National Research Foundation of Korea (NRF) [NRF-2019R1C1C1003161]; U.S. Department of Energy (DOE) [DE-SC0020073] Funding Source: U.S. Department of Energy (DOE); NERC [bas0100032, bas0100033] Funding Source: UKRI; Office of Polar Programs (OPP); Directorate For Geosciences [1924730] Funding Source: National Science Foundation</t>
  </si>
  <si>
    <t>National Key Research and Development Program of China; National Natural Science Foundation of China(National Natural Science Foundation of China (NSFC)); Chinese Arctic and Antarctic Administration; Regional and Global Model Analysis (RGMA) component of Earth and Environmental System Modeling in the Earth and Environmental Systems Sciences Division of the U.S. Department of Energy's Office of Biological and Environmental Research (BER) via National Sc; National Center for Atmospheric Research; LDEO; National Science Foundation, Office of Polar Programs(National Science Foundation (NSF)NSF - Directorate for Geosciences (GEO)); Center for Global Sea Level Change (CSLC) of NYU Abu Dhabi Research Institute; NSF(National Science Foundation (NSF)); Climate Variability Predictability; National Science Foundation(National Science Foundation (NSF)); Stanback Postdoctoral Fellowship; U.S. NSF(National Science Foundation (NSF)); U.S. Department of Energy (DOE)(United States Department of Energy (DOE)); Office of Polar Programs, National Science Foundation(National Science Foundation (NSF)); U.S. Department of Energy Office of Science, Biological and Environmental Research programme(United States Department of Energy (DOE)); China National Natural Science Foundation (NSFC)(National Natural Science Foundation of China (NSFC)); Fonds de la Recherche Scientifique-FNRS(Fonds de la Recherche Scientifique - FNRS); National Research Foundation of Korea (NRF)(National Research Foundation of Korea); U.S. Department of Energy (DOE)(United States Department of Energy (DOE)); NERC(UK Research &amp; Innovation (UKRI)Natural Environment Research Council (NERC)); Office of Polar Programs (OPP); Directorate For Geosciences(National Science Foundation (NSF)NSF - Directorate for Geosciences (GEO))</t>
  </si>
  <si>
    <t>This work is supported by the National Key Research and Development Program of China (2018YFA0605700). X.Li is supported by the National Key Research and Development Program of China (2019YFC1509100), the National Natural Science Foundation of China (no. 41676190 and no. 41825012), and the Chinese Arctic and Antarctic Administration (CXPT2020015). G.A.M. was supported by the Regional and Global Model Analysis (RGMA) component of Earth and Environmental System Modeling in the Earth and Environmental Systems Sciences Division of the U.S. Department of Energy's Office of Biological and Environmental Research (BER) via National Science Foundation IA 1947282 and by the National Center for Atmospheric Research, which is a major facility sponsored by the National Science Foundation (NSF) under Cooperative Agreement no. 1852977. X.Y. is supported by the LDEO endowment for this work. M.R. is supported by the National Science Foundation, Office of Polar Programs (grant no. NSF-OPP-1745089). D.M.H. is supported by the Center for Global Sea Level Change (CSLC) of NYU Abu Dhabi Research Institute (G1204) in the UAE and NSF PLR-1739003. Q.D. is supported by Climate Variability &amp; Predictability (NA18OAR4310424) as part of NOAA's Climate Program Office. R.L.F. was supported by the National Science Foundation under grant no. U.S. NSF PLR-1744998. B.R.M. was supported, in part, by a Stanback Postdoctoral Fellowship. D.H.B. was supported by the U.S. NSF award OPP-1823135. S.P.X. was supported by the National Science Foundation (AGS-2105654, AGS-1934392 and AGS-1637450). S.T.G. was supported by the U.S. NSF awards PLR-1425989 and OPP-1936222, and by the U.S. Department of Energy (DOE) (award DE-SC0020073). M.A.L. is supported by the Office of Polar Programs, National Science Foundation grant (no. 1924730). X.Chen is supported by the National Key Research and Development Program of China (2019YFC1509100) and the National Science Foundation of China (no. 41825012). S.E.S. was supported by the National Science Foundation under grant no. U.S. NSF PLR-1440435. M.M.H. was supported by the National Science Foundation under grant no. U.S. NSF OPP-1724748. S.F.P. is supported by the U.S. Department of Energy Office of Science, Biological and Environmental Research programme. Z.W. is supported by China National Natural Science Foundation (NSFC) project nos. 41941007 and 41876220. E.P.G. is supported by the NSF grant AGS-1852727. H.G. is a research director within the Fonds de la Recherche Scientifique-FNRS. C.Y. is supported by the National Research Foundation of Korea (NRF) (grant NRF-2019R1C1C1003161).</t>
  </si>
  <si>
    <t>2662-138X</t>
  </si>
  <si>
    <t>NAT REV EARTH ENV</t>
  </si>
  <si>
    <t>Nat. Rev. Earth Environ.</t>
  </si>
  <si>
    <t>10.1038/s43017-021-00204-5</t>
  </si>
  <si>
    <t>WE8IQ</t>
  </si>
  <si>
    <t>WOS:000691637500001</t>
  </si>
  <si>
    <t>Haque, AB; White, WT; Cavanagh, RD; Biswas, AR; Hossain, N</t>
  </si>
  <si>
    <t>Haque, Alifa Bintha; White, William T.; Cavanagh, Rachel D.; Biswas, Aparna Riti; Hossain, Nazia</t>
  </si>
  <si>
    <t>New records of elasmobranchs in the Bay of Bengal, Bangladesh: further taxonomic research is essential</t>
  </si>
  <si>
    <t>Guitarfish; Indian Ocean; NADH2 gene; Ray; Shark</t>
  </si>
  <si>
    <t>MYLIOBATIFORMES DASYATIDAE; SHARK; IDENTIFICATION; CONSERVATION; NOV.</t>
  </si>
  <si>
    <t>To evaluate the species diversity and strengthen the taxonomic identification of elasmobranchs in the Bay of Bengal, Bangladesh, a study was conducted in the southeast coastal region between January 2016 and March 2018. Using morphological and genetic identification techniques, this study presents 22 species from the region. Thirteen of these are new records. The new records consist of eight species from the family Dasyatidae, and one each from Mobulidae, Rhinobatidae, Narcinidae, Hemiscylliidae and Triakidae. Furthermore, four occurrences are first verified reports, and five are potential new records requiring further taxonomic investigation.</t>
  </si>
  <si>
    <t>[Haque, Alifa Bintha] Univ Oxford, Nat Based Solut Initiat, Dept Zool, Zool Res &amp; Adm Bldg,11a Mansfield Rd, Oxford OX1 3SZ, England; [White, William T.] CSIRO, Australian Natl Fish Collect, Natl Res Collect Australia, Hobart, Tas 7000, Australia; [Cavanagh, Rachel D.] British Antarctic Survey, Madingley Rd, Cambridge CB3 0ET, England; [Haque, Alifa Bintha; Biswas, Aparna Riti; Hossain, Nazia] Univ Dhaka, Dept Zool, Dhaka 1000, Bangladesh</t>
  </si>
  <si>
    <t>University of Oxford; Commonwealth Scientific &amp; Industrial Research Organisation (CSIRO); UK Research &amp; Innovation (UKRI); Natural Environment Research Council (NERC); NERC British Antarctic Survey; University of Dhaka</t>
  </si>
  <si>
    <t>Haque, AB (corresponding author), Univ Oxford, Nat Based Solut Initiat, Dept Zool, Zool Res &amp; Adm Bldg,11a Mansfield Rd, Oxford OX1 3SZ, England.;Haque, AB (corresponding author), Univ Dhaka, Dept Zool, Dhaka 1000, Bangladesh.</t>
  </si>
  <si>
    <t>alifa.haque@du.ac.bd; William.White@csiro.au; rcav@bas.ac.uk; aparnariti.du@gmail.com; nazialhossain@gmail.com</t>
  </si>
  <si>
    <t>Haque, A B M Mahfuzul/GZA-5271-2022; White, William/B-9748-2009</t>
  </si>
  <si>
    <t>Hossain, Nazia/0000-0002-6530-3585; White, William/0000-0001-9705-2453; Cavanagh, Rachel/0000-0002-2474-9716; Haque, Bazle/0000-0002-0836-3864</t>
  </si>
  <si>
    <t>10.11646/zootaxa.5027.2.4</t>
  </si>
  <si>
    <t>UK2DW</t>
  </si>
  <si>
    <t>WOS:000691786500004</t>
  </si>
  <si>
    <t>Emami-Khoyi, A; Agnew, TW; Adair, MG; Murphy, EC; Benmazouz, I; Monsanto, DM; Parbhu, SP; Main, DC; Le Roux, R; Golla, TR; Schnelle, C; Alizadeh, H; Csányi, S; Heltai, M; van Vuuren, BJ; Paterson, AM; Teske, PR; Ross, JG</t>
  </si>
  <si>
    <t>Emami-Khoyi, Arsalan; Agnew, Thomas W.; Adair, Matthew G.; Murphy, Elaine C.; Benmazouz, Isma; Monsanto, Daniela M.; Parbhu, Shilpa P.; Main, Devon C.; Le Roux, Rynhardt; Golla, Tirupathi Rao; Schnelle, Claudia; Alizadeh, Hossein; Csanyi, Sandor; Heltai, Miklos; Jansen van Vuuren, Bettine; Paterson, Adrian M.; Teske, Peter R.; Ross, James G.</t>
  </si>
  <si>
    <t>A New Non-invasive Method for Collecting DNA From Small Mammals in the Field, and Its Application in Simultaneous Vector and Disease Monitoring in Brushtail Possums</t>
  </si>
  <si>
    <t>FRONTIERS IN ENVIRONMENTAL SCIENCE</t>
  </si>
  <si>
    <t>non-invasive DNA; disease monitoring; Australian brushtail possum; DNA degradation; zoonosis; population density</t>
  </si>
  <si>
    <t>ENVIRONMENTAL DNA; NEW-ZEALAND; ORAL MICROBIOME; SHEDDER STATUS; MYCOBACTERIUM; CONSERVATION; IDENTIFICATION; PROGRAM; SAMPLES; TEMPERATURE</t>
  </si>
  <si>
    <t>Large-scale monitoring of wild populations in remote areas using traditional live-capturing methods is logistically and financially challenging. Devices that can be used to obtain biological material remotely and store it for an extended period have considerable potential to monitor population densities and health status, but their applicability remains largely unexplored. The present study describes a device that collects trace amounts of DNA from the saliva of small mammals that is deposited on the surface of a collection medium (WaxTags (R)). The device's performance was evaluated on Australian brushtail possums (Trichosurus vulpecula), an invasive pest species and the most significant vector of bovine tuberculosis infective agent (Mycobacterium bovis), under field conditions in Canterbury, New Zealand. The retrieved DNA was used to amplify eight possum-specific microsatellite markers and bacterial 16S rRNA. The design is mechanically robust, and the quality of the recovered DNA was adequate for microsatellite-based identification of individual possums, estimation of population density, and partial reconstruction of their oral microbiomes as a potential indicator of health. Several medically important bacteria, including strains of environmental Mycobacterium sp., were detected. The design can be refined to monitor other animals' populations proactively and provide different levels of information necessary to manage wild populations.</t>
  </si>
  <si>
    <t>[Emami-Khoyi, Arsalan; Adair, Matthew G.; Monsanto, Daniela M.; Parbhu, Shilpa P.; Main, Devon C.; Le Roux, Rynhardt; Golla, Tirupathi Rao; Schnelle, Claudia; Jansen van Vuuren, Bettine; Teske, Peter R.] Univ Johannesburg, Dept Zool, Ctr Ecol Genom &amp; Wildlife Conservat, Auckland Pk, South Africa; [Emami-Khoyi, Arsalan; Agnew, Thomas W.; Murphy, Elaine C.; Paterson, Adrian M.; Ross, James G.] Lincoln Univ, Fac Agr &amp; Life Sci, Dept Pest Management &amp; Conservat, Lincoln, New Zealand; [Benmazouz, Isma; Csanyi, Sandor; Heltai, Miklos] Hungarian Univ Agr &amp; Life Sci, Inst Wildlife Management &amp; Nat Conservat, Godollo, Hungary; [Benmazouz, Isma] Univ Debrecen, Inst Med Microbiol, Dept Nat Conservat &amp; Wildlife Management, Debrecen, Hungary; [Alizadeh, Hossein] Lincoln Univ, Bioprotect Res Ctr, Lincoln, New Zealand</t>
  </si>
  <si>
    <t>University of Johannesburg; Lincoln University - New Zealand; Hungarian University of Agriculture &amp; Life Sciences; University of Debrecen; Lincoln University - New Zealand</t>
  </si>
  <si>
    <t>Emami-Khoyi, A (corresponding author), Univ Johannesburg, Dept Zool, Ctr Ecol Genom &amp; Wildlife Conservat, Auckland Pk, South Africa.</t>
  </si>
  <si>
    <t>ekarsalan@gmail.com</t>
  </si>
  <si>
    <t>Csanyi, Sandor/F-5320-2010; Jansen van Vuuren, Bettine/E-6227-2013; benmazouz, Isma/HHY-9519-2022; Teske, Peter/B-1564-2019; Adair, Matthew/AAR-2671-2021; Core, UNC Microbiome/AAB-3304-2022; Le Roux, Rynhardt/IYJ-7672-2023; Paterson, Adrian/JCD-6568-2023</t>
  </si>
  <si>
    <t>Csanyi, Sandor/0000-0001-7757-7156; Jansen van Vuuren, Bettine/0000-0002-5334-5358; Adair, Matthew/0000-0003-1887-4235; Le Roux, Rynhardt/0000-0002-3114-0968;</t>
  </si>
  <si>
    <t>South Africa's National Antarctic Program (SANAP) [110728]</t>
  </si>
  <si>
    <t>South Africa's National Antarctic Program (SANAP)</t>
  </si>
  <si>
    <t>We would like to thank AS, AB, NS, Sina Rhmaty, and an anonymous reviewer for their constructive comments on the initial version of the manuscript. Ali Labbaf Tehrani is acknowledged for the creation of the graphical illustrations. AE-K and DM received bursaries from South Africa's National Antarctic Program (SANAP) Grant No. 110728 to BJ. The computational resources for the current study were provided by the Center for High-Performance Computing (CHPC) in Cape Town, the University of Johannesburg IT services, and the Hungarian University of Agriculture and Life Science.</t>
  </si>
  <si>
    <t>2296-665X</t>
  </si>
  <si>
    <t>FRONT ENV SCI-SWITZ</t>
  </si>
  <si>
    <t>Front. Environ. Sci.</t>
  </si>
  <si>
    <t>AUG 30</t>
  </si>
  <si>
    <t>10.3389/fenvs.2021.701033</t>
  </si>
  <si>
    <t>WV9TT</t>
  </si>
  <si>
    <t>WOS:000717572300001</t>
  </si>
  <si>
    <t>De Benedetti, F; Zamaloa, MC; Gandolfo, MA; Cúneo, NR</t>
  </si>
  <si>
    <t>De Benedetti, Facundo; Zamaloa, Maria C.; Gandolfo, Maria A.; Cuneo, Nestor R.</t>
  </si>
  <si>
    <t>The South American and Antarctic Peninsula fossil record of Salviniales (water ferns): Its implication for understanding their evolution and past distribution</t>
  </si>
  <si>
    <t>Salviniaceae; Marsileaceae; Fossils; K/Pg boundary; Paleogeography; Paleoenvironments</t>
  </si>
  <si>
    <t>SANTA-CRUZ PROVINCE; JAMES-ROSS BASIN; AUSTRAL BASIN; CRETACEOUS-PALEOGENE; SEYMOUR-ISLAND; CLIMATE-CHANGE; JORGE BASIN; PATAGONIA; PALYNOLOGY; MEGASPORES</t>
  </si>
  <si>
    <t>We compiled the fossil record of the heterosporous water ferns (Salviniales) including macro- and microfossils from South America and the Antarctic Peninsula. Both extant families, Marsileaceae and Salviniaceae, are well represented and several fossil spore genera that cannot be placed within the extant families are included as Incertae sedis. Marsileaceae is first recorded in the Middle to Late Jurassic. Incertae sedis genera are recorded for first time in the Early Cretaceous while Salviniaceae in the Late Cretaceous. Two diversity spikes are recognized: one spanned the Aptian-Albian (Early Cretaceous) and is linked to an increase in species diversity within Marsileaceae; and the other occurred during the Campanian-Maastrichtian (Late Cretaceous) and it is associated with the diversification at generic level of the entire Salviniales. Two decreases in diversity are recognized: one during the Cenomanian-Santonian and affected Marsileaceae at specific level but not its generic diversity, and the second is related to the Cretaceous-Paleogene mass extinction and affected all Salviniales at generic and specific levels. From the Paleocene onwards there is a steady decline in the fossil record of the group, with most remains belonging to the extant genera. This study suggests that Southern Hemisphere aquatic ferns underwent a sharp radiation during the Late Cretaceous and a deep decline in the Paleocene that parallels that occurred in the Northern Hemisphere. Probably, the temporal co-occurrence of geological and climate events and the availability of suitable lineages promoted the evolutionary changes of the water ferns in the studied area, including the high diversification and distribution in the Cretaceous and the subsequent post-Maastrichtian decline. (C) 2021 Elsevier B.V. All rights reserved.</t>
  </si>
  <si>
    <t>[De Benedetti, Facundo; Zamaloa, Maria C.; Cuneo, Nestor R.] Consejo Nacl Invest Cient &amp; Tecn, Museo Paleontol Egidio Feruglio, Ave Fontana 140, RA-9100 Trelew, Chubut, Argentina; [Gandolfo, Maria A.] LH Bailey Hortorium, Sch Integrat Plant Sci, Plant Biol Sect, Ithaca, NY USA</t>
  </si>
  <si>
    <t>Consejo Nacional de Investigaciones Cientificas y Tecnicas (CONICET)</t>
  </si>
  <si>
    <t>De Benedetti, F (corresponding author), Consejo Nacl Invest Cient &amp; Tecn, Museo Paleontol Egidio Feruglio, Ave Fontana 140, RA-9100 Trelew, Chubut, Argentina.</t>
  </si>
  <si>
    <t>fdebenedetti@mef.org.ar; magandolfo@cornell.edu; rcuneo@mef.org.ar</t>
  </si>
  <si>
    <t>NSF [DEB-1556666, DEB1556136, DEB-0919071, DEB-0918932, EAR-1925552]</t>
  </si>
  <si>
    <t>The authors thank J. Svitko for assistancewith the compilation of the bibliography and to the two anonymous reviewers and the editor for their helpful comments and suggestions that improved our contribution. We are grateful to A.L. Decombeix and B. Meyer-Berthaud for inviting us to participate in this special issue honoring Dr. J. Galtier. This research was supported in part by NSF grants DEB-1556666, DEB1556136, DEB-0919071, DEB-0918932, and EAR-1925552.</t>
  </si>
  <si>
    <t>10.1016/j.revpalbo.2021.104521</t>
  </si>
  <si>
    <t>UW3FX</t>
  </si>
  <si>
    <t>WOS:000700047300012</t>
  </si>
  <si>
    <t>Humphries, RS; Keywood, MD; Gribben, S; McRobert, IM; Ward, JP; Selleck, P; Taylor, S; Harnwell, J; Flynn, C; Kulkarni, GR; Mace, GG; Protat, A; Alexander, SP; McFarquhar, G</t>
  </si>
  <si>
    <t>Humphries, Ruhi S.; Keywood, Melita D.; Gribben, Sean; McRobert, Ian M.; Ward, Jason P.; Selleck, Paul; Taylor, Sally; Harnwell, James; Flynn, Connor; Kulkarni, Gourihar R.; Mace, Gerald G.; Protat, Alain; Alexander, Simon P.; McFarquhar, Greg</t>
  </si>
  <si>
    <t>Southern Ocean latitudinal gradients of cloud condensation nuclei</t>
  </si>
  <si>
    <t>NUMBER-SIZE DISTRIBUTION; AEROSOL-PARTICLES; DIMETHYL SULFIDE; BOUNDARY-LAYER; CAPE GRIM; ACE 1; SYSTEM; 1ST; METHANESULFONATE; UNCERTAINTY</t>
  </si>
  <si>
    <t>The Southern Ocean region is one of the most pristine in the world and serves as an important proxy for the pre-industrial atmosphere. Improving our understanding of the natural processes in this region is likely to result in the largest reductions in the uncertainty of climate and earth system models. While remoteness from anthropogenic and continental sources is responsible for its clean atmosphere, this also results in the dearth of atmospheric observations in the region. Here we present a statistical summary of the latitudinal gradient of aerosol (condensation nuclei larger than 10 nm, CN10) and cloud condensation nuclei (CCN at various supersaturations) concentrations obtained from five voyages spanning the Southern Ocean between Australia and Antarctica from late spring to early autumn (October to March) of the 2017/18 austral seasons. Three main regions of influence were identified: the northern sector (40-45 degrees S), where continental and anthropogenic sources coexisted with background marine aerosol populations; the mid-latitude sector (45-65 degrees S), where the aerosol populations reflected a mixture of biogenic and sea-salt aerosol; and the southern sector (65-70 degrees S), south of the atmospheric polar front, where sea-salt aerosol concentrations were greatly reduced and aerosol populations were primarily biologically derived sulfur species with a significant history in the Antarctic free troposphere. The northern sector showed the highest number concentrations with median (25th to 75th percentiles) CN10 and CCN0.5 concentrations of 681 (388-839) cm(-3) and 322 (105-443) cm(-3), respectively. Concentrations in the mid-latitudes were typically around 350 cm(-3) and 160 cm(-3) for CN10 and CCN0.5, respectively. In the southern sector, concentrations rose markedly, reaching 447 (298-446) cm(-3) and 232 (186-271) cm(-3) for CN10 and CCN0.5, respectively. The aerosol composition in this sector was marked by a distinct drop in sea salt and increase in both sulfate fraction and absolute concentrations, resulting in a substantially higher CCN0.5/CN10 activation ratio of 0.8 compared to around 0.4 for mid-latitudes. Long-term measurements at land-based research stations surrounding the Southern Ocean were found to be good representations at their respective latitudes; however this study highlighted the need for more long-term measurements in the region. CCN observations at Cape Grim (40 degrees 390 S) corresponded with CCN measurements from northern and mid-latitude sectors, while CN10 observations only corresponded with observations from the northern sector. Measurements from a simultaneous 2-year campaign at Macquarie Island (54 degrees 30' S) were found to represent all aerosol species well. The southernmost latitudes differed significantly from both of these stations, and previous work suggests that Antarctic stations on the East Antarctic coastline do not represent the East Antarctic sea-ice latitudes well. Further measurements are needed to capture the long-term, seasonal and longitudinal variability in aerosol processes across the Southern Ocean.</t>
  </si>
  <si>
    <t>[Humphries, Ruhi S.; Keywood, Melita D.; Gribben, Sean; Ward, Jason P.; Selleck, Paul; Taylor, Sally; Harnwell, James] CSIRO Oceans &amp; Atmosphere, Climate Sci Ctr, Melbourne, Vic, Australia; [Humphries, Ruhi S.; Keywood, Melita D.; Protat, Alain; Alexander, Simon P.] Univ Tasmania, Inst Marine &amp; Antarct Studies, Australian Antarct Program Partnership, Hobart, Tas, Australia; [McRobert, Ian M.] CSIRO, Natl Collect &amp; Marine Infrastruct, Engn &amp; Technol Program, Hobart, Tas, Australia; [Flynn, Connor; McFarquhar, Greg] Univ Oklahoma, Sch Meteorol, Norman, OK 73019 USA; [Kulkarni, Gourihar R.] Pacific Northwest Natl Lab, Atmospher Sci &amp; Global Change Div, Richland, WA USA; [Mace, Gerald G.] Univ Utah, Dept Atmospher Sci, Salt Lake City, UT USA; [Protat, Alain] Australian Bur Meteorol, Melbourne, FL USA; [Alexander, Simon P.] Australian Antarct Div, Channel Highway, Kingston, Tas 7050, Australia; [McFarquhar, Greg] Univ Oklahoma, Cooperat Inst Mesoscale Meteorol Studies, Norman, OK 73019 USA</t>
  </si>
  <si>
    <t>Commonwealth Scientific &amp; Industrial Research Organisation (CSIRO); Melbourne Genomics Health Alliance; University of Tasmania; Commonwealth Scientific &amp; Industrial Research Organisation (CSIRO); University of Oklahoma System; University of Oklahoma - Norman; United States Department of Energy (DOE); Pacific Northwest National Laboratory; Utah System of Higher Education; University of Utah; Australian Antarctic Division; University of Oklahoma System; University of Oklahoma - Norman</t>
  </si>
  <si>
    <t>Humphries, RS (corresponding author), CSIRO Oceans &amp; Atmosphere, Climate Sci Ctr, Melbourne, Vic, Australia.;Humphries, RS (corresponding author), Univ Tasmania, Inst Marine &amp; Antarct Studies, Australian Antarct Program Partnership, Hobart, Tas, Australia.</t>
  </si>
  <si>
    <t>ruhi.humphries@csiro.au</t>
  </si>
  <si>
    <t>Humphries, Ruhi S/M-4074-2018; McFarquhar, Greg/R-9154-2018; keywood, melita/C-5139-2011</t>
  </si>
  <si>
    <t>Humphries, Ruhi S/0000-0002-4864-5321; McFarquhar, Greg/0000-0003-0950-0135; Alexander, Simon/0000-0001-6823-8857; keywood, melita/0000-0001-9953-6806; McRobert, Ian/0000-0003-2130-257X</t>
  </si>
  <si>
    <t>Biological and Environmental Research [DE-SC0018995]; National Aeronautics and Space Administration [80NSSC19K1251]; Department of Energy, Labor and Economic Growth [DE-SC0018626, SC0021159]; U.S. Department of Energy (DOE) [DE-SC0018626, DE-SC0018995] Funding Source: U.S. Department of Energy (DOE)</t>
  </si>
  <si>
    <t>Biological and Environmental Research; National Aeronautics and Space Administration(National Aeronautics &amp; Space Administration (NASA)); Department of Energy, Labor and Economic Growth(United States Department of Energy (DOE)); U.S. Department of Energy (DOE)(United States Department of Energy (DOE))</t>
  </si>
  <si>
    <t>This research has been supported by the Biological and Environmental Research (grant no. DE-SC0018995), the National Aeronautics and Space Administration (grant no. 80NSSC19K1251) and the Department of Energy, Labor and Economic Growth (grant nos. DE-SC0018626 and SC0021159).</t>
  </si>
  <si>
    <t>10.5194/acp-21-12757-2021</t>
  </si>
  <si>
    <t>UK5XV</t>
  </si>
  <si>
    <t>WOS:000692043400001</t>
  </si>
  <si>
    <t>DeMets, C; Merkouriev, S</t>
  </si>
  <si>
    <t>DeMets, C.; Merkouriev, S.</t>
  </si>
  <si>
    <t>Detailed reconstructions of India-Somalia Plate motion, 60 Ma to present: implications for Somalia Plate absolute motion and India-Eurasia Plate motion</t>
  </si>
  <si>
    <t>GEOPHYSICAL JOURNAL INTERNATIONAL</t>
  </si>
  <si>
    <t>Plate motions; Indian Ocean; Africa</t>
  </si>
  <si>
    <t>CARLSBERG RIDGE; EVOLUTION; AFRICAN; SEA; DEFORMATION; KINEMATICS; COLLISION; UNCERTAINTIES; CONVERGENCE; QUATERNARY</t>
  </si>
  <si>
    <t>We estimate India-Somalia Plate motion at 45 times since 60 Ma from similar to 9000 crossings of Carlsberg and northern Central Indian Ridge magnetic reversals C1-C26 and numerous fracture zone crossings. The new rotations reveal at least seven significant spreading rate changes since similar to 60 Ma, some previously unknown. The largest changes occurred before 46 Ma, when the forces acting on the India Plate evolved rapidly due to the transition from subduction to continent-continent collision between India and Asia and the influence of the Reunion hotspot plume on the India Plate. The new rotations reveal a gradual similar to 50 per cent decline in Carlsberg Ridge spreading rates from 57 to 52.7 Ma, but an end to the decline at similar to 53 Ma, when spreading rates surged rapidly by up to 100 per cent. From 52 to 46.7 Ma, Carlsberg Ridge spreading rates collapsed by similar to 90 per cent, possibly defining a protracted transition to continental collision between India and Asia. Significant kinematic events since 46.7 Ma have included a similar to 25 per cent spreading rate recovery from 42 to 40 Ma, ultraslow spreading from 38.6 to 33.2 Ma, a gradual rate doubling from 33 to 18 Ma, a similar to 50 per cent slowdown from 18 to 13 Ma, and apparently steady motion since 13 Ma. The new rotations successfully predict Carlsberg Ridge abyssal hill orientations for seafloor ages of 48 to 42 Ma and 20 to 0 Ma and Central Indian Ridge fracture zone traces for seafloor ages of 43-16 Ma, constituting useful tests of the rotation accuracies at these ages. When corrected for the movement of India relative to the Capricorn Plate since 16 Ma, the new rotations also successfully restore magnetic lineations C13, C18, C20 and C21, and fracture zone segments from the Capricorn Plate onto their Somalia Plate counterparts. This further confirms the accuracies of our new rotations back to C2 In.lo (47.8 Ma), and validates a similar to 16 Ma start date for India-Capricorn Plate motion and published correction for India Capricorn motion. Anticorrelated changes in India Somalia and Antarctic-Somalia seafloor spreading rates from 37 to 18 Ma may be evidence that Somalia Plate absolute motion changed during this period, possibly triggered by Somalia's post-30-Ma detachment from the Arabian Peninsula or the kinematic effects of the Afar and/or Reunion mantle plumes on the Somalia Plate. New India-Eurasia rotations that we estimate from an updated global plate circuit predict convergence rates from 53 to 47 Ma that are similar to 30 per cent faster than previous estimates and that decline similar to 75 per cent by similar to 38 Ma. Changes in India Somalia and India Eurasia rates correspond closely with recently described Tibetan deformation pulses, consistent with linkages between all three. A joint inversion of Carlsberg and southern Central Indian ridge magnetic reversal and fracture zone data, including a correction for movement of the Capricorn Plate relative to India, satisfactorily realigns the reconstructed magnetic lineations and fracture zones back to C23n.ln (50.7 Ma), but misfits some data by 100 km or more at earlier times. The misfits may be evidence for deformation within the IndoCapricom and/or Somalia plates before 48 Ma or a misinterpretation of magnetic reversal and/or fracture zone data from times before 48 Ma.</t>
  </si>
  <si>
    <t>[DeMets, C.] Univ Wisconsin, Dept Geosci, Madison, WI 53706 USA; [Merkouriev, S.] Russian Acad Sci, Pushkov Inst Terr Magnetism, St Petersburg Filial 1 Mendeleevskaya Liniya, St Petersburg 199034, Russia; [Merkouriev, S.] St Petersburg State Univ, Inst Earth Sci, Univ Skaya Nab 7-9, St Petersburg 199034, Russia</t>
  </si>
  <si>
    <t>University of Wisconsin System; University of Wisconsin Madison; Russian Academy of Sciences; Saint Petersburg State University</t>
  </si>
  <si>
    <t>DeMets, C (corresponding author), Univ Wisconsin, Dept Geosci, Madison, WI 53706 USA.</t>
  </si>
  <si>
    <t>dcdemets@wisc.edu</t>
  </si>
  <si>
    <t>Merkuryev, Sergey/K-1202-2015</t>
  </si>
  <si>
    <t>Merkuryev, Sergey/0000-0002-1520-110X</t>
  </si>
  <si>
    <t>National Science Foundation (USA) [OCE-1433323]</t>
  </si>
  <si>
    <t>National Science Foundation (USA)(National Science Foundation (NSF))</t>
  </si>
  <si>
    <t>National Science Foundation (USA) grant OCE-1433323 funded the early stages of this work. Figures were drafted using Generic Mapping Tools software (Wessel &amp; Smith 1991). We thank an anonymous reviewer for thoughtful comments that improved the manuscript.</t>
  </si>
  <si>
    <t>0956-540X</t>
  </si>
  <si>
    <t>1365-246X</t>
  </si>
  <si>
    <t>GEOPHYS J INT</t>
  </si>
  <si>
    <t>Geophys. J. Int.</t>
  </si>
  <si>
    <t>10.1093/gji/ggab295</t>
  </si>
  <si>
    <t>UZ2BF</t>
  </si>
  <si>
    <t>WOS:000702014700007</t>
  </si>
  <si>
    <t>Laura, S; Mariano, A</t>
  </si>
  <si>
    <t>Laura, Schejter; Mariano, Albano</t>
  </si>
  <si>
    <t>Benthic communities at the marine protected area Namuncura/Burdwood bank, SW Atlantic Ocean: detection of vulnerable marine ecosystems and contributions to the assessment of the rezoning process</t>
  </si>
  <si>
    <t>Sub-Antarctic benthic communities; Marine Protected Area; Conservation; Argentina</t>
  </si>
  <si>
    <t>BURDWOOD BANK; SEA; DIVERSITY; ABUNDANCE; CNIDARIA; WATERS; PRODUCTIVITY; PROVINCE; CHANNEL; REGION</t>
  </si>
  <si>
    <t>The objectives of the present study were to characterize the benthic invertebrate communities at the Marine Protected Area (MPA) Namuncura/Burdwood bank (created by the National Law 26875, year 2013) and their different sub-areas, to compare these benthic communities with nearby sub-areas, and to detect sites that meet the criteria of Vulnerable Marine Ecosystems (VMEs) to highlight the importance of this particular and rich sub-Antarctic region. We used quali- and quantitative data obtained from research cruises developed by Argentina in 2016 and 2017. The results showed that Porifera was the most important component (in terms of wet biomass) of these benthic communities, followed by Cnidaria and Echinodermata. The evidences regarding general composition of the main taxonomical groups of the benthic invertebrate community did not support the maintenance of the original zoning of the MPA (core, buffer, and transition), considering that only a weak differentiation was found among the sub-areas designed in the creation Law. Additionally, the analyzed evidences also demonstrated that this MPA was different from other neighboring areas. Vulnerable and fragile organisms recorded in many locations led to the detection of fourteen sites located inside the MPA Namuncura that meet the characteristics of VMEs (wet biomass of &gt;= 10 kg 1200 m(-2) of vulnerable and fragile species). These evidences reinforce the conservation value of these particular and susceptible sub-Antarctic benthic communities, composed of both Antarctic and Magellanic species.</t>
  </si>
  <si>
    <t>[Laura, Schejter] Inst Nacl Invest &amp; Desarrollo Pesquero, INIDEP, Paseo Victoria Ocampo 1, Mar Del Plata, Argentina; [Laura, Schejter] Inst Invest Marinas &amp; Costeras IIMyC, Mar Del Plata, Argentina; [Mariano, Albano] Ctr Austral Invest Cient, CADIC, Bernardo Houssay 200, Ushuaia, Argentina</t>
  </si>
  <si>
    <t>National Fisheries Research &amp; Development Institute (INIDEP)</t>
  </si>
  <si>
    <t>Laura, S (corresponding author), Inst Nacl Invest &amp; Desarrollo Pesquero, INIDEP, Paseo Victoria Ocampo 1, Mar Del Plata, Argentina.;Laura, S (corresponding author), Inst Invest Marinas &amp; Costeras IIMyC, Mar Del Plata, Argentina.</t>
  </si>
  <si>
    <t>schejter@inidep.edu.ar</t>
  </si>
  <si>
    <t>Schejter, Laura/0000-0001-5443-4048</t>
  </si>
  <si>
    <t>National Government of Argentina [26875]</t>
  </si>
  <si>
    <t>National Government of Argentina</t>
  </si>
  <si>
    <t>The material studied was collected from research cruises that were financed by the National Government of Argentina, under the Law 26875 of the MPA Namuncura, Burdwood Bank.</t>
  </si>
  <si>
    <t>10.1007/s00300-021-02936-y</t>
  </si>
  <si>
    <t>UX9UQ</t>
  </si>
  <si>
    <t>WOS:000690812800001</t>
  </si>
  <si>
    <t>Jones, DC; Ceia, FR; Murphy, E; Delord, K; Furness, RW; Verdy, A; Mazloff, M; Phillips, RA; Sagar, PM; Sallée, JB; Schreiber, B; Thompson, DR; Torres, LG; Underwood, PJ; Weimerskirch, H; Xavier, JC</t>
  </si>
  <si>
    <t>Jones, Daniel C.; Ceia, Filipe R.; Murphy, Eugene; Delord, Karine; Furness, Robert W.; Verdy, Ariane; Mazloff, Matthew; Phillips, Richard A.; Sagar, Paul M.; Sallee, Jean-Baptiste; Schreiber, Ben; Thompson, David R.; Torres, Leigh G.; Underwood, Philip J.; Weimerskirch, Henri; Xavier, Jose C.</t>
  </si>
  <si>
    <t>Untangling local and remote influences in two major petrel habitats in the oligotrophic Southern Ocean</t>
  </si>
  <si>
    <t>Antarctic Circumpolar Current (ACC); biogeography; conservation; grey petrels; high seas; hotspot; open ocean; primary productivity; Procellaria cinerea; seabirds</t>
  </si>
  <si>
    <t>WHITE-CHINNED PETRELS; WANDERING ALBATROSSES; GREY PETRELS; SEABIRD; ECOSYSTEM; BEHAVIOR; SEA; VARIABILITY; COMMUNITY; TRACKING</t>
  </si>
  <si>
    <t>Ocean circulation connects geographically distinct ecosystems across a wide range of spatial and temporal scales via exchanges of physical and biogeochemical properties. Remote oceanographic processes can be especially important for ecosystems in the Southern Ocean, where the Antarctic Circumpolar Current transports properties across ocean basins through both advection and mixing. Recent tracking studies have indicated the existence of two large-scale, open ocean habitats in the Southern Ocean used by grey petrels (Procellaria cinerea) from two populations (i.e., Kerguelen and Antipodes islands) during their nonbreeding season for extended periods during austral summer (i.e., October to February). In this work, we use a novel combination of large-scale oceanographic observations, surface drifter data, satellite-derived primary productivity, numerical adjoint sensitivity experiments, and output from a biogeochemical state estimate to examine local and remote influences on these grey petrel habitats. Our aim is to understand the oceanographic features that control these isolated foraging areas and to evaluate their ecological value as oligotrophic open ocean habitats. We estimate the minimum local primary productivity required to support these populations to be much &lt;1% of the estimated local primary productivity. The region in the southeast Indian Ocean used by the birds from Kerguelen is connected by circulation to the productive Kerguelen shelf. In contrast, the region in the south-central Pacific Ocean used by seabirds from the Antipodes is relatively isolated suggesting it is more influenced by local factors or the cumulative effects of many seasonal cycles. This work exemplifies the potential use of predator distributions and oceanographic data to highlight areas of the open ocean that may be more dynamic and productive than previously thought. Our results highlight the need to consider advective connections between ecosystems in the Southern Ocean and to re-evaluate the ecological relevance of oligotrophic Southern Ocean regions from a conservation perspective.</t>
  </si>
  <si>
    <t>[Jones, Daniel C.; Murphy, Eugene; Phillips, Richard A.; Schreiber, Ben; Underwood, Philip J.; Xavier, Jose C.] NERC, British Antarctic Survey, Cambridge, England; [Ceia, Filipe R.; Xavier, Jose C.] Univ Coimbra, Marine &amp; Environm Sci Ctr, Dept Life Sci, P-3000456 Coimbra, Portugal; [Delord, Karine; Weimerskirch, Henri] CNRS La Rochelle Univ, Ctr Etud Biol Chize, UMR 7372, Villiers En Bois, France; [Furness, Robert W.] Univ Glasgow, Inst Biodivers Anim Hlth &amp; Comparat Med, Glasgow, Lanark, Scotland; [Verdy, Ariane; Mazloff, Matthew] Univ Calif San Diego, Scripps Inst Oceanog, San Diego, CA USA; [Sagar, Paul M.] Natl Inst Water &amp; Atmospher Res Ltd, Christchurch, New Zealand; [Sallee, Jean-Baptiste] UPMC, CNRS, LOcean, Paris, France; [Schreiber, Ben] Univ Cambridge, Ctr Math Sci, Cambridge, England; [Thompson, David R.] Natl Inst Water &amp; Atmospher Res Ltd, Wellington, New Zealand; [Torres, Leigh G.] Oregon State Univ, Marine Mammal Inst, Dept Fisheries &amp; Wildlife, Geospatial Ecol Marine Megafauna Lab, Corvallis, OR 97331 USA</t>
  </si>
  <si>
    <t>UK Research &amp; Innovation (UKRI); Natural Environment Research Council (NERC); NERC British Antarctic Survey; Universidade de Coimbra; Centre National de la Recherche Scientifique (CNRS); CNRS - Institute of Ecology &amp; Environment (INEE); University of Glasgow; University of California System; University of California San Diego; Scripps Institution of Oceanography; National Institute of Water &amp; Atmospheric Research (NIWA) - New Zealand; Sorbonne Universite; Museum National d'Histoire Naturelle (MNHN); Centre National de la Recherche Scientifique (CNRS); University of Cambridge; National Institute of Water &amp; Atmospheric Research (NIWA) - New Zealand; Oregon State University</t>
  </si>
  <si>
    <t>Ceia, FR (corresponding author), Univ Coimbra, Marine &amp; Environm Sci Ctr, Dept Life Sci, P-3000456 Coimbra, Portugal.</t>
  </si>
  <si>
    <t>ceiafilipe@zoo.uc.pt</t>
  </si>
  <si>
    <t>murphy, eugene/GZL-1620-2022; Ceia, Filipe R./A-2196-2012; Xavier, José/KFB-6739-2024; SALLEE, Jean baptiste/HDO-5355-2022; Verdy, Ariane/B-6470-2008; Weimerskirch, Henri/F-5562-2013</t>
  </si>
  <si>
    <t>Ceia, Filipe R./0000-0002-5470-5183; Jones, Dani/0000-0002-8701-4506; Verdy, Ariane/0000-0002-2774-2691; /0000-0002-9621-6660</t>
  </si>
  <si>
    <t>Natural Environment Research Council [NE/N018028/1]; UKRI Future Leaders Fellowship [MR/T020822/1]; Natural Environment Research Council; New Zealand Ministry for Primary Industries; Institut Polaire Francais Paul-Emile Victor; Prince Albert II de Monaco Foundation; Zones Atelier Antarctique; MARE; Foundation for Science and Technology; NSF [PLR-1425989, OPP-1936222]; FLF [MR/T020822/1] Funding Source: UKRI; NERC [NE/N018028/1, bas0100035, bas0100033] Funding Source: UKRI</t>
  </si>
  <si>
    <t>Natural Environment Research Council(UK Research &amp; Innovation (UKRI)Natural Environment Research Council (NERC)); UKRI Future Leaders Fellowship(UK Research &amp; Innovation (UKRI)); Natural Environment Research Council(UK Research &amp; Innovation (UKRI)Natural Environment Research Council (NERC)); New Zealand Ministry for Primary Industries; Institut Polaire Francais Paul-Emile Victor; Prince Albert II de Monaco Foundation; Zones Atelier Antarctique; MARE; Foundation for Science and Technology; NSF(National Science Foundation (NSF)); FLF; NERC(UK Research &amp; Innovation (UKRI)Natural Environment Research Council (NERC))</t>
  </si>
  <si>
    <t>Natural Environment Research Council, Grant/Award Number: NE/N018028/1; UKRI Future Leaders Fellowship, Grant/Award Number: MR/T020822/1; The Natural Environment Research Council; New Zealand Ministry for Primary Industries; Institut Polaire Francais Paul-Emile Victor; Prince Albert II de Monaco Foundation; Zones Atelier Antarctique; MARE; Foundation for Science and Technology; NSF, Grant/Award Number: PLR-1425989 and OPP-1936222</t>
  </si>
  <si>
    <t>10.1111/gcb.15839</t>
  </si>
  <si>
    <t>WG7XD</t>
  </si>
  <si>
    <t>WOS:000690747400001</t>
  </si>
  <si>
    <t>Hu, YW; Chen, WH; Song, MM; Pang, XY; Tian, XP; Wang, FZ; Liu, YH; Wang, JF</t>
  </si>
  <si>
    <t>Hu, Yi-Wei; Chen, Wei-Hao; Song, Meng-Meng; Pang, Xiao-Yan; Tian, Xin-Peng; Wang, Fa-Zuo; Liu, Yong-Hong; Wang, Jun-Feng</t>
  </si>
  <si>
    <t>Indole diketopiperazine alkaloids and aromatic polyketides from the Antarctic fungus Penicillium sp. SCSIO 05705</t>
  </si>
  <si>
    <t>NATURAL PRODUCT RESEARCH</t>
  </si>
  <si>
    <t>Antarctic; Penicillium; indole diketopiperazine; aromatic polyketide; AChE inhibitory activity</t>
  </si>
  <si>
    <t>METABOLITES</t>
  </si>
  <si>
    <t>A new indole diketopiperazine alkaloid, named penilline D (1), together with five known indole alkaloid analogues (2-5, 11), two meroterpenoids (6 and 12), and four butenolide derivatives (7-10), were isolated from the Antarctic fungus Penicillium sp. SCSIO 05705. Extensive spectroscopic analysis and electronic circular dichroism (ECD) calculation were used to elucidate the structure of penilline D (1), including its absolute configuration. All isolated compounds (1-12) were evaluated for their cytotoxic, antibacterial and enzyme inhibitory activities against acetylcholinesterase (AChE) and pancreatic lipase (PL). Among them, compound 5 exhibited moderate in vitro cytotoxic activity against the 143B cell line with IC50 value of 12.64 +/- 0.78 mu M. Compound 6 showed strong inhibitory activity against AChE with IC50 value of 0.36 nM (IC50 18.7 nM for Tacrine), while compounds 6 and 11 showed weak PL enzyme inhibitory activity. Furthermore, an in silico molecular docking study was also performed between 6 and AChE.</t>
  </si>
  <si>
    <t>[Hu, Yi-Wei; Chen, Wei-Hao; Song, Meng-Meng; Pang, Xiao-Yan; Tian, Xin-Peng; Wang, Fa-Zuo; Liu, Yong-Hong; Wang, Jun-Feng] Chinese Acad Sci, CAS Key Lab Trop Marine Bioresources &amp; Ecol, Innovat Acad South China Sea Ecol &amp; Environm Engn, South China Sea Inst Oceanol,Guangdong Key Lab Ma, Guangzhou, Peoples R China; [Tian, Xin-Peng; Wang, Fa-Zuo; Liu, Yong-Hong; Wang, Jun-Feng] Southern Marine Sci &amp; Engn Guangdong Lab Guangzho, Guangzhou, Peoples R China; [Liu, Yong-Hong; Wang, Jun-Feng] Sanya Inst Oceanol, SCSIO, Yazhou Sci Bay, Sanya, Peoples R China; [Hu, Yi-Wei; Chen, Wei-Hao; Liu, Yong-Hong; Wang, Jun-Feng] Univ Chinese Acad Sci, Beijing, Peoples R China</t>
  </si>
  <si>
    <t>Chinese Academy of Sciences; South China Sea Institute of Oceanology, CAS; Hong Kong Branch of the Southern Marine Science &amp; Engineering Guangdong Laboratory (Guangzhou); Chinese Academy of Sciences; University of Chinese Academy of Sciences, CAS</t>
  </si>
  <si>
    <t>Wang, JF (corresponding author), Chinese Acad Sci, CAS Key Lab Trop Marine Bioresources &amp; Ecol, Innovat Acad South China Sea Ecol &amp; Environm Engn, South China Sea Inst Oceanol,Guangdong Key Lab Ma, Guangzhou, Peoples R China.;Wang, JF (corresponding author), Southern Marine Sci &amp; Engn Guangdong Lab Guangzho, Guangzhou, Peoples R China.;Wang, JF (corresponding author), Sanya Inst Oceanol, SCSIO, Yazhou Sci Bay, Sanya, Peoples R China.;Wang, JF (corresponding author), Univ Chinese Acad Sci, Beijing, Peoples R China.</t>
  </si>
  <si>
    <t>wangjunfeng@scsio.ac.cn</t>
  </si>
  <si>
    <t>Tian, Xin peng/W-1599-2019; Liu, Yonghong/E-3118-2014</t>
  </si>
  <si>
    <t>Liu, Yonghong/0000-0001-8327-3108; Wang, Junfeng/0000-0001-6702-5366</t>
  </si>
  <si>
    <t>Finance Science and Technology Project of Hainan Province [ZDKJ202018]; Guangdong MEPP Funds [[2021]48, [2020]037]; Guangdong Basic and Applied Basic Research Foundation [2021A1515011523]; National Natural Science Foundation of China [41776169, 42006084, 21772210]; Key Special Project for Introduced Talents Team of Southern Marine Science and Engineering Guangdong Laboratory (Guangzhou) [GML2019ZD0406]; Institution of South China Sea Ecology and Environmental Engineering, CAS [ISEE2018PY04]</t>
  </si>
  <si>
    <t>Finance Science and Technology Project of Hainan Province; Guangdong MEPP Funds; Guangdong Basic and Applied Basic Research Foundation; National Natural Science Foundation of China(National Natural Science Foundation of China (NSFC)); Key Special Project for Introduced Talents Team of Southern Marine Science and Engineering Guangdong Laboratory (Guangzhou); Institution of South China Sea Ecology and Environmental Engineering, CAS</t>
  </si>
  <si>
    <t>This work was financially supported by the Finance Science and Technology Project of Hainan Province (ZDKJ202018), the Guangdong MEPP Funds (No. GDNRC [2021]48, [2020]037), Guangdong Basic and Applied Basic Research Foundation (2021A1515011523), National Natural Science Foundation of China (Nos. 41776169, 42006084, and 21772210), Key Special Project for Introduced Talents Team of Southern Marine Science and Engineering Guangdong Laboratory (Guangzhou) (GML2019ZD0406), Project from Institution of South China Sea Ecology and Environmental Engineering, CAS (NO. ISEE2018PY04).</t>
  </si>
  <si>
    <t>1478-6419</t>
  </si>
  <si>
    <t>1478-6427</t>
  </si>
  <si>
    <t>NAT PROD RES</t>
  </si>
  <si>
    <t>Nat. Prod. Res.</t>
  </si>
  <si>
    <t>10.1080/14786419.2021.1973460</t>
  </si>
  <si>
    <t>Chemistry, Applied; Chemistry, Medicinal</t>
  </si>
  <si>
    <t>Chemistry; Pharmacology &amp; Pharmacy</t>
  </si>
  <si>
    <t>8J2GN</t>
  </si>
  <si>
    <t>WOS:000693459000001</t>
  </si>
  <si>
    <t>Obase, T; Nakashima, D; Choi, J; Enokido, Y; Matsumoto, M; Nakamura, T</t>
  </si>
  <si>
    <t>Obase, Tomoya; Nakashima, Daisuke; Choi, Jisu; Enokido, Yuma; Matsumoto, Megumi; Nakamura, Tomoki</t>
  </si>
  <si>
    <t>Water-susceptible primordial noble gas components in less-altered CR chondrites: A possible link to cometary materials</t>
  </si>
  <si>
    <t>CR chondrites; Primitive meteorites; Noble gases; Aqueous alteration</t>
  </si>
  <si>
    <t>CARBONACEOUS CHONDRITES; CHONDRULE FORMATION; CRYSTALLINE SILICATES; PRIMITIVE CHONDRITES; ISOTOPE SYSTEMATICS; INTERPLANETARY DUST; COSMOGENIC NUCLIDES; AQUEOUS ALTERATION; PRESOLAR DIAMONDS; OXYGEN ISOTOPES</t>
  </si>
  <si>
    <t>We report detailed characterizations of the petrology, mineralogy, and noble gas signatures of Renazzo-type (CR) chondrites EET 92048, MIL 090657, NWA 801, and hydrothermally treated MIL 090657 samples to investigate primordial noble gases hosted by water-susceptible materials in aqueously less-altered CR chondrites. The noble gases were extracted by a stepwise heating method. The hydrothermal treatment on MIL 090657 resulted in the alteration of amorphous silicates in the matrix and the removal of large amounts of He and Ne that were released at low temperature from the untreated sample. The Ar-36/Xe-132 ratios in EET 92048 and MIL 090657 are similar to 5 times higher than that of the Q noble gas component, although both meteorites do not show any evidence for solar wind noble gases. The analyses revealed that aqueously less-altered CR chondrites contain two distinct primordial noble gas components hosted by water-susceptible materials: an isotopically Q-like Ne-rich component and an Ar-rich component. The characteristics of the Q-like Ne-rich component are consistent with those of Q-like Ne in cometary materials. We propose that the CR chondrites formed at a greater heliocentric distance and share similar materials hosting the Q-like Ne-rich component with comets. The presence of the Ar-rich component in the CR chondrites, as well as in ordinary chondrites and other anhydrous carbonaceous chondrites, provides evidence of the global distribution of the Ar-rich carriers in the ordinary and carbonaceous chondrite forming regions. (C) 2021 Elsevier Ltd. All rights reserved.</t>
  </si>
  <si>
    <t>[Obase, Tomoya; Nakashima, Daisuke; Enokido, Yuma; Matsumoto, Megumi; Nakamura, Tomoki] Tohoku Univ, Grad Sch Sci, Div Earth &amp; Planetary Mat Sci, Aoba Ku, Sendai, Miyagi 9808578, Japan; [Obase, Tomoya] Univ Tokyo, Grad Sch Arts &amp; Sci, Dept Gen Syst Studies, Meguro Ku, 3-8-1 Komaba, Tokyo 1530041, Japan; [Choi, Jisu] Korea Polar Res Inst, Div Earth Sci, 26 Songdomirae Ro, Incheon 21990, South Korea; [Choi, Jisu] Univ Sci &amp; Technol, 217 Gajeong Ro, Daejeon 34113, South Korea</t>
  </si>
  <si>
    <t>Tohoku University; University of Tokyo; Korea Polar Research Institute (KOPRI); University of Science &amp; Technology (UST)</t>
  </si>
  <si>
    <t>Obase, T (corresponding author), Univ Tokyo, Grad Sch Arts &amp; Sci, Dept Gen Syst Studies, Meguro Ku, 3-8-1 Komaba, Tokyo 1530041, Japan.</t>
  </si>
  <si>
    <t>tomoyaobase@g.ecc.u-tokyo.ac.jp</t>
  </si>
  <si>
    <t>Nakamura, Tomoki/Y-8551-2018</t>
  </si>
  <si>
    <t>Matsumoto, Megumi/0000-0001-6630-6369; Enokido, Yuma/0000-0002-3274-6689; Obase, Tomoya/0000-0003-4755-1179</t>
  </si>
  <si>
    <t>JSPS KAKENHI [19K14776, 20H00188]; Korea Polar Research Institute project [PE21050]; Grants-in-Aid for Scientific Research [19K14776, 20H00188, 20KK0080, 20H05846] Funding Source: KAKEN</t>
  </si>
  <si>
    <t>JSPS KAKENHI(Ministry of Education, Culture, Sports, Science and Technology, Japan (MEXT)Japan Society for the Promotion of ScienceGrants-in-Aid for Scientific Research (KAKENHI)); Korea Polar Research Institute project(Korea Polar Research Institute of Marine Research Placement (KOPRI)); Grants-in-Aid for Scientific Research(Ministry of Education, Culture, Sports, Science and Technology, Japan (MEXT)Japan Society for the Promotion of ScienceGrants-in-Aid for Scientific Research (KAKENHI))</t>
  </si>
  <si>
    <t>We gratefully acknowledge the Meteorite Working Group (NASA) for providing the Antarctic meteorite samples (EET 92048 and MIL 090657) analyzed in this study. We thank J. M. Baek for his technical supports during noble gas analysis. We also thank R. Ogliore and two anonymous reviewers for their valuable comments and detailed reviews that helped to greatly improve this manuscript. This work was supported by JSPS KAKENHI (No. 19K14776 to MM and No. 20H00188 to TN) and Korea Polar Research Institute project (No. PE21050) .</t>
  </si>
  <si>
    <t>10.1016/j.gca.2021.08.012</t>
  </si>
  <si>
    <t>WA8YB</t>
  </si>
  <si>
    <t>WOS:000703167600005</t>
  </si>
  <si>
    <t>Coulson, S; Lubeck, M; Mitrovica, JX; Powell, E; Davis, JL; Hoggard, MJ</t>
  </si>
  <si>
    <t>Coulson, Sophie; Lubeck, Mila; Mitrovica, Jerry X.; Powell, Evelyn; Davis, James L.; Hoggard, Mark J.</t>
  </si>
  <si>
    <t>The Global Fingerprint of Modern Ice-Mass Loss on 3-D Crustal Motion</t>
  </si>
  <si>
    <t>GLACIAL-ISOSTATIC-ADJUSTMENT; COMPUTING 3-DIMENSIONAL DEFORMATIONS; POSTGLACIAL SEA-LEVEL; RAPID BEDROCK UPLIFT; ANTARCTIC PENINSULA; SPECTRAL FORMALISM; SURFACE LOADS; GREENLAND; BALANCE; EARTH</t>
  </si>
  <si>
    <t>Crustal motion generated by rapid ice-mass loss from Earth's glaciers and ice sheets has previously been considered in Global Navigational Satellite System (GNSS) analyses and numerical models across regions of ice retreat. However, the fingerprint of ice-mass loss is not limited to glaciated areas, but is characterized by a global pattern of 3-D crustal deformation. We compute far-field vertical and horizontal deformation rates that occurred in response to early 21st century mass flux from the Greenland and Antarctic Ice Sheets, global glaciers and ice caps, and associated ocean loading. We demonstrate that mass changes in the Greenland Ice Sheet and high latitude glacier systems each generated average crustal motion of 0.1-0.4 mm/yr across much of the Northern Hemisphere, with significant year-to-year variability in magnitude and direction. Horizontal motions associated with ice-mass loss exceed vertical rates in many far-field areas, and both should be considered in future analysis of GNSS measurements. Plain Language Summary As ice sheets and glaciers melt and water is redistributed to the global oceans, the Earth's crust deforms, generating a complex pattern of 3-D motions at Earth's surface. In this study, we use satellite-derived constraints on early 21st century ice-mass balance of the Greenland and Antarctic Ice Sheets and a global database of mountain glaciers and ice caps, to predict how the crust has deformed over the last two decades. We show that, rather than only being localized to regions of ice loss, melting of the Greenland Ice Sheet and Arctic glaciers has caused significant horizontal and vertical deformation of the crust that extends over much of the Northern Hemisphere. This 3-D surface motion is on average several tenths of a millimeter per year, and it varies significantly year-to-year. We conclude that future work analyzing measurements of crustal motion (across various fields in Earth science) should correct for the deformation associated with modern ice-mass loss at sites distant from melting ice.</t>
  </si>
  <si>
    <t>[Coulson, Sophie; Lubeck, Mila; Mitrovica, Jerry X.; Powell, Evelyn; Hoggard, Mark J.] Harvard Univ, Dept Earth &amp; Planetary Sci, 20 Oxford St, Cambridge, MA 02138 USA; [Coulson, Sophie] Los Alamos Natl Lab, Fluid Dynam &amp; Solid Mech Grp, Los Alamos, NM 87544 USA; [Lubeck, Mila] Univ Arizona, Dept Geosci, Tucson, AZ 85721 USA; [Lubeck, Mila] MIT, Dept Earth Atmospher &amp; Planetary Sci, Cambridge, MA USA; [Davis, James L.; Hoggard, Mark J.] Columbia Univ, Lamont Doherty Earth Observ, Palisades, NY USA; [Hoggard, Mark J.] Australian Natl Univ, Res Sch Earth Sci, Canberra, ACT, Australia</t>
  </si>
  <si>
    <t>Harvard University; United States Department of Energy (DOE); Los Alamos National Laboratory; University of Arizona; Massachusetts Institute of Technology (MIT); Columbia University; Australian National University</t>
  </si>
  <si>
    <t>Coulson, S (corresponding author), Harvard Univ, Dept Earth &amp; Planetary Sci, 20 Oxford St, Cambridge, MA 02138 USA.;Coulson, S (corresponding author), Los Alamos Natl Lab, Fluid Dynam &amp; Solid Mech Grp, Los Alamos, NM 87544 USA.</t>
  </si>
  <si>
    <t>slcoulson@g.harvard.edu</t>
  </si>
  <si>
    <t>Hoggard, Mark/AAZ-6207-2021; Davis, James/D-8766-2013</t>
  </si>
  <si>
    <t>Hoggard, Mark/0000-0003-4310-3862; Davis, James/0000-0003-3057-477X; Coulson, Sophie/0000-0001-9353-2054</t>
  </si>
  <si>
    <t>Harvard University; Frank Knox Memorial Fellowships; Australian government's Exploring for the Future program</t>
  </si>
  <si>
    <t>Harvard University; Frank Knox Memorial Fellowships; Australian government's Exploring for the Future program(Australian Government)</t>
  </si>
  <si>
    <t>Sophie Coulson and Jerry X. Mitrovica acknowledge funding from the Star-Friedman Challenge and Lemann Brazil Research Fund, through Harvard University. Sophie Coulson was also supported by Frank Knox Memorial Fellowships. Mark J. Hoggard acknowledges support from the Australian government's Exploring for the Future program. We thank Chris Rollins and one anonymous reviewer for constructive reviews that improved the final manuscript.</t>
  </si>
  <si>
    <t>AUG 28</t>
  </si>
  <si>
    <t>e2021GL095477</t>
  </si>
  <si>
    <t>10.1029/2021GL095477</t>
  </si>
  <si>
    <t>UF7OI</t>
  </si>
  <si>
    <t>WOS:000688759800028</t>
  </si>
  <si>
    <t>Desai, RT; Freeman, MP; Eastwood, JP; Eggington, JWB; Archer, MO; Shprits, YY; Meredith, NP; Staples, FA; Rae, IJ; Hietala, H; Mejnertsen, L; Chittenden, JP; Horne, RB</t>
  </si>
  <si>
    <t>Desai, R. T.; Freeman, M. P.; Eastwood, J. P.; Eggington, J. W. B.; Archer, M. O.; Shprits, Y. Y.; Meredith, N. P.; Staples, F. A.; Rae, I. J.; Hietala, H.; Mejnertsen, L.; Chittenden, J. P.; Horne, R. B.</t>
  </si>
  <si>
    <t>Interplanetary Shock-Induced Magnetopause Motion: Comparison Between Theory and Global Magnetohydrodynamic Simulations</t>
  </si>
  <si>
    <t>MHD SIMULATIONS; MAGNETIC-FIELD; ULF WAVES; MARCH 24; WIND; MAGNETOSPHERE; OSCILLATIONS; THICKNESS; MINIMUM; SPEED</t>
  </si>
  <si>
    <t>The magnetopause marks the outer edge of the Earth's magnetosphere and a distinct boundary between solar wind and magnetospheric plasma populations. In this study, we use global magnetohydrodynamic simulations to examine the response of the terrestrial magnetopause to fast-forward interplanetary shocks of various strengths and compare to theoretical predictions. The theory and simulations indicate the magnetopause response can be characterized by three distinct phases; an initial acceleration as inertial forces are overcome, a rapid compressive phase comprising the majority of the distance traveled, and large-scale damped oscillations with amplitudes of the order of an Earth radius. The two approaches agree in predicting subsolar magnetopause oscillations with frequencies 2-13 mHz but the simulations notably predict larger amplitudes and weaker damping rates. This phenomenon is of high relevance to space weather forecasting and provides a possible explanation for magnetopause oscillations observed following the large interplanetary shocks of August 1972 and March 1991. Plain Language Summary The Earth's magnetic field carves out an approximately spherical region of space called a magnetosphere which charged particles streaming from the Sun are unable to directly penetrate. In this study we use computer simulations and theory to examine how the edge of the magnetosphere, the magnetopause, moves following the impact of interplanetary shock waves originating at the Sun. These shocks act to shift the magnetopause to a more tightly compressed position and we find that the magnetopause notably features large-scale oscillations of decreasing magnitude before settling into a new stable location. When very large shock waves strike, the magnetopause can be compressed inside geosynchronous orbits and will therefore expose telecommunication satellites to increased radiation levels in the solar wind. These results provide an explanation for periodic magnetopause motion observed when large shock waves struck the Earth in August 1972 and in March 1991.</t>
  </si>
  <si>
    <t>[Desai, R. T.; Eastwood, J. P.; Eggington, J. W. B.; Archer, M. O.; Hietala, H.; Mejnertsen, L.; Chittenden, J. P.] Imperial Coll London, Dept Phys, Blackett Lab, London, England; [Freeman, M. P.; Meredith, N. P.; Horne, R. B.] British Antarctic Survey, Cambridge, England; [Shprits, Y. Y.] GFZ German Res Ctr Geosci, Potsdam, Germany; [Shprits, Y. Y.] Univ Calif Los Angeles, Dept Earth Planetary &amp; Space Sci, Los Angeles, CA USA; [Staples, F. A.] Univ Coll London, Mullard Space Sci Lab, Guildford, Surrey, England; [Rae, I. J.] Northumbria Univ, Dept Math Phys &amp; Elect Engn, Newcastle Upon Tyne, Tyne &amp; Wear, England</t>
  </si>
  <si>
    <t>Imperial College London; UK Research &amp; Innovation (UKRI); Natural Environment Research Council (NERC); NERC British Antarctic Survey; Helmholtz Association; Helmholtz-Center Potsdam GFZ German Research Center for Geosciences; University of California System; University of California Los Angeles; University of London; University College London; Northumbria University</t>
  </si>
  <si>
    <t>Desai, RT (corresponding author), Imperial Coll London, Dept Phys, Blackett Lab, London, England.</t>
  </si>
  <si>
    <t>Horne, Richard B/U-3764-2019; Shprits, Yuri Y/I-2174-2014; Rae, Jonathan/D-8132-2013; Freeman, Mervyn/E-5687-2019</t>
  </si>
  <si>
    <t>Horne, Richard B/0000-0002-0412-6407; Rae, Jonathan/0000-0002-2637-4786; Eggington, Joseph/0000-0003-2553-4191; Shprits, Yuri/0000-0002-9625-0834; Staples, Frances/0000-0002-6181-9920; Hietala, Heli/0000-0002-3039-1255; Archer, Martin/0000-0003-1556-4573; Meredith, Nigel/0000-0001-5032-3463</t>
  </si>
  <si>
    <t>NERC [NE/V00249X/1 298, NE/R016038/1, NE/P017347/1, NE/P016693/1]; UK Science and Technology Facilities Council (STFC) Studentship [ST/R504816/1]; UKRI (STFC/EPSRC) Stephen Hawking Fellowship [EP/T01735X/1]; Natural Environment Research Council Highlight Topic grant [NE/P10738X/1]; STFC [ST/V006320/1, NE/P017185/1]; European Union [870452]; SWIGS [NE/P017142/1]; NERC [NE/P017142/1, NE/P017347/1, NE/P016693/1, NE/R016038/1, NE/P017185/2] Funding Source: UKRI; SPF [NE/V002554/2, NE/V002554/1] Funding Source: UKRI; STFC [1962712, ST/V006320/1] Funding Source: UKRI</t>
  </si>
  <si>
    <t>NERC(UK Research &amp; Innovation (UKRI)Natural Environment Research Council (NERC)); UK Science and Technology Facilities Council (STFC) Studentship(UK Research &amp; Innovation (UKRI)Science &amp; Technology Facilities Council (STFC)); UKRI (STFC/EPSRC) Stephen Hawking Fellowship; Natural Environment Research Council Highlight Topic grant; STFC(UK Research &amp; Innovation (UKRI)Science &amp; Technology Facilities Council (STFC)); European Union(European Union (EU)); SWIGS; NERC(UK Research &amp; Innovation (UKRI)Natural Environment Research Council (NERC)); SPF; STFC(UK Research &amp; Innovation (UKRI)Science &amp; Technology Facilities Council (STFC))</t>
  </si>
  <si>
    <t>R. T. Desai, J. P. Eastwood, and J. P. Chittenden acknowledge funding from NERC grant NE/P017347/1 (Rad-Sat). M. P. Freeman was supported by NERC grant NE/P016693/1 (SWIGS). J W. B. Eggington is funded by a UK Science and Technology Facilities Council (STFC) Studentship (ST/R504816/1). M. O. Archer holds a UKRI (STFC/EPSRC) Stephen Hawking Fellowship EP/T01735X/1. Research into magnetospheric modeling at Imperial College London is also supported by Grant NE/P017142/1 (SWIGS). N. Meredith and R. Horne would like to acknowledge the Natural Environment Research Council Highlight Topic grant NE/P10738X/1 (Rad-Sat) and the NERC grants NE/V00249X/1 298 (Sat-Risk) and NE/R016038/1. I. J. Rae and F. A. Staples acknowledge STFC grants ST/V006320/1 and NE/P017185/1. This project has received funding from the European Union's Horizon 2020 research and innovation program under grant agreement No. 870452 (PAGER). This work used the Imperial College High Performance Computing Service (doi: 10.14469/hpc/2232).</t>
  </si>
  <si>
    <t>e2021GL092554</t>
  </si>
  <si>
    <t>10.1029/2021GL092554</t>
  </si>
  <si>
    <t>WOS:000688759800008</t>
  </si>
  <si>
    <t>Li, LW; Liu, ZY; Zhu, CY; He, CF; Otto-Bliesner, B</t>
  </si>
  <si>
    <t>Li, Lingwei; Liu, Zhengyu; Zhu, Chenyu; He, Chengfei; Otto-Bliesner, Bette</t>
  </si>
  <si>
    <t>Shallowing Glacial Antarctic Intermediate Water by Changes in Sea Ice and Hydrological Cycle</t>
  </si>
  <si>
    <t>AAIW depth; LGM; global warming; sea ice; precipitation; hydrological cycle</t>
  </si>
  <si>
    <t>EARTH SYSTEM MODEL; CIRCULATION; ATLANTIC; MASSES; CMIP5</t>
  </si>
  <si>
    <t>The Antarctic Intermediate Water (AAIW) is an essential global ocean water mass at intermediate depths. Coupled climate models in isotope-enabled (delta O-18, delta D), fully coupled Community Earth System Model and Paleoclimate Model Intercomparison Project Phase 3 consistently show shallower AAIW depth at the Last Glacial Maximum (LGM) due to the northward shift of AAIW. More importantly, modeling results suggest that the northward shift of AAIW can be caused by sea ice expansion and the weakened hydrological cycle under the glacial climate. On the contrary, the AAIW under global warming tends to shift poleward compared to the pre-industrial period driven by the retreating sea ice and strengthened hydrological cycle. However, the AAIW depth will shallow in response to the ongoing warming, likely due to the overwhelming effects of enhanced stratification and shallowing mixed layer.</t>
  </si>
  <si>
    <t>[Li, Lingwei; Liu, Zhengyu; He, Chengfei] Ohio State Univ, Atmospher Sci Program, Dept Geog, Columbus, OH 43210 USA; [Zhu, Chenyu] Ocean Univ China, Key Lab Phys Oceanog, Qingdao, Shandong, Peoples R China; [Zhu, Chenyu] Pilot Natl Lab Marine Sci &amp; Technol, Open Studio Ocean Climate Isotope Modeling, Qingdao, Peoples R China; [Otto-Bliesner, Bette] Natl Ctr Atmospher Res, Div Climate &amp; Global Dynam, POB 3000, Boulder, CO 80307 USA</t>
  </si>
  <si>
    <t>University System of Ohio; Ohio State University; Ocean University of China; Laoshan Laboratory; National Center Atmospheric Research (NCAR) - USA</t>
  </si>
  <si>
    <t>Li, LW; Liu, ZY (corresponding author), Ohio State Univ, Atmospher Sci Program, Dept Geog, Columbus, OH 43210 USA.</t>
  </si>
  <si>
    <t>Zhu, Chenyu/GNM-9706-2022; He, chengfei/JPL-7259-2023; Zhu, Chenyu/JAC-9261-2023</t>
  </si>
  <si>
    <t>He, chengfei/0000-0003-1453-9691; Otto-Bliesner, Bette/0000-0003-1911-1598; Li, Lingwei/0000-0002-1818-6080; Zhu, Chenyu/0000-0002-9330-4294</t>
  </si>
  <si>
    <t>US National Science Foundation (NSF) [OCE-1810681]; NSF; National Center for Atmospheric Research - NSF [1852977]</t>
  </si>
  <si>
    <t>US National Science Foundation (NSF)(National Science Foundation (NSF)); NSF(National Science Foundation (NSF)); National Center for Atmospheric Research - NSF(National Science Foundation (NSF)NSF - Directorate for Geosciences (GEO))</t>
  </si>
  <si>
    <t>This study is supported by the US National Science Foundation (NSF) OCE-1810681. The CESM project is supported primarily by the NSF. This material is based on study supported by the National Center for Atmospheric Research, which is a major facility sponsored by the NSF under Cooperative Agreement no. 1852977. Computing and data storage resources, including the Cheyenne supercomputer doi:10.5065/D6RX99HX), were provided by the Computational and Information Systems Laboratory (CISL) at NCAR. The authors also acknowledge the World Climate Research Program's Working Group on Coupled Modeling, and the authors thank the climate modeling groups (listed in Tables S1 and S2 of this study) for producing and making available their model output, the Earth System Grid Federation (ESGF) for archiving the data and providing access, and the multiple funding agencies who support CMIP, PMIP, and ESGF.</t>
  </si>
  <si>
    <t>e2021GL094317</t>
  </si>
  <si>
    <t>10.1029/2021GL094317</t>
  </si>
  <si>
    <t>WOS:000688759800006</t>
  </si>
  <si>
    <t>Li, SJ; Cai, WJ; Wu, LX</t>
  </si>
  <si>
    <t>Li, Shujun; Cai, Wenju; Wu, Lixin</t>
  </si>
  <si>
    <t>Weakened Antarctic Dipole Under Global Warming in CMIP6 Models</t>
  </si>
  <si>
    <t>Antarctic dipole; global warming; ENSO; Southern Annular Mode; surface albedo feedback; tropical-polar interaction</t>
  </si>
  <si>
    <t>SEA-ICE; EL-NINO; VARIABILITY; OSCILLATION; DEFINITION; ENSO</t>
  </si>
  <si>
    <t>The Antarctic dipole (ADP) depicts the leading mode of interannual variability over the Antarctic region in both sea ice and surface air temperature (SAT) fields. The ADP is superimposed on the long-term climatic trends, modulating the response of the mean climate to external forcing by modifying the signal-to-noise ratio. The response of the ADP to greenhouse warming is unknown. Based on the Coupled Model Intercomparison Project Phase 6 models that capture main characteristics of the ADP, we find a robust reduction in variability of ADP under greenhouse warming. The warming-induced sea ice loss limits the magnitude of ADP SAT variability through surface albedo feedback. The El Nino-Southern Oscillation (ENSO) and the Southern Annular Mode (SAM) are two main triggering mechanisms of the ADP on interannual time scale. In a warmer climate, decreased variability of the SAM contributes to weakened ADP but increased ENSO variability plays an offsetting role.</t>
  </si>
  <si>
    <t>[Li, Shujun; Cai, Wenju; Wu, Lixin] Ocean Univ China, Inst Adv Ocean Studies, Key Lab Phys Oceanog, Qingdao, Peoples R China; [Cai, Wenju] Qingdao Natl Lab Marine Sci &amp; Technol, Qingdao, Peoples R China; [Cai, Wenju] CSIRO Oceans &amp; Atmosphere, Ctr Southern Hemisphere Oceans Res CSHOR, Hobart, Tas, Australia</t>
  </si>
  <si>
    <t>Ocean University of China; Laoshan Laboratory; Commonwealth Scientific &amp; Industrial Research Organisation (CSIRO)</t>
  </si>
  <si>
    <t>Li, SJ (corresponding author), Ocean Univ China, Inst Adv Ocean Studies, Key Lab Phys Oceanog, Qingdao, Peoples R China.</t>
  </si>
  <si>
    <t>lishujun@ouc.edu.cn</t>
  </si>
  <si>
    <t>Cai, Wei-Jun/C-1361-2013; cai, wenju/C-2864-2012</t>
  </si>
  <si>
    <t>cai, wenju/0000-0001-6520-0829</t>
  </si>
  <si>
    <t>National Key Research and Development Program of China [2019YFC1509102, 2018YFA0605700]; National Natural Science Foundation of China [42006173]; CSIRO</t>
  </si>
  <si>
    <t>National Key Research and Development Program of China; National Natural Science Foundation of China(National Natural Science Foundation of China (NSFC)); CSIRO(Commonwealth Scientific &amp; Industrial Research Organisation (CSIRO))</t>
  </si>
  <si>
    <t>This work was supported by National Key Research and Development Program of China (No. 2019YFC1509102, No. 2018YFA0605700). S. Li is supported by the National Natural Science Foundation of China (No. 42006173). W. Cai is supported by CSHOR. CSHOR is a joint research Center for Southern Hemisphere Oceans Research between QNLM and CSIRO.</t>
  </si>
  <si>
    <t>e2021GL094863</t>
  </si>
  <si>
    <t>10.1029/2021GL094863</t>
  </si>
  <si>
    <t>WOS:000688759800055</t>
  </si>
  <si>
    <t>Liu, X; Gu, WY; Xia, ZY; Chen, LJ; Horne, RB</t>
  </si>
  <si>
    <t>Liu, Xu; Gu, Wenyao; Xia, Zhiyang; Chen, Lunjin; Horne, Richard B.</t>
  </si>
  <si>
    <t>Frequency-Dependent Modulation of Whistler-Mode Waves by Density Irregularities During the Recovery Phase of a Geomagnetic Storm</t>
  </si>
  <si>
    <t>MAGNETOSONIC WAVES; EQUATORIAL; PROPAGATION; PLASMAPAUSE; GENERATION</t>
  </si>
  <si>
    <t>Density irregularities near the plasmapause are commonly observed and play an important role in whistler-mode wave excitation and propagation. In this study, we report a frequency-dependent modulation event of whistler-mode waves by background density irregularities during a geomagnetic storm. Higher-frequency whistler waves (near 0.5 f(ce), where f(ce) is the equatorial electron cyclotron frequency) are trapped in the density trough regions due to the small refractive index near the parallel direction, while lower-frequency whistler waves (below 0.02 f(ce)) are trapped in the density crest regions due to the refractive index maximum along the parallel direction. In addition to the modulation, we also find that, quantitatively, the wave amplitude of the higher- (lower-) frequency whistler-mode waves is anti-correlated (correlated) with the relative plasma density variation. Our study suggests the importance of density irregularity dynamics in controlling whistler-mode wave intensity, and thus radiation belt dynamics. Plain Language Summary Whistler-mode waves play important roles in controlling the dynamics of the Earth's radiation belts. Whistler-mode chorus waves are responsible for pitch-angle scattering of energetic electrons and the resulting formation of diffuse aurora at L. 8. Density irregularities near the plasmapause affect the plasma wave excitation and propagation. In this study, we find five density irregularity events during a geomagnetic storm from 14 to 19 October 2013 based on the twin Van Allen Probes. We report a frequency-dependent modulation of whistler-mode waves by background density irregularities on October 18, 2013. By an instability analysis and a ray-tracing simulation, we demonstrate that higher-frequency whistler-mode waves are trapped in density troughs due to the small refractive index near the parallel direction, while lower-frequency whistler-mode waves are trapped in density crests due to the refractive index maximum along the parallel direction. We also show that wave amplitude of higher- (lower-) frequency whistler-mode waves is highly anti- correlated (correlated) with the relative density variation. This study shows that density irregularities are of great importance to the occurrence, frequency range, and amplitude of whistler-mode waves and should be taken into account when modeling whistler-mode waves in the magnetosphere.</t>
  </si>
  <si>
    <t>[Liu, Xu; Gu, Wenyao; Xia, Zhiyang; Chen, Lunjin] Univ Texas Dallas, William B Hanson Ctr Space Sci, Richardson, TX 75083 USA; [Horne, Richard B.] British Antarctic Survey, Cambridge, England</t>
  </si>
  <si>
    <t>University of Texas System; University of Texas Dallas; UK Research &amp; Innovation (UKRI); Natural Environment Research Council (NERC); NERC British Antarctic Survey</t>
  </si>
  <si>
    <t>Liu, X; Chen, LJ (corresponding author), Univ Texas Dallas, William B Hanson Ctr Space Sci, Richardson, TX 75083 USA.</t>
  </si>
  <si>
    <t>xu.liu1@utdallas.edu; lunjin.chen@gmail.com</t>
  </si>
  <si>
    <t>Horne, Richard B/0000-0002-0412-6407; Chen, Lunjin/0000-0003-2489-3571; Gu, Wenyao/0000-0003-3562-0595; Xia, Zhiyang/0000-0001-8922-6484; liu, xu/0000-0002-7211-0546</t>
  </si>
  <si>
    <t>NSF [1702805]; NASA [80NSSC19K0282, 80NSSC21K0728]; NERC Highlight Topic Grant [NE/P01738X/1]; NERC [NE/V00249X/1]; NERC [NE/P01738X/1] Funding Source: UKRI; Div Atmospheric &amp; Geospace Sciences; Directorate For Geosciences [1702805] Funding Source: National Science Foundation</t>
  </si>
  <si>
    <t>NSF(National Science Foundation (NSF)); NASA(National Aeronautics &amp; Space Administration (NASA)); NERC Highlight Topic Grant; NERC(UK Research &amp; Innovation (UKRI)Natural Environment Research Council (NERC)); NERC(UK Research &amp; Innovation (UKRI)Natural Environment Research Council (NERC)); Div Atmospheric &amp; Geospace Sciences; Directorate For Geosciences(National Science Foundation (NSF)NSF - Directorate for Geosciences (GEO))</t>
  </si>
  <si>
    <t>We acknowledge the support of NSF grant 1702805 through the Geospace Environment Modeling program and NASA grants 80NSSC19K0282 and 80NSSC21K0728. R. B. Horne was supported by NERC Highlight Topic Grant NE/P01738X/1 (Rad-Sat) and NERC grant NE/V00249X/1 (Sat-Risk). We acknowledge the Van Allen Probes EMFISIS data obtained from https://emfisis.physics.uiowa.edu/data/index and HOPE data obtained from https://cdaweb.gsfc.nasa.gov/index.html.</t>
  </si>
  <si>
    <t>e2021GL093095</t>
  </si>
  <si>
    <t>10.1029/2021GL093095</t>
  </si>
  <si>
    <t>WOS:000688759800029</t>
  </si>
  <si>
    <t>Macotela, EL; Clilverd, M; Renkwitz, T; Chau, J; Manninen, J</t>
  </si>
  <si>
    <t>Macotela, E. L.; Clilverd, M.; Renkwitz, T.; Chau, J.; Manninen, J.</t>
  </si>
  <si>
    <t>Spring-Fall Asymmetry in VLF Amplitudes Recorded in the North Atlantic Region: The Fall-Effect</t>
  </si>
  <si>
    <t>D-region; VLF propagation; mesospheric temperature; semidiurnal solar tide; VLF signal absorption</t>
  </si>
  <si>
    <t>MESOSPHERIC SEMIDIURNAL TIDES; LUNAR TIDES; MIDDLE; TEMPERATURE; MESOPAUSE</t>
  </si>
  <si>
    <t>A spring-fall asymmetry is observed in daytime amplitude values of very low frequency (VLF) radio wave signals propagating over the North Atlantic during 2011-2019. We explore the processes behind this asymmetry by comparing against mesospheric mean temperatures and the semidiurnal solar tide (S2) in mesospheric winds. The solar radiation influence on VLF subionospheric propagation was removed from the daytime VLF amplitude values, isolating the fall-effect. Similarly, the symmetric background level was removed from mesospheric mean temperatures undertaking comparable analysis. During fall, all three analyzed parameters experience significant deviation from their background levels. The VLF amplitude variation during spring is explained by the seasonal variation in solar illumination conditions, while the fall-effect can be interpreted as a mean zonal wind reversal associated with both a S2 enhancement, and temperature reductions. Decreases in temperature can produce decreases in collision frequency, reducing VLF signal absorption, driving the observed VLF asymmetry.</t>
  </si>
  <si>
    <t>[Macotela, E. L.] Univ Rostock, Fac Math &amp; Nat Sci, Rostock, Germany; [Macotela, E. L.; Renkwitz, T.] Univ Rostock, Leibniz Inst Atmospher Phys, Kuhlungsborn, Germany; [Clilverd, M.] UKRI NERC, British Antarctic Survey, Cambridge, England; [Chau, J.] Univ Oulu, Sodankla Geophys Observ, Sodankyla, Finland; [Manninen, J.] German Aerosp Ctr, Inst Solar Terr Phys, Neustrelitz, Germany</t>
  </si>
  <si>
    <t>University of Rostock; University of Rostock; Leibniz Institut fur Atmospharenphysik e.V. an der Universitat Rostock (IAP); UK Research &amp; Innovation (UKRI); Natural Environment Research Council (NERC); NERC British Antarctic Survey; University of Oulu; Helmholtz Association; German Aerospace Centre (DLR)</t>
  </si>
  <si>
    <t>Macotela, EL (corresponding author), Univ Rostock, Fac Math &amp; Nat Sci, Rostock, Germany.;Macotela, EL (corresponding author), Univ Rostock, Leibniz Inst Atmospher Phys, Kuhlungsborn, Germany.</t>
  </si>
  <si>
    <t>edithlilianamc@gmail.com</t>
  </si>
  <si>
    <t>Chau, Jorge/C-7568-2013</t>
  </si>
  <si>
    <t>Chau, Jorge/0000-0002-2364-8892; Renkwitz, Toralf/0000-0002-0739-2655; Macotela, Liliana/0000-0003-3076-1946</t>
  </si>
  <si>
    <t>AMELIE - Analysis of the MEsosphere and Lower Ionosphere fall Effect [D/921/67286532]; UK Research and Innovation (UKRI-NERC) through National Capability Space Weather Observatory (NC-SS SWO); Projekt DEAL</t>
  </si>
  <si>
    <t>AMELIE - Analysis of the MEsosphere and Lower Ionosphere fall Effect; UK Research and Innovation (UKRI-NERC) through National Capability Space Weather Observatory (NC-SS SWO); Projekt DEAL</t>
  </si>
  <si>
    <t>This work is supported by AMELIE - Analysis of the MEsosphere and Lower Ionosphere fall Effect (DLR project D/921/67286532). The authors thank Alexander Kozlovsky for providing his insights for this research work, in particular for looking mesospheric temperature data. MAC would like to acknowledge support from the UK Research and Innovation (UKRI-NERC) through National Capability Space Weather Observatory funding (NC-SS SWO). Open access funding enabled and organized by Projekt DEAL.</t>
  </si>
  <si>
    <t>e2021GL094581</t>
  </si>
  <si>
    <t>10.1029/2021GL094581</t>
  </si>
  <si>
    <t>WOS:000688759800005</t>
  </si>
  <si>
    <t>Mao, R; Kim, SJ; Gong, DY; Liu, XH; Wen, XY; Zhang, LP; Tang, F; Zong, Q; Xiao, CD; Ding, MH; Park, SJ</t>
  </si>
  <si>
    <t>Mao, Rui; Kim, Seong-Joong; Gong, Dao-Yi; Liu, Xiaohong; Wen, Xinyu; Zhang, Liping; Tang, Feng; Zong, Qi; Xiao, Cunde; Ding, Minghu; Park, Sang-Jong</t>
  </si>
  <si>
    <t>Increasing Difference in Interannual Summertime Surface Air Temperature Between Interior East Antarctica and the Antarctic Peninsula Under Future Climate Scenarios</t>
  </si>
  <si>
    <t>Temperature difference; Future climate; CMIP5; the Southern Hemisphere Annular Mode</t>
  </si>
  <si>
    <t>SOUTHERN ANNULAR MODE; AMUNDSEN SEA LOW; CIRCULATION CHANGES; PART I; HEMISPHERE; CMIP5; VARIABILITY; TRENDS; ICE; PERFORMANCE</t>
  </si>
  <si>
    <t>In this study, using the Climate Model Intercomparison Project 5 (CMIP5) simulations and by empirical orthogonal function (EOF) analysis, the first mode of variability in interannual surface air temperature (SAT) in Antarctica (EOF1) was examined for the period between 1979-2004 and 2051-2099 during the austral summer. The ensemble mean of EOF1 of the CMIP5 models shows a positive SAT anomaly over the northern Antarctic Peninsula (AP) and a negative SAT anomaly over Eastern Antarctica (EA) in both periods. A poleward expansion of the AP positive anomaly and an increase in the negative anomaly over interior EA are expected in 2051-2099, resulting in a larger difference of interannual SAT between interior EA and the AP in 2051-2099 than in 1979-2004. The increasing difference in the interannual SAT is consistent with a larger magnitude of the SAM-related circulation anomalies in the future.</t>
  </si>
  <si>
    <t>[Mao, Rui; Gong, Dao-Yi; Zong, Qi; Xiao, Cunde] Beijing Normal Univ, State Key Lab Earth Surface Proc &amp; Resource Ecol, Fac Geog Sci, Beijing, Peoples R China; [Mao, Rui; Gong, Dao-Yi; Zong, Qi] Beijing Normal Univ, Acad Disaster Reduct &amp; Emergency Management, Fac Geog Sci, Beijing, Peoples R China; [Mao, Rui; Liu, Xiaohong] Univ Wyoming, Dept Atmospher Sci, Laramie, WY 82071 USA; [Kim, Seong-Joong; Park, Sang-Jong] Korea Polar Res Inst, Incheon, South Korea; [Wen, Xinyu] Peking Univ, Sch Phys, Dept Atmospher &amp; Ocean Sci, Beijing, Peoples R China; [Zhang, Liping] Princeton Univ, NOAA, Geophys Fluid Dynam Lab, Princeton, NJ 08544 USA; [Zhang, Liping] Univ Corp Atmospher Res, Cooperat Programs Adv Earth Syst Sci, Boulder, CO USA; [Tang, Feng] Xinhua Middle Sch, Shenzhen, Peoples R China; [Ding, Minghu] Chinese Acad Meteorol Sci, Inst Polar Meteorol, Beijing, Peoples R China</t>
  </si>
  <si>
    <t>Beijing Normal University; Beijing Normal University; University of Wyoming; Korea Polar Research Institute (KOPRI); Peking University; National Oceanic Atmospheric Admin (NOAA) - USA; Princeton University; National Center Atmospheric Research (NCAR) - USA; China Meteorological Administration; Chinese Academy of Meteorological Sciences (CAMS)</t>
  </si>
  <si>
    <t>Mao, R (corresponding author), Beijing Normal Univ, State Key Lab Earth Surface Proc &amp; Resource Ecol, Fac Geog Sci, Beijing, Peoples R China.;Mao, R (corresponding author), Beijing Normal Univ, Acad Disaster Reduct &amp; Emergency Management, Fac Geog Sci, Beijing, Peoples R China.;Mao, R (corresponding author), Univ Wyoming, Dept Atmospher Sci, Laramie, WY 82071 USA.</t>
  </si>
  <si>
    <t>mr@bnu.edu.cn</t>
  </si>
  <si>
    <t>Zong, Qiugang/L-1920-2018; Mao, Rui/C-3499-2013; Ding, Minghu/AFU-3600-2022; Park, Sang-Jong/B-7049-2011; Liu, Xiaohong/E-9304-2011; Zhang, Liping/L-6480-2015</t>
  </si>
  <si>
    <t>Zong, Qiugang/0000-0002-6414-3794; Ding, Minghu/0000-0002-1142-6598; Liu, Xiaohong/0000-0002-3994-5955; Zhang, Liping/0000-0003-1122-8927; Kim, Seong-joong/0000-0002-6232-8082</t>
  </si>
  <si>
    <t>NSFC [41571039]; National Key R&amp;D Program of China [2016YFA0602401, PE21030]; Basic Fund of the Chinese Academy of Meteorological Sciences [2021Z006]; University of Wisconsin-Madison Automatic Weather Station Program; NSF [ANT-1543305]</t>
  </si>
  <si>
    <t>NSFC(National Natural Science Foundation of China (NSFC)); National Key R&amp;D Program of China; Basic Fund of the Chinese Academy of Meteorological Sciences; University of Wisconsin-Madison Automatic Weather Station Program; NSF(National Science Foundation (NSF))</t>
  </si>
  <si>
    <t>The authors thank six anonymous reviewers for their insightful comments. This study was supported by NSFC (41571039), the National Key R&amp;D Program of China (2016YFA0602401), Project PE21030 of the Korea Polar Research Institute, and the Basic Fund of the Chinese Academy of Meteorological Sciences (Grant No. 2021Z006). The authors appreciate the University of Wisconsin-Madison Automatic Weather Station Program and NSF (ANT-1543305).</t>
  </si>
  <si>
    <t>e2020GL092031</t>
  </si>
  <si>
    <t>10.1029/2020GL092031</t>
  </si>
  <si>
    <t>WOS:000688759800056</t>
  </si>
  <si>
    <t>Payne, AJ; Nowicki, S; Abe-Ouchi, A; Agosta, C; Alexander, P; Albrecht, T; Asay-Davis, X; Aschwanden, A; Barthel, A; Bracegirdle, TJ; Calov, R; Chambers, C; Choi, Y; Cullather, R; Cuzzone, J; Dumas, C; Edwards, TL; Felikson, D; Fettweis, X; Galton-Fenzr, BK; Goelzer, H; Gladstone, R; Golledge, NR; Gregory, JM; Greve, R; Hattermann, T; Hoffman, MJ; Humbert, A; Huybrechts, P; Jourdain, NC; Kleiner, T; Munneke, PK; Larour, E; Le Clec'h, S; Lee, V; Leguy, G; Lipscomb, WH; Little, CM; Lowry, DP; Morlighem, M; Nias, I; Pattyn, F; Pelle, T; Price, SF; Quiquet, A; Reese, R; Rückamp, M; Schlege, NJ; Seroussi, H; Shepherd, A; Simon, E; Slater, D; Smith, RS; Straneo, F; Sun, SN; Tarasov, L; Trusel, LD; Van Breedam, J; van de Wal, R; van den Broeke, M; Winkelmann, R; Zhao, C; Zhang, T; Zwinger, T</t>
  </si>
  <si>
    <t>Payne, Antony J.; Nowicki, Sophie; Abe-Ouchi, Ayako; Agosta, Cecile; Alexander, Patrick; Albrecht, Torsten; Asay-Davis, Xylar; Aschwanden, Andy; Barthel, Alice; Bracegirdle, Thomas J.; Calov, Reinhard; Chambers, Christopher; Choi, Youngmin; Cullather, Richard; Cuzzone, Joshua; Dumas, Christophe; Edwards, Tamsin L.; Felikson, Denis; Fettweis, Xavier; Galton-Fenzr, Benjamin K.; Goelzer, Heiko; Gladstone, Rupert; Golledge, Nicholas R.; Gregory, Jonathan M.; Greve, Ralf; Hattermann, Tore; Hoffman, Matthew J.; Humbert, Angelika; Huybrechts, Philippe; Jourdain, Nicolas C.; Kleiner, Thomas; Munneke, Peter Kuipers; Larour, Eric; Le Clec'h, Sebastien; Lee, Victoria; Leguy, Gunter; Lipscomb, William H.; Little, Christopher M.; Lowry, Daniel P.; Morlighem, Mathieu; Nias, Isabel; Pattyn, Frank; Pelle, Tyler; Price, Stephen F.; Quiquet, Aurelien; Reese, Ronja; Rueckamp, Martin; Schlege, Nicole-Jeanne; Seroussi, Helene; Shepherd, Andrew; Simon, Erika; Slater, Donald; Smith, Robin S.; Straneo, Fiammetta; Sun, Sainan; Tarasov, Lev; Trusel, Luke D.; Van Breedam, Jonas; van de Wal, Roderik; van den Broeke, Michiel; Winkelmann, Ricarda; Zhao, Chen; Zhang, Tong; Zwinger, Thomas</t>
  </si>
  <si>
    <t>Future Sea Level Change Under Coupled Model Intercomparison Project Phase 5 and Phase 6 Scenarios From the Greenland and Antarctic Ice Sheets</t>
  </si>
  <si>
    <t>Antarctica; Greenland; ice sheet; sea level</t>
  </si>
  <si>
    <t>RETREAT; DRIVEN; CMIP5; MELT</t>
  </si>
  <si>
    <t>Projections of the sea level contribution from the Greenland and Antarctic ice sheets (GrIS and AIS) rely on atmospheric and oceanic drivers obtained from climate models. The Earth System Models participating in the Coupled Model Intercomparison Project phase 6 (CMIP6) generally project greater future warming compared with the previous Coupled Model Intercomparison Project phase 5 (CMIP5) effort. Here we use four CMIP6 models and a selection of CMIP5 models to force multiple ice sheet models as part of the Ice Sheet Model Intercomparison Project for CMIP6 (ISMIP6). We find that the projected sea level contribution at 2100 from the ice sheet model ensemble under the CMIP6 scenarios falls within the CMIP5 range for the Antarctic ice sheet but is significantly increased for Greenland. Warmer atmosphere in CMIP6 models results in higher Greenland mass loss due to surface melt. For Antarctica, CMIP6 forcing is similar to CMIP5 and mass gain from increased snowfall counteracts increased loss due to ocean warming.</t>
  </si>
  <si>
    <t>[Payne, Antony J.; Lee, Victoria] Univ Bristol, Ctr Polar Observat &amp; Modelling, Bristol, Avon, England; [Nowicki, Sophie; Cullather, Richard; Felikson, Denis; Nias, Isabel; Simon, Erika] NASA, Goddard Space Flight Ctr, Cryospher Sci Lab, Greenbelt, MD 20771 USA; [Nowicki, Sophie] Univ Buffalo, Geol Dept, Buffalo, NY 14260 USA; [Nowicki, Sophie] Univ Buffalo, RENEW Inst, Buffalo, NY 14260 USA; [Abe-Ouchi, Ayako] Univ Tokyo, Atmosphere &amp; Ocean Res Inst, Kashiwa, Chiba, Japan; [Agosta, Cecile; Dumas, Christophe; Quiquet, Aurelien] Univ Paris Saclay, CEA CNRS UVSQ, LSCE IPSL, Lab Sci Climat &amp; Environm, Gif Sur Yvette, France; [Alexander, Patrick] Columbia Univ, Lamont Doherty Earth Observ, Palisades, NY USA; [Alexander, Patrick] NASA, Goddard Inst Space Studies, New York, NY 10025 USA; [Albrecht, Torsten; Calov, Reinhard; Reese, Ronja; Winkelmann, Ricarda] Leibniz Assoc, Potsdam Inst Climate Impact Res PIK, Potsdam, Germany; [Asay-Davis, Xylar; Barthel, Alice; Hoffman, Matthew J.; Price, Stephen F.; Zhang, Tong] Los Alamos Natl Lab, Theoret Div, Los Alamos, NM USA; [Aschwanden, Andy] Univ Alaska, Inst Geophys, Fairbanks, AK USA; [Bracegirdle, Thomas J.; Greve, Ralf] British Antarctic Survey, Cambridge, England; [Chambers, Christopher] Hokkaido Univ, Inst Low Temp Sci, Sapporo, Hokkaido, Japan; [Choi, Youngmin; Morlighem, Mathieu; Pelle, Tyler] Univ Calif Irvine, Dept Earth Syst Sci, Irvine, CA USA; [Cuzzone, Joshua; Larour, Eric; Schlege, Nicole-Jeanne; Seroussi, Helene] CALTECH, Jet Prop Lab, Pasadena, CA USA; [Edwards, Tamsin L.] Kings Coll London, Dept Geog, London, England; [Felikson, Denis] Univ Space Res Assoc, Goddard Earth Sci Technol &amp; Res Studies &amp; Invest, Columbia, MD USA; [Fettweis, Xavier] Univ Liege, Dept Geog, Lab Climatol, Liege, Belgium; [Galton-Fenzr, Benjamin K.] Australian Antarctic Div, Kingston, Tas, Australia; [Galton-Fenzr, Benjamin K.; Zhao, Chen] Univ Tasmania, Inst Marine &amp; Antarctic Studies, Australian Antarctic Program Partnership, Hobart, Tas, Australia; [Goelzer, Heiko; Munneke, Peter Kuipers; van de Wal, Roderik; van den Broeke, Michiel] Univ Utrecht, Inst Marine &amp; Atmospher Res Utrecht, Utrecht, Netherlands; [Goelzer, Heiko; Pattyn, Frank; Sun, Sainan] Univ Libre Bruxelles, Lab Glaciol, Brussels, Belgium; [Goelzer, Heiko] Bjerknes Ctr Climate Res, NORCE Norwegian Res Ctr, Bergen, Norway; [Gladstone, Rupert] Univ Lapland, Arctic Ctr, Rovaniemi, Finland; [Golledge, Nicholas R.] Victoria Univ Wellington, Antarctic Res Ctr, Wellington, New Zealand; [Gregory, Jonathan M.; Smith, Robin S.] Univ Reading, Natl Ctr Atmospher Sci, Reading, Berks, England; [Gregory, Jonathan M.] Hadley Ctr, Met Off, Exeter, Devon, England; [Greve, Ralf] Hokkaido Univ, Arctic Res Ctr, Sapporo, Hokkaido, Japan; [Hattermann, Tore] Norwegian Polar Res Inst, Tromso, Norway; [Hattermann, Tore] Arctic Univ Univ Tromso, Dept Phys &amp; Technol, Tromso, Norway; [Humbert, Angelika; Kleiner, Thomas; Rueckamp, Martin] Alfred Wegener Inst Polar &amp; Marine Res, Bremerhaven, Germany; [Humbert, Angelika] Univ Bremen, Dept Geosci, Bremen, Germany; [Huybrechts, Philippe; Le Clec'h, Sebastien; Van Breedam, Jonas] Vrije Univ Brussel, Earth Syst Sci, Brussels, Belgium; [Huybrechts, Philippe; Le Clec'h, Sebastien; Van Breedam, Jonas] Vrije Univ Brussel, Dept Geog, Brussels, Belgium; [Jourdain, Nicolas C.] Univ Grenoble Alpes, Inst Geosci Environm, CNRS IRD G INP, Grenoble, France; [Leguy, Gunter; Lipscomb, William H.] Natl Ctr Atmospher Res, Climate &amp; Global Dynam Lab, POB 3000, Boulder, CO 80307 USA; [Little, Christopher M.] Atmospher &amp; Environm Res Inc, Lexington, MA USA; [Lowry, Daniel P.] GNS Sci, Lower Hutt, New Zealand; [Nias, Isabel] Univ Liverpool, Sch Environm Sci, Liverpool, Merseyside, England; [Shepherd, Andrew] Univ Leeds, Ctr Polar Observat &amp; Modelling, Leeds, W Yorkshire, England; [Slater, Donald; Straneo, Fiammetta] Univ Calif San Diego, Scripps Inst Oceanog, La Jolla, CA 92093 USA; [Tarasov, Lev] Mem Univ Newfoundland, Dept Phys &amp; Phys Oceanog, St John, NF, Canada; [Trusel, Luke D.] Penn State Univ, Dept Geog, University Pk, PA 16802 USA; [van de Wal, Roderik] Univ Utrecht, Phys Geog, Geosci, Utrecht, Netherlands; [Winkelmann, Ricarda] Univ Potsdam, Dept Phys &amp; Astron, Potsdam, Germany; [Zwinger, Thomas] CSC IT Ctr Sci, Espoo, Finland</t>
  </si>
  <si>
    <t>University of Bristol; National Aeronautics &amp; Space Administration (NASA); NASA Goddard Space Flight Center; State University of New York (SUNY) System; State University of New York (SUNY) Buffalo; State University of New York (SUNY) System; State University of New York (SUNY) Buffalo; University of Tokyo; CEA; Centre National de la Recherche Scientifique (CNRS); Universite Paris Saclay; Universite Paris Cite; Columbia University; National Aeronautics &amp; Space Administration (NASA); NASA Goddard Space Flight Center; Goddard Institute for Space Studies; Potsdam Institut fur Klimafolgenforschung; United States Department of Energy (DOE); Los Alamos National Laboratory; University of Alaska System; University of Alaska Fairbanks; UK Research &amp; Innovation (UKRI); Natural Environment Research Council (NERC); NERC British Antarctic Survey; Hokkaido University; University of California System; University of California Irvine; California Institute of Technology; National Aeronautics &amp; Space Administration (NASA); NASA Jet Propulsion Laboratory (JPL); University of London; King's College London; Universities Space Research Association (USRA); University of Liege; Australian Antarctic Division; University of Tasmania; Utrecht University; Universite Libre de Bruxelles; Norwegian Research Centre (NORCE); Bjerknes Centre for Climate Research; University of Lapland; Victoria University Wellington; UK Research &amp; Innovation (UKRI); Natural Environment Research Council (NERC); NERC National Centre for Atmospheric Science; University of Reading; Met Office - UK; Hadley Centre; Hokkaido University; Norwegian Polar Institute; UiT The Arctic University of Tromso; Helmholtz Association; Alfred Wegener Institute, Helmholtz Centre for Polar &amp; Marine Research; University of Bremen; Vrije Universiteit Brussel; Vrije Universiteit Brussel; Communaute Universite Grenoble Alpes; Universite Grenoble Alpes (UGA); National Center Atmospheric Research (NCAR) - USA; Atmospheric &amp; Environmental Research; GNS Science - New Zealand; University of Liverpool; University of California System; University of California San Diego; Scripps Institution of Oceanography; Memorial University Newfoundland; Pennsylvania Commonwealth System of Higher Education (PCSHE); Pennsylvania State University; Pennsylvania State University - University Park; Utrecht University; University of Potsdam</t>
  </si>
  <si>
    <t>Payne, AJ (corresponding author), Univ Bristol, Ctr Polar Observat &amp; Modelling, Bristol, Avon, England.;Nowicki, S (corresponding author), NASA, Goddard Space Flight Ctr, Cryospher Sci Lab, Greenbelt, MD 20771 USA.;Nowicki, S (corresponding author), Univ Buffalo, Geol Dept, Buffalo, NY 14260 USA.;Nowicki, S (corresponding author), Univ Buffalo, RENEW Inst, Buffalo, NY 14260 USA.</t>
  </si>
  <si>
    <t>a.j.payne@bristol.ac.uk; sophien@buffalo.edu</t>
  </si>
  <si>
    <t>Van den Broeke, Michiel R./F-7867-2011; Zhao, Chen/S-2693-2019; Pattyn, Frank/AAA-9640-2019; Felikson, Denis/M-2397-2016; Morlighem, Mathieu/O-9942-2014; van de wal, roderik/D-1705-2011; Greve, Ralf/G-2336-2010; Abe-Ouchi, Ayako A/M-6359-2013; Trusel, Luke D/E-2578-2013; Goelzer, Heiko/M-2367-2016; Gregory, Jonathan/J-2939-2016; Agosta, Cécile/HLQ-5577-2023; albrecht, torsten/J-8259-2019; Gladstone, Rupert M/C-1086-2013; Barthel, Alice/AHE-2973-2022; Jourdain, Nicolas C/B-6899-2015; Quiquet, Aurélien/P-6180-2014; Zwinger, Thomas/H-5163-2018; payne, antony/A-8916-2008; Huybrechts, Philippe/J-5278-2013; Agosta, Cecile/B-9625-2013; Price, Stephen/E-1568-2013</t>
  </si>
  <si>
    <t>Van den Broeke, Michiel R./0000-0003-4662-7565; Zhao, Chen/0000-0003-0368-1334; Pattyn, Frank/0000-0003-4805-5636; Felikson, Denis/0000-0002-3785-5112; Morlighem, Mathieu/0000-0001-5219-1310; van de wal, roderik/0000-0003-2543-3892; Abe-Ouchi, Ayako A/0000-0003-1745-5952; Goelzer, Heiko/0000-0002-5878-9599; Gregory, Jonathan/0000-0003-1296-8644; albrecht, torsten/0000-0001-7459-2860; Barthel, Alice/0000-0002-2481-8646; Quiquet, Aurélien/0000-0001-6207-3043; Sun, Sainan/0000-0002-1614-2658; payne, antony/0000-0001-8825-8425; Humbert, Angelika/0000-0002-0244-8760; Bracegirdle, Thomas/0000-0002-8868-4739; Edwards, Tamsin/0000-0002-4760-4704; Nias, Isabel/0000-0002-5657-8691; Reese, Ronja/0000-0001-7625-040X; Golledge, Nicholas/0000-0001-7676-8970; Huybrechts, Philippe/0000-0003-1406-0525; Schlegel, Nicole-Jeanne/0000-0001-8035-448X; Van Breedam, Jonas/0000-0003-1504-9520; Agosta, Cecile/0000-0003-4091-1653; Price, Stephen/0000-0001-6878-2553; Asay-Davis, Xylar/0000-0002-1990-892X; Straneo, Fiammetta/0000-0002-1735-2366</t>
  </si>
  <si>
    <t>Climate and Cryosphere (CliC); Earth System Grid Federation; European Union [869304]; NERC [NE/T011920/1, cpom30001, NE/J005681/1, NE/T009470/1, bas0100032] Funding Source: UKRI</t>
  </si>
  <si>
    <t>Climate and Cryosphere (CliC); Earth System Grid Federation; European Union(European Union (EU)); NERC(UK Research &amp; Innovation (UKRI)Natural Environment Research Council (NERC))</t>
  </si>
  <si>
    <t>The authors would like to thank the Climate and Cryosphere (CliC) project for providing support for ISMIP6 through the sponsorship of workshops and hosting the ISMIP6 website. We acknowledge the University at Buffalo for their help with ISMIP6 data distribution, and the multiple agencies that support CMIP5, CMIP6, and the Earth System Grid Federation. This is ISMIP6 contribution number 12. This project received funding from the European Union's Horizon 2020 research and innovation program under Grant agreement No 869304, PROTECT contribution number 4.</t>
  </si>
  <si>
    <t>e2020GL091741</t>
  </si>
  <si>
    <t>10.1029/2020GL091741</t>
  </si>
  <si>
    <t>WOS:000688759800065</t>
  </si>
  <si>
    <t>Li, QX; Luo, YY; Liu, FK</t>
  </si>
  <si>
    <t>Li, Qiuxian; Luo, Yiyong; Liu, Fukai</t>
  </si>
  <si>
    <t>Asymmetric responses of the meridional ocean heat transport to climate warming and cooling in CESM</t>
  </si>
  <si>
    <t>Indo-Pacific Subtropical Cell; Atlantic Meridional Overturning Circulation; Meridional Ocean Heat Transport; Asymmetry</t>
  </si>
  <si>
    <t>ANTARCTIC CIRCUMPOLAR CURRENT; OVERTURNING CIRCULATION; SOUTHERN-OCEAN; ENERGY-TRANSPORT; FRESH-WATER; SEA-ICE; PART I; ATMOSPHERE; PACIFIC; MODEL</t>
  </si>
  <si>
    <t>This study investigates the responses of the meridional ocean heat transport (OHT) to heat fluxes of equal amplitude but opposite sign into the global ocean surface using the Community Earth System Model (CESM). Results show that the poleward OHT in both hemispheres are weakened in response to the positive forcing (i.e., warming) and strengthened in response to the negative forcing (i.e., cooling), with the latter change exceeding the former, manifesting an overall asymmetric response. The OHT responses in the Indo-Pacific to both the warming and the cooling and thus their asymmetry are dominated by its Eulerian-mean component, due primarily to changes in the Indo-Pacific Subtropical Cells. Similarly, the OHT responses in the Atlantic are determined by changes in the Atlantic Meridional Overturning Circulation, yet their asymmetry is small due to the mediation from the nonlinear effect of temperature and velocity changes. For the Southern Ocean, the Eulerian-mean component still controls the total OHT responses, yet the largest contribution is from changes in vertical temperature structure. In addition, the asymmetric response in the Southern Ocean is a joint effort among the overturning circulation cells, horizontal gyres, eddies, as well as temperature changes.</t>
  </si>
  <si>
    <t>[Li, Qiuxian; Luo, Yiyong; Liu, Fukai] Ocean Univ China, Frontier Sci Ctr Deep Ocean Multispheres &amp; Earth, Qingdao, Peoples R China; [Li, Qiuxian; Luo, Yiyong; Liu, Fukai] Ocean Univ China, Phys Oceanog Lab, Qingdao, Peoples R China; [Li, Qiuxian; Luo, Yiyong; Liu, Fukai] Qingdao Pilot Natl Lab Marine Sci &amp; Technol, Lab Ocean Dynam &amp; Climate, Qingdao, Peoples R China; [Li, Qiuxian; Luo, Yiyong; Liu, Fukai] Ocean Univ China, Coll Ocean &amp; Atmospher Sci, Qingdao, Peoples R China</t>
  </si>
  <si>
    <t>Ocean University of China; Ocean University of China; Laoshan Laboratory; Ocean University of China</t>
  </si>
  <si>
    <t>Luo, YY; Liu, FK (corresponding author), Ocean Univ China, Frontier Sci Ctr Deep Ocean Multispheres &amp; Earth, Qingdao, Peoples R China.;Luo, YY; Liu, FK (corresponding author), Ocean Univ China, Phys Oceanog Lab, Qingdao, Peoples R China.;Luo, YY; Liu, FK (corresponding author), Qingdao Pilot Natl Lab Marine Sci &amp; Technol, Lab Ocean Dynam &amp; Climate, Qingdao, Peoples R China.;Luo, YY; Liu, FK (corresponding author), Ocean Univ China, Coll Ocean &amp; Atmospher Sci, Qingdao, Peoples R China.</t>
  </si>
  <si>
    <t>yiyongluo@ouc.edu.cn; fliu@ouc.edu.cn</t>
  </si>
  <si>
    <t>Liu, Fukai/F-8131-2018</t>
  </si>
  <si>
    <t>Liu, Fukai/0000-0002-0687-9568</t>
  </si>
  <si>
    <t>National Key Research and Development Program of China [2018YFA0605702]; National Natural Science Foundation of China (NSFC) [41906002, 41976006, 41676002, 91858210]</t>
  </si>
  <si>
    <t>We thank three anonymous reviewers for their valuable comments that helped improve the manuscript. This work is supported by the National Key Research and Development Program of China (2018YFA0605702) and the National Natural Science Foundation of China (NSFC; 41906002, 41976006, 41676002 and 91858210). The CMIP6 simulations are available via the Earth System Grid Federation (ESGF) archive (https://esgf-node.llnl.gov/projects/esgf-llnl/).</t>
  </si>
  <si>
    <t>10.1007/s00382-021-05948-w</t>
  </si>
  <si>
    <t>WOS:000691005600001</t>
  </si>
  <si>
    <t>Dang, M; Norregaard, R; Sonne, C; Bach, L; Stride, M; Jantawongsri, K; Nowak, B</t>
  </si>
  <si>
    <t>Dang, Mai; Norregaard, Rasmus; Sonne, Christian; Bach, Lis; Stride, Megan; Jantawongsri, Khattapan; Nowak, Barbara</t>
  </si>
  <si>
    <t>Splenic and renal melanomacrophage centers in shorthorn sculpins (Myoxocephalus scorpius) in Nuuk harbor, West Greenland</t>
  </si>
  <si>
    <t>Biomarker; Melanomacrophage center; Tributyltin (TBT); Polychlorinated biphenyls (PCBs); Polycyclic aromatic hydrocarbons (PAHs)</t>
  </si>
  <si>
    <t>HISTOPATHOLOGICAL CHANGES; HOPLIAS-MALABARICUS; IMMUNE-RESPONSES; FOURHORN SCULPIN; NEOTROPICAL FISH; QUADRICORNIS L; HEAD KIDNEY; BIOMARKERS; EXPOSURE; LIVER</t>
  </si>
  <si>
    <t>The Nuuk harbor is the largest industrial port in Greenland. It is polluted by a number of contaminants including tributyltin (TBT), polychlorinated biphenyls (PCBs) and polycyclic aromatic hydrocarbons (PAHs). Here we analyzed melanomacrophage center (MMC) responses in the spleen and kidney of shorthorn sculpins (Myoxocephalus scorpius) from the harbor and three reference sites in Nuuk, West Greenland. The number and area of splenic MMCs in fish from the most polluted station were significantly lower than those from the less polluted stations (p &lt; 0.01). This suggests that the immune response differed between the fish from the contaminated site and those from the reference sites. This indicates that splenic MMCs of shorthorn sculpins could have a biomarker potential for pollutant exposure. This was, however, not the case for renal MMCs. In addition, this study showed that there were effects of body size on the splenic and renal MMC responses. Therefore, in future studies, body size of shorthorn sculpins needs to be considered when investigating splenic and renal MMC responses.</t>
  </si>
  <si>
    <t>[Dang, Mai; Stride, Megan; Jantawongsri, Khattapan; Nowak, Barbara] Univ Tasmania, Inst Marine &amp; Antarctic Studies, Launceston, Tas 7250, Australia; [Dang, Mai] Inst Vet Res &amp; Dev Cent Vietnam, Dept Bacteriol, Km 4,2-4 St, Nha Trang 57000, Khanh Hoa, Vietnam; [Norregaard, Rasmus; Sonne, Christian; Bach, Lis; Nowak, Barbara] Aarhus Univ, Dept Biosci, Fac Sci &amp; Technol, Arctic Res Ctr ARC, Frederiksborgvej 399,POB 358, DK-4000 Roskilde, Denmark</t>
  </si>
  <si>
    <t>University of Tasmania; Aarhus University</t>
  </si>
  <si>
    <t>Nowak, B (corresponding author), Univ Tasmania, Inst Marine &amp; Antarctic Studies, Launceston, Tas 7250, Australia.;Nowak, B (corresponding author), Aarhus Univ, Dept Biosci, Fac Sci &amp; Technol, Arctic Res Ctr ARC, Frederiksborgvej 399,POB 358, DK-4000 Roskilde, Denmark.</t>
  </si>
  <si>
    <t>B.Nowak@utas.edu.au</t>
  </si>
  <si>
    <t>Sonne, Christian/I-7532-2013; Nowak, Barbara/J-7261-2014; Bach, Lis/J-6567-2013</t>
  </si>
  <si>
    <t>Sonne, Christian/0000-0001-5723-5263; Dang, Mai T. S./0000-0003-2542-120X; Jantawongsri, Khattapan/0000-0003-1738-8091; Nowak, Barbara/0000-0002-0347-643X; Bach, Lis/0000-0003-2891-4202</t>
  </si>
  <si>
    <t>The University of Tasmania is acknowledged for funding Mai Dang's PhD scholarship and supporting her research. The Ministry of Environment and Food, Denmark and the Environmental Agency for Mineral Resources Activities, Greenland is acknowledged for supporting the field trip by which our archival samples were collected.</t>
  </si>
  <si>
    <t>10.1007/s00300-021-02934-0</t>
  </si>
  <si>
    <t>WOS:000690719500001</t>
  </si>
  <si>
    <t>Franke, S; Eisermann, H; Jokat, W; Eagles, G; Asseng, J; Miller, H; Steinhage, D; Helm, V; Eisen, O; Jansen, D</t>
  </si>
  <si>
    <t>Franke, Steven; Eisermann, Hannes; Jokat, Wilfried; Eagles, Graeme; Asseng, Joelund; Miller, Heinrich; Steinhage, Daniel; Helm, Veit; Eisen, Olaf; Jansen, Daniela</t>
  </si>
  <si>
    <t>Preserved landscapes underneath the Antarctic Ice Sheet reveal the geomorphological history of Jutulstraumen Basin</t>
  </si>
  <si>
    <t>basal roughness; bed topography; Dronning Maud Land; East Antarctica; erosion; Jutulstraumen Glacier; radio-echo sounding; subglacial morphology; valley geometry</t>
  </si>
  <si>
    <t>DRONNING-MAUD LAND; GONDWANA BREAK-UP; HEAT-FLUX; SUBGLACIAL TOPOGRAPHY; AEROGEOPHYSICAL DATA; BASAL ROUGHNESS; EAST ANTARCTICA; SOUTHERN-OCEAN; BENEATH; BED</t>
  </si>
  <si>
    <t>The landscape of Antarctica, hidden beneath kilometre-thick ice in most places, has been shaped by the interactions between tectonic and erosional processes. The flow dynamics of the thick ice cover deepened pre-formed topographic depressions by glacial erosion, but also preserved the subglacial landscapes in regions with moderate to slow ice flow. Mapping the spatial variability of these structures provides the basis for reconstruction of the evolution of subglacial morphology. This study focuses on the Jutulstraumen Glacier drainage system in Dronning Maud Land, East Antarctica. The Jutulstraumen Glacier reaches the ocean via the Jutulstraumen Graben, which is the only significant passage for draining the East Antarctic Ice Sheet through the western part of the Dronning Maud Land mountain chain. We acquired new bed topography data during an airborne radar campaign in the region upstream of the Jutulstraumen Graben to characterise the source area of the glacier. The new data show a deep relief to be generally under-represented in available bed topography compilations. Our analysis of the bed topography, valley characteristics and bed roughness leads to the conclusion that much more of the alpine landscape that would have formed prior to the Antarctic Ice Sheet is preserved than previously anticipated. We identify an active and deeply eroded U-shaped valley network next to largely preserved passive fluvial and glacial modified landscapes. Based on the landscape classification, we reconstruct the temporal sequence by which ice flow modified the topography since the beginning of the glaciation of Antarctica.</t>
  </si>
  <si>
    <t>[Franke, Steven; Eisermann, Hannes; Jokat, Wilfried; Eagles, Graeme; Asseng, Joelund; Miller, Heinrich; Steinhage, Daniel; Helm, Veit; Eisen, Olaf; Jansen, Daniela] Helmholtz Ctr Polar &amp; Marine Res, Alfred Wegener Inst, Alten Hafen 26, D-27568 Bremerhaven, Germany; [Jokat, Wilfried; Eisen, Olaf] Univ Bremen, Dept Geosci, Bremen, Germany</t>
  </si>
  <si>
    <t>Franke, S (corresponding author), Helmholtz Ctr Polar &amp; Marine Res, Alfred Wegener Inst, Alten Hafen 26, D-27568 Bremerhaven, Germany.</t>
  </si>
  <si>
    <t>steven.franke@awi.de</t>
  </si>
  <si>
    <t>Franke, Steven/ABB-6333-2020</t>
  </si>
  <si>
    <t>Franke, Steven/0000-0001-8462-4379; Jansen, Daniela/0000-0002-4412-5820; Miller, Heinrich/0000-0003-1015-2828; Helm, Veit/0000-0001-7788-9328; Eagles, Graeme/0000-0001-5325-0810; Eisermann, Hannes/0000-0002-5604-6484; Eisen, Olaf/0000-0002-6380-962X</t>
  </si>
  <si>
    <t>University of Kansas; NASA Operation IceBridge [NNX16AH54G]; NSF [ACI-1443054, OPP-1739003, IIS-1838230]; Open Access Publication Funds of Alfred-Wegener-Institut Helmholtz-Zentrum fur Polar-und Meeresforschung - AWI Strategy fund; AWI Strategy fund [VH-NG-802.]</t>
  </si>
  <si>
    <t>University of Kansas; NASA Operation IceBridge; NSF(National Science Foundation (NSF)); Open Access Publication Funds of Alfred-Wegener-Institut Helmholtz-Zentrum fur Polar-und Meeresforschung - AWI Strategy fund; AWI Strategy fund</t>
  </si>
  <si>
    <t>We thank the Kenn Borek crew as well as Martin Gehrmann and Sebastian Spelz of AWI's technical staff of the research aircraft Polar 6. John Paden (University of Kansas) assisted remotely during the field campaign. We would like to thank Tobias Binder for the implementation of the AWI UWB radar as well as an acquisition backup system. Without his work, it would not have been possible to realise the campaign. Logistical support in Antarctica was provided at Troll Station (Norway), Novolazarewskaja-Station (Russia) and Kohnen Station (Germany). We acknowledge the use of the CReSIS toolbox from CReSIS generated with support from the University of Kansas, NASA Operation IceBridge grant NNX16AH54G, and NSF grants ACI-1443054, OPP-1739003 and IIS-1838230. The authors would like to thank Emerson E&amp;P Software, Emerson Automation Solutions, for providing licences in the scope of the Emerson Academic Program. Furthermore, we acknowledge support by the Open Access Publication Funds of Alfred-Wegener-Institut Helmholtz-Zentrum fur Polar-und Meeresforschung. Steven Franke was funded by the AWI Strategy fund and Daniela Jansen by the AWI Strategy fund and the Helmholtz Young investigator group HGF YIG VH-NG-802.</t>
  </si>
  <si>
    <t>10.1002/esp.5203</t>
  </si>
  <si>
    <t>WC2IP</t>
  </si>
  <si>
    <t>WOS:000690660100001</t>
  </si>
  <si>
    <t>Debeljak, P; Blain, S; Bowie, A; Merwe, P; Bayer, B; Obernosterer, I</t>
  </si>
  <si>
    <t>Debeljak, Pavla; Blain, Stephane; Bowie, Andrew; Merwe, Pier; Bayer, Barbara; Obernosterer, Ingrid</t>
  </si>
  <si>
    <t>Homeostasis drives intense microbial trace metal processing on marine particles</t>
  </si>
  <si>
    <t>IRON LIMITATION; OCEAN; ALIGNMENT; BACTERIA; REMINERALIZATION; BACTERIOPLANKTON; PHYTOPLANKTON; ACQUISITION; STRATEGIES; EVOLUTION</t>
  </si>
  <si>
    <t>As marine microorganisms and environmental conditions coevolved over geological timescales, metals have been incorporated into all essential metabolic processes. In the modern ocean, metals are present from trace amounts limiting microbial growth to toxic concentrations. Dissolved trace metals are a major bioavailable reservoir. However, the acquisition of metals from marine particles remains largely unexplored. Here, we combined chemical characterization and a comparative metatranscriptomics approach to investigate the availability of nine metals of biological importance on particles collected in the region of Heard Island (Indian sector of the Southern Ocean). Elemental ratios identified particulate matter as a potential source of metals for prokaryotes. The expression of genes for the uptake of metals through various mechanisms demonstrated that particles are a bioavailable reservoir. But genes involved in the control of resistance to metal toxicity, storage, sensing, and regulation were also highly expressed. Our observations suggest that homeostasis associated with a diverse prokaryotic community is the overarching mechanism that enhances the trace element processing on particles. These results provide clues that microbial activity on particles is critical in the redistribution of trace elements between different fractions and chemical forms in the ocean.</t>
  </si>
  <si>
    <t>[Debeljak, Pavla; Blain, Stephane; Obernosterer, Ingrid] Sorbonne Univ, Lab Oceanog Microbienne, LOMIC, CNRS, Banyuls Sur Mer, France; [Debeljak, Pavla; Bayer, Barbara] Univ Vienna, Dept Funct &amp; Evolutionary Ecol, Vienna, Austria; [Bowie, Andrew] Univ Tasmania, Antarctic Climate &amp; Ecosyst Cooperat Res Ctr, Battery Point, Tas, Australia; [Bowie, Andrew; Merwe, Pier] Univ Tasmania, Inst Marine &amp; Antarctic Studies, Battery Point, Tas, Australia; [Merwe, Pier] Univ Tasmania, Antarctic Gateway Partnership, Battery Point, Tas, Australia; [Debeljak, Pavla] Sorbonne Univ, Inst Systemat Evolut Biodiversite ISYEB, CNRS, Museum Natl Hist Nat, Paris, France; [Bayer, Barbara] Univ Calif Santa Barbara, Dept Ecol Evolut &amp; Marine Biol, Santa Barbara, CA 93106 USA</t>
  </si>
  <si>
    <t>Centre National de la Recherche Scientifique (CNRS); Sorbonne Universite; University of Vienna; University of Tasmania; Antarctic Climate &amp; Ecosystems Cooperative Research Centre (ACE CRC); University of Tasmania; University of Tasmania; Sorbonne Universite; Centre National de la Recherche Scientifique (CNRS); Museum National d'Histoire Naturelle (MNHN); University of California System; University of California Santa Barbara</t>
  </si>
  <si>
    <t>Obernosterer, I (corresponding author), Sorbonne Univ, Lab Oceanog Microbienne, LOMIC, CNRS, Banyuls Sur Mer, France.</t>
  </si>
  <si>
    <t>ingrid.obernosterer@obs-banyuls.fr</t>
  </si>
  <si>
    <t>Bayer, Barbara/AAF-5866-2019; Obernosterer, Ingrid/A-5434-2011; Bowie, Andrew/C-8677-2013; blain, stephane/F-6917-2010; van der Merwe, Pier/C-9210-2015</t>
  </si>
  <si>
    <t>Bayer, Barbara/0000-0003-3968-5804; Obernosterer, Ingrid/0000-0002-2530-8111; Bowie, Andrew/0000-0002-5144-7799; Debeljak, Pavla/0000-0002-5542-0358; blain, stephane/0000-0002-5234-2446; van der Merwe, Pier/0000-0002-7428-8030</t>
  </si>
  <si>
    <t>French Research program of INSU-CNRS LEFE/CYBER (Les enveloppes fluides et l'environnement - Cycles biogeochimiques, environnement et ressources) of the project PACBO; International Collaborative Program CNRS-PICS of the project FASO; Austrian Science Fund [P28781-B21]; Australian Research Council [DP150100345]; Antarctic Climate and Ecosystems CRC; Australian Antarctic Science program [AAS4338]; Australian Marine National Facility</t>
  </si>
  <si>
    <t>French Research program of INSU-CNRS LEFE/CYBER (Les enveloppes fluides et l'environnement - Cycles biogeochimiques, environnement et ressources) of the project PACBO; International Collaborative Program CNRS-PICS of the project FASO; Austrian Science Fund(Austrian Science Fund (FWF)); Australian Research Council(Australian Research Council); Antarctic Climate and Ecosystems CRC(Australian GovernmentDepartment of Industry, Innovation and ScienceCooperative Research Centres (CRC) Programme); Australian Antarctic Science program; Australian Marine National Facility</t>
  </si>
  <si>
    <t>We thank M. Coffin, The PI of the Heard Earth-Ocean-Biosphere Interactions (HEOBI) voyage, and the crew and scientists of the Australian R/V Investigator for their support during the cruise (IN 2016-V01). Thanks to the HEOBI trace-metal team for help in the collection of seawater. P. Catala carried out the flow cytometry analyses. We thank Gerhard J. Herndl for the opportunity to perform RNA extractions in the laboratory of the Microbial Oceanography Working Group in Vienna. We thank Laurie Bousquet and Sara Beier for their help and important discussions on RNA-Sequencing data analysis. The authors thank the Roscoff Bioinformatics platform ABiMS () for providing computational resources. We thank M. A. Moran and M. Landa for providing the internal standards for further in vitro transcription. This work was supported by the French Research program of INSU-CNRS LEFE/CYBER (Les enveloppes fluides et l'environnement - Cycles biogeochimiques, environnement et ressources) of the project PACBO, the International Collaborative Program CNRS-PICS of the project FASO, and the Austrian Science Fund grant under the number P28781-B21. The research was also supported by the Australian Research Council (DP150100345 to ARB), the Antarctic Climate and Ecosystems CRC, and Australian Antarctic Science program (AAS4338 to ARB). The HEOBI voyage shiptime was supported by the Australian Marine National Facility. We thank two referees whose comments and suggestions helped improve a previous version of the manuscript.</t>
  </si>
  <si>
    <t>10.1002/lno.11923</t>
  </si>
  <si>
    <t>WOS:000690664200001</t>
  </si>
  <si>
    <t>Krapp, M; Beyer, RM; Edmundson, SL; Valdes, PJ; Manica, A</t>
  </si>
  <si>
    <t>Krapp, Mario; Beyer, Robert M.; Edmundson, Stephen L.; Valdes, Paul J.; Manica, Andrea</t>
  </si>
  <si>
    <t>A statistics-based reconstruction of high-resolution global terrestrial climate for the last 800,000 years</t>
  </si>
  <si>
    <t>SCIENTIFIC DATA</t>
  </si>
  <si>
    <t>SEA-SURFACE-TEMPERATURE; MIDPLEISTOCENE TRANSITION; PLANKTONIC-FORAMINIFERA; CALIFORNIA CURRENT; SUBTROPICAL FRONT; ASIAN MONSOON; EAST ATLANTIC; ICE SHEETS; PLEISTOCENE; PACIFIC</t>
  </si>
  <si>
    <t>Curated global climate data have been generated from climate model outputs for the last 120,000 years, whereas reconstructions going back even further have been lacking due to the high computational cost of climate simulations. Here, we present a statistically-derived global terrestrial climate dataset for every 1,000 years of the last 800,000 years. It is based on a set of linear regressions between 72 existing HadCM3 climate simulations of the last 120,000 years and external forcings consisting of CO2, orbital parameters, and land type. The estimated climatologies were interpolated to 0.5 degrees resolution and bias-corrected using present-day climate. The data compare well with the original HadCM3 simulations and with long-term proxy records. Our dataset includes monthly temperature, precipitation, cloud cover, and 17 bioclimatic variables. In addition, we derived net primary productivity and global biome distributions using the BIOME4 vegetation model. The data are a relevant source for different research areas, such as archaeology or ecology, to study the long-term effect of glacial-interglacial climate cycles for periods beyond the last 120,000 years.</t>
  </si>
  <si>
    <t>[Krapp, Mario; Beyer, Robert M.; Edmundson, Stephen L.; Manica, Andrea] Univ Cambridge, Dept Zool, Downing St, Cambridge CB2 3EJ, England; [Krapp, Mario] GNS Sci, POB 31312, Lower Hutt 5040, New Zealand; [Edmundson, Stephen L.] Univ Utrecht, Dept Earth Sci, Budapestlaan 4, NL-3584 CD Utrecht, Netherlands; [Valdes, Paul J.] Univ Bristol, Sch Geog Sci, Bristol BS8 1SS, Avon, England</t>
  </si>
  <si>
    <t>University of Cambridge; GNS Science - New Zealand; Utrecht University; University of Bristol</t>
  </si>
  <si>
    <t>Krapp, M (corresponding author), Univ Cambridge, Dept Zool, Downing St, Cambridge CB2 3EJ, England.;Krapp, M (corresponding author), GNS Sci, POB 31312, Lower Hutt 5040, New Zealand.</t>
  </si>
  <si>
    <t>mariokrapp@gmail.com</t>
  </si>
  <si>
    <t>Krapp, Mario/AAB-9229-2020; Manica, Andrea/N-9013-2019</t>
  </si>
  <si>
    <t>Krapp, Mario/0000-0002-2599-0683; Manica, Andrea/0000-0003-1895-450X; Valdes, Paul/0000-0002-1902-3283</t>
  </si>
  <si>
    <t>ERC Consolidator Grant [647787]; NZ Ministry for Business, Innovation and Employment through the Antarctic Science Platform [ANTA1801]</t>
  </si>
  <si>
    <t>ERC Consolidator Grant(European Research Council (ERC)); NZ Ministry for Business, Innovation and Employment through the Antarctic Science Platform</t>
  </si>
  <si>
    <t>MK and RB were supported by an ERC Consolidator Grant to AM (Local Adaptation 647787). MK was also supported by the NZ Ministry for Business, Innovation and Employment through the Antarctic Science Platform (ANTA1801). We thank Eric Wolff, Max Holloway, Peter Hopcroft, Chris Brierley, and Michel Crucifix for commenting on early versions of this manuscript. We would also like to thank Matheus Lima-Ribeiro and our other reviewer for their useful comments.</t>
  </si>
  <si>
    <t>2052-4463</t>
  </si>
  <si>
    <t>SCI DATA</t>
  </si>
  <si>
    <t>Sci. Data</t>
  </si>
  <si>
    <t>AUG 27</t>
  </si>
  <si>
    <t>10.1038/s41597-021-01009-3</t>
  </si>
  <si>
    <t>UI9YB</t>
  </si>
  <si>
    <t>WOS:000690951600001</t>
  </si>
  <si>
    <t>Scott, JM; Pearson, DG; Liu, JG; Auer, A; Cooper, AF; Li, DX; Palmer, MC; Read, SE; Reid, MR; Woodland, SJ</t>
  </si>
  <si>
    <t>Scott, James M.; Pearson, D. Graham; Liu, Jingao; Auer, Andreas; Cooper, Alan F.; Li, Dongxu; Palmer, Marshall C.; Read, Stephen E.; Reid, Malcolm R.; Woodland, Sarah J.</t>
  </si>
  <si>
    <t>Osmium isotopes in peridotite xenoliths reveal major mid-Proterozoic lithosphere formation under the Transantarctic Mountains</t>
  </si>
  <si>
    <t>Peridotite; Xenolith; Mantle; Osmium isotopes; Antarctica; Zealandia</t>
  </si>
  <si>
    <t>SOUTHERN VICTORIA LAND; HIGHLY SIDEROPHILE ELEMENT; ANTARCTIC RIFT SYSTEM; UPPER-MANTLE; ROSS SEA; SKELTON GROUP; OS ISOTOPE; EVOLUTION; BENEATH; ANCIENT</t>
  </si>
  <si>
    <t>Osmium isotopes, whole rock and mineral geochemical data from peridotite xenoliths from two Miocene McMurdo Volcanic Group cinder cones in the Transantarctic Mountains (TAM) in Southern Victoria Land, Antarctica, reveal that the underlying mantle preserves evidence for major mid-Proterozoic lithosphere formation despite the crust being dominated by late Neoproterozoic-Ordovician (similar to 0.65-0.47 Ga) rocks. The Hooper Crags xenolith suite is dominated by harzburgites with highly refractory olivine Mg# (up to 92.3) and depleted bulk rock major and platinum group element + Re abundances, with Os-187/Os-188 ratios indicating depletion in the mid-Proterozoic. Pipecleaner Glacier xenoliths, 18 km distant, are lherzolites with olivine Mg# (91) and fertile major and platinum group element abundances, with Os isotope abundances defining an aluminochron that also indicates mid-Proterozoic depletion. Although exposed crust along this portion of Antarctica reveals only minor evidence for Proterozoic magmatism, the major episode of lithosphere formation indicated by the Os isotope data is supported by published bulk rock Sm-Nd isotope and zircon eHf mantle model ages of Neoproterozoic to Ordovician plutonic rocks. The heterogeneous circum-cratonic mid-Proterozoic mantle under Southern Victoria Land has therefore persisted on a Ga timescale, including through the formation and destruction of Rodinia and Gondwana supercontinents as well as extensive crustal melting and emplacement of the Ferrar large igneous province. This longevity may be due to the thick (&gt;250 km) East Antarctic Craton lithosphere shielding the immediately adjacent circum-cratonic mantle from being affected by convective asthenosphere-driven erosion. This contrasts with mantle lithosphere accreted distally to the East Antarctic Craton (represented by the now-detached Zealandia continent), which did not attain extreme thickness and has therefore been more susceptible to tectonic reworking and lateral translation. (C) 2021 Elsevier Ltd. All rights reserved.</t>
  </si>
  <si>
    <t>[Scott, James M.; Cooper, Alan F.; Palmer, Marshall C.; Read, Stephen E.] Univ Otago, Dept Geol, Dunedin 9054, New Zealand; [Pearson, D. Graham; Woodland, Sarah J.] Univ Alberta, Dept Earth &amp; Atmospher Sci, Edmonton, AB T6G 2E3, Canada; [Liu, Jingao; Li, Dongxu] China Univ Geosci, State Key Lab Geol Proc &amp; Mineral Resources, Beijing 100083, Peoples R China; [Auer, Andreas] Shimane Univ, Dept Geosci, Matsue, Shimane 6908504, Japan; [Reid, Malcolm R.] Univ Otago, Ctr Trace Element Anal, Dunedin 9054, New Zealand</t>
  </si>
  <si>
    <t>University of Otago; University of Alberta; China University of Geosciences; Shimane University; University of Otago</t>
  </si>
  <si>
    <t>Scott, JM (corresponding author), Univ Otago, Dept Geol, Dunedin 9054, New Zealand.</t>
  </si>
  <si>
    <t>james.scott@otago.ac.nz</t>
  </si>
  <si>
    <t>Liu, Jingao/S-3552-2018; Liu, Jingao/L-7122-2019; Scott, James/E-1908-2017</t>
  </si>
  <si>
    <t>Liu, Jingao/0000-0002-8800-5898; Liu, Jingao/0000-0002-8800-5898; Auer, Andreas/0000-0002-4387-8353; Woodland, Sarah/0000-0002-5362-4779; Scott, James/0000-0001-5185-6261; Reid, Malcolm/0000-0002-4129-0214; Read, Stephen/0000-0003-0423-6750</t>
  </si>
  <si>
    <t>Canada Excellence Research Chairs program; National Natural Science Foundation of China [41822301, 41730214, 41790451]; 111 project [B18048]; University of Otago</t>
  </si>
  <si>
    <t>Canada Excellence Research Chairs program(Canada Research Chairs); National Natural Science Foundation of China(National Natural Science Foundation of China (NSFC)); 111 project(Ministry of Education, China - 111 Project); University of Otago</t>
  </si>
  <si>
    <t>This study was supported by funding from: Canada Excellence Research Chairs program to DGP; National Natural Science Foundation of China (Nos. 41822301, 41730214, 41790451) and the 111 project (B18048) to JL; and logistical support from Antarctica New Zealand and the University of Otago Research Grants Committee for sample collection by AFC and SER. A University of Otago 2019/2020 William Evans Fellowship to DGP catalysed this research. Comments from an anonymous reviewer, Michael Bizimis and Massimo Coltorti improved the manuscript.</t>
  </si>
  <si>
    <t>10.1016/j.gca.2021.08.009</t>
  </si>
  <si>
    <t>WOS:000703167600002</t>
  </si>
  <si>
    <t>Wootton, N; Reis-Santos, P; Dowsett, N; Turnbull, A; Gillanders, BM</t>
  </si>
  <si>
    <t>Wootton, Nina; Reis-Santos, Patrick; Dowsett, Natalie; Turnbull, Alison; Gillanders, Bronwyn M.</t>
  </si>
  <si>
    <t>Low abundance of microplastics in commercially caught fish across southern Australia</t>
  </si>
  <si>
    <t>Microplastic; Marine debris; Ingestion; Fish; Seafood; Australia</t>
  </si>
  <si>
    <t>PLASTIC INGESTION; TROPHIC TRANSFER; MARINE; PROTOCOL; DEBRIS; WATER; EXTRACTION; ORGANISMS; BIVALVES; ATLANTIC</t>
  </si>
  <si>
    <t>Plastic pollution has increased significantly in the past decades and is now a major global environmental issue. Plastic objects enter the ocean and are broken down into smaller pieces, while wastewater and runoff also carry microplastics (plastics &lt;5 mm) into the ocean. Plastic has been found in over 700 different species of marine wildlife but little research has examined fish sold for human consumption. We determined the microplastic abundance in nine commercially important, wild-caught fish species purchased from seafood markets across 4000 km of Australia (Western Australia, South Australia, Victoria, Tasmania, New South Wales). For microplastic quantification, fish gastro-intestinal tracts were chemically digested and the amount and type of microplastic identified under a microscope and Fourier transform infrared spectrometer. Across all states, an average of 35.5% of fish samples had at least one piece of microplastic in their gastro-intestinal tract. South Australia had the highest percentage of fish with plastic (49%) and Tasmania the lowest (20%). The average microplastic load was 0.94 piece per fish but ranged from 0 to 17 pieces, with polyolefin identified as the dominant polymer group. Overall, the ingestion of microplastic was widespread across species, locations, diets and habitat niches of fish species investigated, but the average plastic ingestion was less than other similar global studies. This study provides novel insights on the use of fish species from seafood markets to assess environmental contamination by microplastic, as well as an important perspective of the potential for microplastic contamination to enter the human food chain.</t>
  </si>
  <si>
    <t>[Wootton, Nina; Reis-Santos, Patrick; Dowsett, Natalie; Gillanders, Bronwyn M.] Univ Adelaide, Sch Biol Sci, Adelaide, SA 5005, Australia; [Dowsett, Natalie; Turnbull, Alison] South Australian Res &amp; Dev Inst, Food Sci Div, GPO Box 397, Adelaide, SA 5001, Australia; [Turnbull, Alison] Univ Tasmania, Inst Marine &amp; Antarctic Studies, Hobart 7053, Australia</t>
  </si>
  <si>
    <t>University of Adelaide; South Australian Research &amp; Development Institute (SARDI); University of Tasmania</t>
  </si>
  <si>
    <t>Wootton, N (corresponding author), Univ Adelaide, Sch Biol Sci, Adelaide, SA 5005, Australia.</t>
  </si>
  <si>
    <t>nina.wootton@adelaide.edu.au</t>
  </si>
  <si>
    <t>Reis-Santos, Patrick/M-9972-2019; Wootton, Nina/AAA-4705-2022</t>
  </si>
  <si>
    <t>Reis-Santos, Patrick/0000-0001-9843-9465; Dowsett, Natalie/0000-0002-6478-513X; Turnbull, Alison/0000-0001-5701-8728; Wootton, Nina/0000-0001-5624-8441</t>
  </si>
  <si>
    <t>Australian Government Research Training Program Scholarship; Fisheries Research and Development Corporation [FRDC 2017-199]</t>
  </si>
  <si>
    <t>Australian Government Research Training Program Scholarship(Australian GovernmentDepartment of Industry, Innovation and Science); Fisheries Research and Development Corporation</t>
  </si>
  <si>
    <t>This research was supported by an Australian Government Research Training Program Scholarship awarded to NW. We acknowledge the Fisheries Research and Development Corporation for funding (FRDC 2017-199). We are thankful to Koster Sarakinis, Jack Wilson, Sophie Dolling, Vinuri Silva, Jasmin Martino, Ashleigh Sharrad, Troy Rogers, Solomon Ogunola, Joe Widdrington and William Goh for assisting with sample collection and processing. We are grateful to all the fishers and seafood suppliers who provided samples for this study. We thank Steven Delean who assisted with the statistical analysis and the three anonymous reviewers who helped improve the manuscript. We are also thankful to the three anonymous reviewers who helped improve the quality of the manuscript.</t>
  </si>
  <si>
    <t>10.1016/j.envpol.2021.118030</t>
  </si>
  <si>
    <t>UR4HA</t>
  </si>
  <si>
    <t>WOS:000696710800010</t>
  </si>
  <si>
    <t>Young, TJ; Martín, C; Christoffersen, P; Schroeder, DM; Tulaczyk, SM; Dawson, EJ</t>
  </si>
  <si>
    <t>Young, Tun Jan; Martin, Carlos; Christoffersen, Poul; Schroeder, Dustin M.; Tulaczyk, Slawek M.; Dawson, Eliza J.</t>
  </si>
  <si>
    <t>Rapid and accurate polarimetric radar measurements of ice crystal fabric orientation at the Western Antarctic Ice Sheet (WAIS) Divide ice core site</t>
  </si>
  <si>
    <t>PHASE-SENSITIVE RADAR; PHYSICAL-PROPERTIES; ANISOTROPIC ICE; SHELF; FLOW; CLIMATE; POLARIZATION; ACCUMULATION; MODEL; LINK</t>
  </si>
  <si>
    <t>The crystal orientation fabric (COF) of ice sheets records the past history of ice sheet deformation and influences present-day ice flow dynamics. Though not widely implemented, coherent ice-penetrating radar is able to detect bulk anisotropic fabric patterns by exploiting the birefringence of ice crystals at radar frequencies, with the assumption that one of the crystallographic axes is aligned in the vertical direction. In this study, we conduct a suite of quad-polarimetric measurements consisting of four orthogonal antenna orientation combinations near the Western Antarctic Ice Sheet (WAIS) Divide ice core site. From these measurements, we are able to quantify the azimuthal fabric asymmetry at this site to a depth of 1400 m at a bulk-averaged resolution of up to 15 m. Our estimates of fabric asymmetry closely match corresponding fabric estimates directly measured from the WAIS Divide ice core. While ice core studies are often unable to determine the absolute fabric orientation due to core rotation during extraction, we are able to identify and conclude that the fabric orientation is depth-invariant to at least 1400 m, equivalent to 6700 years BP (years before 1950) and aligns closely with the modern surface strain direction at WAIS Divide. Our results support the claim that the deformation regime at WAIS Divide has not changed substantially through the majority of the Holocene. Rapid polarimetric determination of bulk fabric asymmetry and orientation compares well with much more laborious sample-based COF measurements from thin ice sections. Because it is the bulk-averaged fabric that ultimately influences ice flow, polarimetric radar methods provide an opportunity for its accurate and widespread mapping and its incorporation into ice flow models.</t>
  </si>
  <si>
    <t>[Young, Tun Jan; Christoffersen, Poul] Univ Cambridge, Scott Polar Res Inst, Cambridge CB2 1ER, England; [Martin, Carlos] British Antarctic Survey, Nat Environm Res Council, Cambridge CB3 0ET, England; [Schroeder, Dustin M.; Dawson, Eliza J.] Stanford Univ, Dept Geophys, Stanford, CA 94305 USA; [Schroeder, Dustin M.] Stanford Univ, Dept Elect Engn, Stanford, CA 94305 USA; [Tulaczyk, Slawek M.] Univ Calif Santa Cruz, Dept Earth &amp; Planetary Sci, Santa Cruz, CA 95064 USA</t>
  </si>
  <si>
    <t>University of Cambridge; UK Research &amp; Innovation (UKRI); Natural Environment Research Council (NERC); NERC British Antarctic Survey; Stanford University; Stanford University; University of California System; University of California Santa Cruz</t>
  </si>
  <si>
    <t>Young, TJ (corresponding author), Univ Cambridge, Scott Polar Res Inst, Cambridge CB2 1ER, England.</t>
  </si>
  <si>
    <t>tjy22@cam.ac.uk</t>
  </si>
  <si>
    <t>; Christoffersen, Poul/C-7328-2013; Tulaczyk, Slawek/O-7375-2018</t>
  </si>
  <si>
    <t>Dawson, Eliza/0000-0002-2662-3201; Christoffersen, Poul/0000-0003-2643-8724; Tulaczyk, Slawek/0000-0002-9711-4332; Schroeder, Dustin/0000-0003-1916-3929</t>
  </si>
  <si>
    <t>Natural Environment Research Council [NE/S006788/1]; National Science Foundation [1739027]; NERC [NE/S006788/1] Funding Source: UKRI</t>
  </si>
  <si>
    <t>Natural Environment Research Council(UK Research &amp; Innovation (UKRI)Natural Environment Research Council (NERC)); National Science Foundation(National Science Foundation (NSF)); NERC(UK Research &amp; Innovation (UKRI)Natural Environment Research Council (NERC))</t>
  </si>
  <si>
    <t>This research has been supported by the Natural Environment Research Council (grant no. NE/S006788/1) and the National Science Foundation (grant no. 1739027).</t>
  </si>
  <si>
    <t>10.5194/tc-15-4117-2021</t>
  </si>
  <si>
    <t>UK5HG</t>
  </si>
  <si>
    <t>WOS:000692000000001</t>
  </si>
  <si>
    <t>Tang, BJ; Zheng, HF; Wang, SJ; Qin, GJ; Huang, YQ; Wang, LM</t>
  </si>
  <si>
    <t>Tang, Baojun; Zheng, Hanfeng; Wang, Shuaijie; Qin, Ganjing; Huang, Yanqing; Wang, Lumin</t>
  </si>
  <si>
    <t>Effects of Antarctic Krill Euphausia superba Meal Inclusion on Growth, Body Color, and Composition of Large Yellow Croaker Larimichthys crocea</t>
  </si>
  <si>
    <t>NORTH AMERICAN JOURNAL OF AQUACULTURE</t>
  </si>
  <si>
    <t>COD GADUS-MORHUA; SALMON SALMO-SALAR; TROUT ONCORHYNCHUS-MYKISS; FISH-MEAL; ATLANTIC SALMON; FED DIETS; TOTAL REPLACEMENT; FATTY-ACIDS; SEA BREAM; PIGMENTATION</t>
  </si>
  <si>
    <t>The effects of Antarctic krill Euphausia superba meal inclusion in the diet of Large Yellow Croaker Larimichthys crocea were studied. Inclusion levels were 0.000, 4.125, 8.250, and 12.375% (control, KM4.125, KM8.250, and KM12.375, respectively), and groups of large-sized fish (average body weight = 190.6 g) received these diets for 99 d. No significant differences were found in body length, body weight, and specific growth rate compared with the control group, but the KM4.125 and KM8.250 groups had significantly increased condition factors and hepatosomatic indices. The KM8.250 fish showed a significant increase in redness values in the dorsal skin, while the KM12.375 fish presented significantly higher yellowness in the ventral skin and tail fin. Addition of krill meal exerted no significant effect on whole-body proximate composition. The KM8.250 group showed significantly higher lipid content and lower ash content, which differed from those of the KM12.375 group. Most of the amino acids in muscle and liver tissues remained unchanged compared to those in the control. The KM4.125 group showed significantly higher muscle proline, serine, and total functional amino acids, while the total amino acid content in KM12.375 fish significantly decreased. The results indicated that dietary inclusion of fish meal with up to 8.25% krill meal does not result in adverse effects on growth and body composition of large-sized Large Yellow Croaker; however, addition of krill meal could improve skin coloration in these fish.</t>
  </si>
  <si>
    <t>[Tang, Baojun; Zheng, Hanfeng; Wang, Shuaijie; Huang, Yanqing; Wang, Lumin] Chinese Acad Fishery Sci, East China Sea Fisheries Res Inst, Shanghai 200090, Peoples R China; [Qin, Ganjing] Jiangsu Sunline Deep Sea Fishery Co Ltd, Nantong 226156, Peoples R China</t>
  </si>
  <si>
    <t>Chinese Academy of Fishery Sciences; East China Sea Fisheries Research Institute, CAFS</t>
  </si>
  <si>
    <t>Huang, YQ (corresponding author), Chinese Acad Fishery Sci, East China Sea Fisheries Res Inst, Shanghai 200090, Peoples R China.</t>
  </si>
  <si>
    <t>hyqrich@163.com</t>
  </si>
  <si>
    <t>Huang, YQ/JOK-7580-2023; huang, yan/GWM-4747-2022</t>
  </si>
  <si>
    <t>Government Procurement Project of Wenzhou City, China [[2018] 3151]; Special Scientific Research Funds for Central Nonprofit Institutes, Chinese Academy of Fishery Sciences [2020XT10]</t>
  </si>
  <si>
    <t>Government Procurement Project of Wenzhou City, China; Special Scientific Research Funds for Central Nonprofit Institutes, Chinese Academy of Fishery Sciences</t>
  </si>
  <si>
    <t>This research was sponsored by the Government Procurement Project of Wenzhou City, China ([2018] 3151), and Special Scientific Research Funds for Central Nonprofit Institutes, Chinese Academy of Fishery Sciences (2020XT10). There is no conflict of interest declared in this article.</t>
  </si>
  <si>
    <t>1522-2055</t>
  </si>
  <si>
    <t>1548-8454</t>
  </si>
  <si>
    <t>N AM J AQUACULT</t>
  </si>
  <si>
    <t>N. Am. J. Aqualcult.</t>
  </si>
  <si>
    <t>10.1002/naaq.10185</t>
  </si>
  <si>
    <t>WE4AW</t>
  </si>
  <si>
    <t>WOS:000689684400001</t>
  </si>
  <si>
    <t>Rebesco, M; Camerlenghi, A; Munari, V; Mosetti, R; Ford, J; Micallef, A; Facchin, L</t>
  </si>
  <si>
    <t>Rebesco, Michele; Camerlenghi, Angelo; Munari, Vanni; Mosetti, Renzo; Ford, Jonathan; Micallef, Aaron; Facchin, Lorenzo</t>
  </si>
  <si>
    <t>Bottom current-controlled Quaternary sedimentation at the foot of the Malta Escarpment (Ionian Basin, Mediterranean)</t>
  </si>
  <si>
    <t>Sediment waves; Seismics; Bathymetry; Oceanography; Cyclicity; Mediterranean</t>
  </si>
  <si>
    <t>CONTOURITE DEPOSITIONAL SYSTEM; SOUTH CHINA SEA; ANTARCTIC PENINSULA; TURBIDITY CURRENTS; CONTINENTAL RISE; MORPHOBATHYMETRIC ANALYSIS; OCEANOGRAPHIC PROCESSES; SEISMIC-REFLECTION; BATHYMETRIC DATA; WATER MASSES</t>
  </si>
  <si>
    <t>A better understanding of the evolution of bottom current circulation and associated deposits is significant for many applications including paleoclimatology and geological hazard. Besides the large contourite drifts, bottom currents may generate fields of large sediment waves that, depending on their height and velocity of migration, may pose severe risk for infrastructures. Conversely, the time span of their paleoceanographic record is generally relatively short. We use bathymetry data, sub-bottom and seismic reflection profiles and legacy oceanographic data to analyze the sediment waves occurring in a deep environment (from 2400 to 3800 m water depth at the foot of the Malta Escarpment in the Mediterranean Sea) to understand their evolution in time, their significance for paleoceanography, and their relation to present day hydrographic conditions. In the absence of direct stratigraphic information, we use the information from nearby studies and from ODP Site 964 and DSDP Site 374 to constrain the age of the sedimentary successions. We discover that these waves (about 2.5 km in wavelength, 50 m in height, with crest sub-perpendicular to the continental slope trend) have been steadily growing and migrating northward since about 500 ka, although an irregular growth and unsteady migration is distinguishable since about 1800 ka. The waves are generated by predominantly alongslope southward flowing bottom currents compatible with modern hydraulic conditions (mean flow speed of similar to 5 cm s(-1), peaks of 15 cm s(-1)). The rate of crest migration (similar to 2.0-3.2 mm a(-1)) and the average sedimentation rate (0.64-0.69 mm a(-1)) are unusually high for deep sea environments away from turbidity currents paths. We infer that the steady development of sediment waves is produced by a drastic increase in sediment input to the Ionian Basin resulting from the tectonic uplift in NE Sicily and Calabria and the onset of a relatively steady, low energy bottom current regime following the MidPleistocene Transition. We attempt to extract information on orbital cyclicity preserved in the seismic record from the power spectra of virtual seismic traces from the well preserved succession of 5 visually discernible, regularly spaced sub-units consisting of alternation of high-amplitude and low-reflectivity packages within the last 500 ka. Peaks in the power spectra can be identified around orbital obliquity and precession periodicities, while eccentricity appears not to be recorded. We discuss the results of seismic cyclicity analysis relative to uncertainties of stratigraphic and petrophysical constraints. The sediment waves along the foot of the Malta escarpment are an excellent candidate for the extraction of a long, continuous and high resolution sedimentary record of the paleo circulation changes and climate cycles in the Mediterranean Sea since about 500 ka.</t>
  </si>
  <si>
    <t>[Rebesco, Michele; Camerlenghi, Angelo; Munari, Vanni; Mosetti, Renzo; Ford, Jonathan; Facchin, Lorenzo] Natl Inst Oceanog &amp; Appl Geophys OGS, Sgonico, TS, Italy; [Ford, Jonathan] Univ Trieste, Dept Geosci &amp; Math, Trieste, Italy; [Micallef, Aaron] Univ Malta, Dept Geosci, Marine Geol &amp; Seafloor Surveying, Msida, Malta; [Micallef, Aaron] Helmholtz Ctr Ocean Res, GEOMAR, Kiel, Germany</t>
  </si>
  <si>
    <t>Istituto Nazionale di Oceanografia e di Geofisica Sperimentale; University of Trieste; University of Malta; Helmholtz Association; GEOMAR Helmholtz Center for Ocean Research Kiel</t>
  </si>
  <si>
    <t>Rebesco, M (corresponding author), Natl Inst Oceanog &amp; Appl Geophys OGS, Sgonico, TS, Italy.</t>
  </si>
  <si>
    <t>Ford, Jonathan/AFL-7363-2022; Camerlenghi, Angelo/AAG-3852-2019; Micallef, Aaron/C-8274-2012; Rebesco, Michele/B-7462-2014; Ford, Jonathan/AAG-7322-2022</t>
  </si>
  <si>
    <t>Ford, Jonathan/0000-0003-4936-8909; Camerlenghi, Angelo/0000-0002-8128-9533; Rebesco, Michele/0000-0002-9492-4081; Ford, Jonathan/0000-0003-4936-8909</t>
  </si>
  <si>
    <t>OGS; University of Malta; Marie Curie Career Integration within the 7th European Community Framework Programme [PCIG13-GA-2013-618149]; European Research Council (ERC) under the European Union's Horizon 2020 Research and Innovation Programme [677898]; Marie Curie Doctoral Fellowship through the SLATE Innovative Training Network within the European Union Framework Programme for Research and Innovation Horizon 2020 [721403]; COST (European Cooperation in Science and Technology)</t>
  </si>
  <si>
    <t>OGS(Ontario Graduate Scholarship); University of Malta; Marie Curie Career Integration within the 7th European Community Framework Programme(European Union (EU)); European Research Council (ERC) under the European Union's Horizon 2020 Research and Innovation Programme(European Research Council (ERC)); Marie Curie Doctoral Fellowship through the SLATE Innovative Training Network within the European Union Framework Programme for Research and Innovation Horizon 2020(European Union (EU)); COST (European Cooperation in Science and Technology)(European Cooperation in Science and Technology (COST))</t>
  </si>
  <si>
    <t>Cruise CUMECS-3 of the R/V OGS Explora was funded by OGS within an agreement of scientific cooperation with the University of Malta. Captain and ship-board party are warmly thanked for the support provided during the cruise. Authors are grateful to the Italian and Maltese authorities for oceanographic survey permissions.; A.M. received funding from Marie Curie Career Integration Grant PCIG13-GA-2013-618149 within the 7th European Community Framework Programme and European Research Council (ERC) under the European Union's Horizon 2020 Research and Innovation Programme (grant agreement No 677898, MARCAN). J.F. was supported by a Marie Curie Doctoral Fellowship through the SLATE Innovative Training Network within the European Union Framework Programme for Research and Innovation Horizon 2020 under Grant Agreement No. 721403.; The study is further based upon work from COST Action Uncovering the Mediterranean salt giant (MEDSALT) supported by COST (European Cooperation in Science and Technology). We thank Paradigm and IHS for providing access to ECHOS and KingdomTM (kingdom.ihs.com) software packages for the integrated interpretation of bathymetry data and Multichannel seismic reflection and sub-bottom profiles.</t>
  </si>
  <si>
    <t>10.1016/j.margeo.2021.106596</t>
  </si>
  <si>
    <t>WOS:000697734600002</t>
  </si>
  <si>
    <t>Heneghan, RF; Galbraith, E; Blanchard, JL; Harrison, C; Barrier, N; Bulman, C; Cheung, W; Coll, M; Eddy, TD; Erauskin-Extramiana, M; Everett, JD; Fernandes-Salvador, JA; Gascuel, D; Guiet, J; Maury, O; Palacios-Abrantes, J; Petrik, CM; du Pontavice, H; Richardson, AJ; Steenbeek, J; Tai, TVC; Volkholz, J; Woodworth-Jefcoats, PA; Tittensor, DP</t>
  </si>
  <si>
    <t>Heneghan, Ryan F.; Galbraith, Eric; Blanchard, Julia L.; Harrison, Cheryl; Barrier, Nicolas; Bulman, Catherine; Cheung, William; Coll, Marta; Eddy, Tyler D.; Erauskin-Extramiana, Maite; Everett, Jason D.; Fernandes-Salvador, Jose A.; Gascuel, Didier; Guiet, Jerome; Maury, Olivier; Palacios-Abrantes, Juliano; Petrik, Colleen M.; du Pontavice, Hubert; Richardson, Anthony J.; Steenbeek, Jeroen; Tai, Travis C.; Volkholz, Jan; Woodworth-Jefcoats, Phoebe A.; Tittensor, Derek P.</t>
  </si>
  <si>
    <t>Disentangling diverse responses to climate change among global marine ecosystem models</t>
  </si>
  <si>
    <t>Climatic change; Modelling; Fishery oceanography; Marine ecology; FishMIP; Structural uncertainty</t>
  </si>
  <si>
    <t>STRUCTURED ENERGY-FLOW; FISHERIES CATCH; FISH PRODUCTION; SIZE; IMPACTS; OCEAN; CONSTRAINTS; PROJECTIONS; PHYTOPLANKTON; SCALE</t>
  </si>
  <si>
    <t>Climate change is warming the ocean and impacting lower trophic level (LTL) organisms. Marine ecosystem models can provide estimates of how these changes will propagate to larger animals and impact societal services such as fisheries, but at present these estimates vary widely. A better understanding of what drives this inter model variation will improve our ability to project fisheries and other ecosystem services into the future, while also helping to identify uncertainties in process understanding. Here, we explore the mechanisms that underlie the diversity of responses to changes in temperature and LTLs in eight global marine ecosystem models from the Fisheries and Marine Ecosystem Model Intercomparison Project (FishMIP). Temperature and LTL impacts on total consumer biomass and ecosystem structure (defined as the relative change of small and large organism biomass) were isolated using a comparative experimental protocol. Total model biomass varied between -35% to +3% in response to warming, and -17% to +15% in response to LTL changes. There was little consensus about the spatial redistribution of biomass or changes in the balance between small and large organisms (ecosystem structure) in response to warming, an LTL impacts on total consumer biomass varied depending on the choice of LTL forcing terms. Overall, climate change impacts on consumer biomass and ecosystem structure are well approximated by the sum of temperature and LTL impacts, indicating an absence of nonlinear interaction between the models' drivers. Our results highlight a lack of theoretical clarity about how to represent fundamental ecological mechanisms, most importantly how temperature impacts scale from individual to ecosystem level, and the need to better understand the two-way coupling between LTL organisms and consumers. We finish by identifying future research needs to strengthen global marine ecosystem modelling and improve projections of climate change impacts.</t>
  </si>
  <si>
    <t>[Heneghan, Ryan F.; Galbraith, Eric] Univ Autonoma Barcelona, Inst Ciencia &amp; Tecnol Ambientals, Barcelona, Spain; [Heneghan, Ryan F.] Queensland Univ Technol, Sch Math Sci, Brisbane, Qld, Australia; [Galbraith, Eric] McGill Univ, Dept Earth &amp; Planetary Sci, Montreal, PQ, Canada; [Blanchard, Julia L.] Univ Tasmania, Inst Marine &amp; Antarctic Studies, Hobart, Tas, Australia; [Harrison, Cheryl] Univ Texas Rio Grande Valley, Sch Earth Environm &amp; Marine Sci, Port Isabel, TX USA; [Barrier, Nicolas; Maury, Olivier] Univ Montpellier, CNRS, MARBEC, IRD, Sete, France; [Bulman, Catherine] CSIRO Oceans &amp; Atmosphere, Castray Esplanade, Hobart, Tas 7001, Australia; [Cheung, William] Univ British Columbia, Inst Oceans &amp; Fisheries, Nippon Fdn Nereus Program, Vancouver, BC V6T 1Z4, Canada; [Coll, Marta; Steenbeek, Jeroen] Inst Marie Sci ICM CSIC, Ecopath Int Initiat Res Assoc 37 39, Passeig Maritim Barceloneta, Barcelona 08003, Spain; [Eddy, Tyler D.] Mem Univ Newfoundland, Fisheries &amp; Marine Inst, Ctr Fisheries Ecosyst Res, St John, NF, Canada; [Erauskin-Extramiana, Maite; Fernandes-Salvador, Jose A.] Basque Res &amp; Technol Alliance BRTA, AZTI, Marine Res, Portualdea Z-G,20110 Pasaia, San Sebastian, Spain; [Everett, Jason D.; Richardson, Anthony J.] CSIRO Oceans &amp; Atmosphere, Queensland BioSci Precinct QBP, St Lucia, Qld 4067, Australia; [Everett, Jason D.; Richardson, Anthony J.] Univ Queensland, Sch Math &amp; Phys, Ctr Applicat Nat Resource Math, St Lucia, Qld 4072, Australia; [Everett, Jason D.] Univ New South Wales, Sch Biol Earth &amp; Environm Sci, Ctr Marine Sci &amp; Innovat, Sydney, NSW, Australia; [Gascuel, Didier; du Pontavice, Hubert] INRAE, Inst Agro, ESE, Ecol &amp; Ecosyst Hlth, Rennes, France; [Guiet, Jerome] Univ Calif Los Angeles, Dept Atmospher &amp; Ocean Sci, Los Angeles, CA USA; [Palacios-Abrantes, Juliano; du Pontavice, Hubert; Tai, Travis C.] Univ British Columbia, Inst Oceans &amp; Fisheries, Vancouver, BC, Canada; [Petrik, Colleen M.] Texas A&amp;M Univ, Dept Oceanog, College Stn, TX 77843 USA; [Volkholz, Jan] Potsdam Inst Climate Impact Res, Potsdam, Germany; [Woodworth-Jefcoats, Phoebe A.] Natl Ocean &amp; Atmospher Adm, Pacif Islands Fisheries Sci Ctr, Natl Marine Fisheries Serv, Honolulu, HI USA; [Tittensor, Derek P.] Dalhousie Univ, Dept Biol, Halifax, NS, Canada</t>
  </si>
  <si>
    <t>Autonomous University of Barcelona; Queensland University of Technology (QUT); McGill University; University of Tasmania; University of Texas System; University of Texas Rio Grande Valley; Centre National de la Recherche Scientifique (CNRS); Ifremer; Universite de Montpellier; Institut de Recherche pour le Developpement (IRD); Commonwealth Scientific &amp; Industrial Research Organisation (CSIRO); University of British Columbia; Memorial University Newfoundland; AZTI; Commonwealth Scientific &amp; Industrial Research Organisation (CSIRO); University of Queensland; University of New South Wales Sydney; INRAE; Institut Agro; University of California System; University of California Los Angeles; University of British Columbia; Texas A&amp;M University System; Texas A&amp;M University College Station; Potsdam Institut fur Klimafolgenforschung; National Oceanic Atmospheric Admin (NOAA) - USA; National Aeronautics &amp; Space Administration (NASA); Dalhousie University</t>
  </si>
  <si>
    <t>Heneghan, RF (corresponding author), Queensland Univ Technol, Sch Math Sci, Brisbane, Qld, Australia.</t>
  </si>
  <si>
    <t>ryan.heneghan@gmail.com</t>
  </si>
  <si>
    <t>Cheung, William/F-5104-2013; Steenbeek, Jeroen Gerhard/F-9936-2016; Harrison, Cheryl Shannon/IWV-0053-2023; Maury, Olivier/I-4513-2013; Barrier, Nicolas/JME-3194-2023; Coll, Marta/A-9488-2012; Gascuel, Didier/C-1439-2011; Palacios Abrantes, Juliano E./ITV-0093-2023; Fernandes, José/AES-8490-2022; Richardson, Anthony J/B-3649-2010; Eddy, Tyler/ABE-7092-2021; Everett, Jason/C-4557-2008; Bulman, Catherine/A-9795-2012</t>
  </si>
  <si>
    <t>Steenbeek, Jeroen Gerhard/0000-0002-7878-8075; Harrison, Cheryl Shannon/0000-0003-4544-947X; Maury, Olivier/0000-0002-7999-9982; Barrier, Nicolas/0000-0002-1693-4719; Gascuel, Didier/0000-0001-5447-6977; Palacios Abrantes, Juliano E./0000-0001-8969-5416; Richardson, Anthony J/0000-0002-9289-7366; Eddy, Tyler/0000-0002-2833-9407; Everett, Jason/0000-0002-6681-8054; Fernandes Salvador, Jose Antonio/0000-0003-4677-6077; Bulman, Catherine/0000-0002-8997-4615; Petrik, Colleen/0000-0003-3253-0455; Heneghan, Ryan/0000-0001-7626-1248</t>
  </si>
  <si>
    <t>Australian Research Council [DP150102656, DP190102293]; European Union [817578]; Open Philanthropy Project; French ANR project CIGOEF [ANR-17-CE32-0008-01]; ISI-MIP project; Jarislowsky Foundation; European Research Council (ERC) under the European Union [682602]; Spanish Ministry of Science, Innovation and Universities [PCIN-2017-115]; 'Severo Ochoa Centre of Excellence' accreditation [CEX2019-000928-S]; ISIMIP project; Fisheries and Oceans Canada Atlantic Fisheries Fund; European Union's Horizon 2020 FutureMARES project [869300]; European Research Council (ERC) [682602] Funding Source: European Research Council (ERC)</t>
  </si>
  <si>
    <t>Australian Research Council(Australian Research Council); European Union(European Union (EU)); Open Philanthropy Project; French ANR project CIGOEF(Agence Nationale de la Recherche (ANR)); ISI-MIP project; Jarislowsky Foundation; European Research Council (ERC) under the European Union(European Research Council (ERC)); Spanish Ministry of Science, Innovation and Universities(Spanish Government); 'Severo Ochoa Centre of Excellence' accreditation; ISIMIP project; Fisheries and Oceans Canada Atlantic Fisheries Fund; European Union's Horizon 2020 FutureMARES project; European Research Council (ERC)(European Research Council (ERC)Spanish Government)</t>
  </si>
  <si>
    <t>JDE was funded by Australian Research Council Discovery Projects DP150102656 and DP190102293. MC, JS, NB and OM received finan-cial support by the European Union's Horizon 2020 research and innovation programme under grant agreement No 817578 (Triatlas project) . CH received funding from the Open Philanthropy Project. NB and OM also acknowledge the support of the French ANR project CIGOEF (grant ANR-17-CE32-0008-01) . DPT acknowledges funding from the ISI-MIP project to support a workshop on this topic, and the Jarislowsky Foundation. EDG received funding from the European Research Council (ERC) under the European Union's Horizon 2020 research and innovation programme (grant agreement No 682602, BIGSEA) . RFH was funded by the Spanish Ministry of Science, Innova-tion and Universities through the Acciones de Programacion Conjunta Internacional (PCIN-2017-115) . MC acknowledges the 'Severo Ochoa Centre of Excellence' accreditation (CEX2019-000928-S) to the Institute of Marine Science (ICM-CSIC) . TDE acknowledges funding from the ISIMIP project to support a workshop on this topic and the Fisheries and Oceans Canada Atlantic Fisheries Fund. All authors declare no conflict of interest with respect to this study. JAFS received funding from the Eu-ropean Union's Horizon 2020 FutureMARES project (#869300) .</t>
  </si>
  <si>
    <t>10.1016/j.pocean.2021.102659</t>
  </si>
  <si>
    <t>WB8HH</t>
  </si>
  <si>
    <t>WOS:000703808100001</t>
  </si>
  <si>
    <t>Fischer, M; Maxwell, K; Nuunoq; Pedersen, H; Greeno, D; Jingwas, N; Blair, JG; Hugu, S; Mustonen, T; Murtomaki, E; Mustonen, K</t>
  </si>
  <si>
    <t>Fischer, Mibu; Maxwell, Kimberley; Nuunoq; Pedersen, Halfdan; Greeno, Dean; Jingwas, Nang; Graham Blair, Jamie; Hugu, Sutej; Mustonen, Tero; Murtomaki, Eero; Mustonen, Kaisu</t>
  </si>
  <si>
    <t>Empowering her guardians to nurture our Ocean's future</t>
  </si>
  <si>
    <t>Indigenous; Traditional people; First Nations; Traditional ecological knowledge; Colonisation; Climate change</t>
  </si>
  <si>
    <t>COLONIZATION; AUSTRALIA; KNOWLEDGE; HEALTH; COMANAGEMENT; METHODOLOGY; MANAGEMENT; FRAMEWORK; GENOCIDE; SPACES</t>
  </si>
  <si>
    <t>Coastal Indigenous and Traditional communities are starting to see changes to their lives from climate change, whether this is from species range changes or displacement from land changes. For many of these communities, the ability to adequately adapt to these changes is limited by the governance structures they are required to live within, which differ from their customary practices and culture. In November 2019, a group of Indigenous and Traditional Peoples, attended the Future Seas 2030 workshop and discussed the consequences of climate change, the biggest barriers for their communities, and barriers for using traditional knowledge in order to contribute towards a more sustainable future that in the end will benefit all of earth's people. The aim of this workshop was to highlight and give a voice to the various backgrounds and real-life situations impacting on some of the world's Indigenous and Traditional communities whose connection with the oceans and coasts have been disrupted. This paper presents these issues of oppression, colonisation, language and agency, making it difficult for these groups to contribute to the current management of oceans and coasts, and asks scientists and practitioners in this space to be allies and enable the needed shift to earth's guardians taking a leading role in nurturing her for our future.</t>
  </si>
  <si>
    <t>[Fischer, Mibu] CSIRO Oceans &amp; Atmosphere, Brisbane, Qld, Australia; [Fischer, Mibu; Greeno, Dean] Ctr Marine Socioecol, Hobart, Tas, Australia; [Maxwell, Kimberley] Univ Waikato, Te Kotahi Res Inst, Tauranga, New Zealand; [Nuunoq] Pisuna Project, Attu, Greenland; [Pedersen, Halfdan] Pikkoritta Consult, Aasiaat, Greenland; [Greeno, Dean] Univ Tasmania, Coll Arts Law &amp; Educ, Launceston, Tas, Australia; [Jingwas, Nang] Haida Nation, Toronto, ON, Canada; [Graham Blair, Jamie] Univ Tasmania, Inst Marine &amp; Antarctic Studies, Hobart, Tas, Australia; [Hugu, Sutej] Indigenous Taiwan Self Determinat Alliance ITW SD, Namasia, Taiwan; [Mustonen, Tero; Murtomaki, Eero; Mustonen, Kaisu] Snowchange Cooperat, Selkie, Finland</t>
  </si>
  <si>
    <t>Commonwealth Scientific &amp; Industrial Research Organisation (CSIRO); University of Waikato; University of Tasmania; University of Tasmania</t>
  </si>
  <si>
    <t>Fischer, M (corresponding author), CSIRO Oceans &amp; Atmosphere, Brisbane, Qld, Australia.</t>
  </si>
  <si>
    <t>mibu.fischer@csiro.au</t>
  </si>
  <si>
    <t>Fischer, Mibu/0000-0002-1216-3451; Maxwell, Kimberley/0000-0002-6360-0252</t>
  </si>
  <si>
    <t>10.1007/s11160-021-09679-3</t>
  </si>
  <si>
    <t>WOS:000690348200001</t>
  </si>
  <si>
    <t>Goyal, R; Jucker, M; Sen Gupta, A; Hendon, HH; England, MH</t>
  </si>
  <si>
    <t>Goyal, Rishav; Jucker, Martin; Sen Gupta, Alex; Hendon, Harry H.; England, Matthew H.</t>
  </si>
  <si>
    <t>Zonal wave 3 pattern in the Southern Hemisphere generated by tropical convection</t>
  </si>
  <si>
    <t>WINTER STATIONARY WAVES; HIGH-LATITUDE; SCALE; TELECONNECTIONS; VARIABILITY; CLIMATE; MODEL; PROJECTIONS; ATMOSPHERE; DYNAMICS</t>
  </si>
  <si>
    <t>The zonal wave 3 circulation pattern in the Southern Hemisphere is driven by tropical convection, according to results from an atmospheric general circulation model. A distinctive feature of the Southern Hemisphere extratropical atmospheric circulation is the quasi-stationary zonal wave 3 pattern. This pattern is present in both the mean atmospheric circulation and its variability on daily, seasonal and interannual timescales. While the zonal wave 3 pattern has substantial impacts on meridional heat transport and Antarctic sea ice extent, the reason for its existence remains uncertain, although it has long been assumed to be linked to the presence of three major landmasses in the Southern Hemisphere extratropics. Here we use an atmospheric general circulation model to show that the stationary zonal wave 3 pattern is instead driven by zonally asymmetric deep convection in the tropics, with little influence from extratropical orography or landmasses. Localized regions of deep convection in the tropics form a local Hadley cell, which in turn creates a wave source in the subtropics that excites a poleward- and eastward-propagating wave train, forming quasi-stationary waves in the Southern Hemisphere high latitudes. Our findings suggest that changes in tropical deep convection, either due to natural variability or climate change, fundamentally control the zonal wave 3 pattern, with implications for southern high-latitude climate, ocean circulation and sea ice.</t>
  </si>
  <si>
    <t>[Goyal, Rishav; Jucker, Martin; Sen Gupta, Alex; England, Matthew H.] Univ New South Wales, Climate Change Res Ctr, Sydney, NSW, Australia; [Goyal, Rishav; Jucker, Martin; Sen Gupta, Alex; England, Matthew H.] Univ New South Wales, ARC Ctr Excellence Climate Extremes, Sydney, NSW, Australia; [Sen Gupta, Alex; England, Matthew H.] Univ New South Wales, Australian Ctr Excellence Antarctic Sci ACEAS, Sydney, NSW, Australia; [Hendon, Harry H.] Bur Meteorol, Melbourne, Vic, Australia</t>
  </si>
  <si>
    <t>University of New South Wales Sydney; University of New South Wales Sydney; University of New South Wales Sydney; Bureau of Meteorology - Australia</t>
  </si>
  <si>
    <t>England, Matthew/A-7539-2011; Jucker, Martin/C-3914-2014; Sen Gupta, Alexander/B-7995-2011</t>
  </si>
  <si>
    <t>England, Matthew/0000-0001-9696-2930; Jucker, Martin/0000-0002-4227-315X; Sen Gupta, Alexander/0000-0001-5226-871X; Goyal, Rishav/0000-0002-0307-4692</t>
  </si>
  <si>
    <t>Australian Research Council [CE170100023, FL150100035]; University of New South Wales; Earth Science and Climate Change Hub of the Australian Government's National Environmental Science Programme (NESP); Centre for Southern Hemisphere Oceans Research (CSHOR); Australian Research Council [FL150100035] Funding Source: Australian Research Council</t>
  </si>
  <si>
    <t>Australian Research Council(Australian Research Council); University of New South Wales; Earth Science and Climate Change Hub of the Australian Government's National Environmental Science Programme (NESP); Centre for Southern Hemisphere Oceans Research (CSHOR); Australian Research Council</t>
  </si>
  <si>
    <t>This study was supported by the Australian Research Council (grants CE170100023 and FL150100035). R.G. is supported by the Scientia PhD scholarship from the University of New South Wales. M.H.E. is also supported by the Earth Science and Climate Change Hub of the Australian Government's National Environmental Science Programme (NESP) and the Centre for Southern Hemisphere Oceans Research (CSHOR), a joint research centre between QNLM, CSIRO, UNSW and UTAS. Analyses were conducted on the National Computational Infrastructure (NCI) facility based in Canberra, Australia. We acknowledge the World Climate Research Programme's Working Group on Coupled Modelling, which is responsible for CMIP, and we thank the climate modelling groups for producing and making available their model output. ERA-Interim data were obtained from the Climate Data Store (CDS) service at ECMWF.</t>
  </si>
  <si>
    <t>10.1038/s41561-021-00811-3</t>
  </si>
  <si>
    <t>WOS:000689655300001</t>
  </si>
  <si>
    <t>de Carvalho, LM; Hollister, AP; Trindade, C; Gledhill, M; Koschinsky, A</t>
  </si>
  <si>
    <t>de Carvalho, Leandro M.; Hollister, Adrienne Patricia; Trindade, Cristina; Gledhill, Martha; Koschinsky, Andrea</t>
  </si>
  <si>
    <t>Distribution and size fractionation of nickel and cobalt species along the Amazon estuary and mixing plume</t>
  </si>
  <si>
    <t>Chemical speciation; Estuaries; Trace elements; Organic complexation; Colloidal flocculation; Reactive species</t>
  </si>
  <si>
    <t>TRACE-METALS; ORGANIC-MATTER; CHEMICAL SPECIATION; CHLORIDE COMPLEXES; MASS-SPECTROMETRY; FRESH-WATER; SEAWATER; BASIN; MN; MANGROVE</t>
  </si>
  <si>
    <t>The Amazon River has the largest drainage basin in the world, making it a major source of trace elements and dissolved organic matter (DOM) to the Atlantic Ocean. However, despite the increasing anthropogenic impacts to the Amazon basin, few recent studies exist quantifying trace element data in this region. The aim of the study was to analyze the input and removal processes that influence the transport of Ni and Co species in the Amazon and Para River estuaries and mixing zone. Toward this goal, this work provides a comprehensive mixing and speciation study for the trace elements Ni and Co. Samples were collected during a period of high river discharge on the RV Meteor cruise M147 (Amazon - GEOTRACES process study GApr11) in the Amazon and Para River outflow regions, as well as the aging mixing plume to the north, a mangrove belt to the southeast and the North Brazil Current (NBC) seawater endmember. Here we present the results for labile particulate (&gt;0.2 mu m), labile and total dissolved (&lt;0.2 mu m), large colloidal (0.015-0.2 mu m), soluble (&lt;0.015 mu m) and ultrafiltered (&lt;1 and &lt; 10 kDa) fractions of Ni and Co in surface waters (towed-fish) and along the water column at different depths (CTD) using comparative approaches by adsorptive cathodic stripping voltammetry (AdCSV) and inductively coupled plasma-mass spectrometry (ICP-MS). We observed good agreement between AdCSV and ICP-MS measurements for Ni, and to a lesser extent Co. In general, dissolved and soluble Ni and Co decreased with increasing salinity, however additional non-conservative removal was also observed and attributed to possible biological uptake and colloidal flocculation. Shipboard AdCSV measurements showed that dissolved Ni was present mostly in the reactive form as weak complexes, suggesting high bioavailability, while reactive dissolved Co was absent, indicating the presence of strong organic Co complexes. In both Ni and Co, an elevated colloidal fraction was observed at low salinity, suggesting removal of dissolved Ni and Co via colloidal flocculation upon seawater mixing, while the soluble species were transported to the Atlantic Ocean. At depth, the soluble phase dominated, and we observed concentration maxima at 500-1000 m, indicating the presence of Antarctic Intermediate Water (AIW) and possible biological regeneration. We also observed unique source signatures in dissolved and labile particulate Ni and Co species from the Amazon and Para River outflow regions, in addition to a contribution from mangrove belt-associated groundwater.</t>
  </si>
  <si>
    <t>[de Carvalho, Leandro M.; Trindade, Cristina] Fed Univ Santa Maria UFSM, Dept Chem, POB 5051, BR-97105970 Santa Maria, RS, Brazil; [Hollister, Adrienne Patricia; Koschinsky, Andrea] Jacobs Univ Bremen, Dept Phys &amp; Earth Sci, Campus Ring, D-28759 Bremen, Germany; [Gledhill, Martha] GEOMAR Helmholtz Ctr Ocean Res Kiel, D-24148 Kiel, Germany</t>
  </si>
  <si>
    <t>Universidade Federal de Santa Maria (UFSM); Jacobs University; Helmholtz Association; GEOMAR Helmholtz Center for Ocean Research Kiel</t>
  </si>
  <si>
    <t>de Carvalho, LM (corresponding author), Fed Univ Santa Maria UFSM, Dept Chem, POB 5051, BR-97105970 Santa Maria, RS, Brazil.</t>
  </si>
  <si>
    <t>lemacarvalho@gmail.com</t>
  </si>
  <si>
    <t>Carvalho, Leandro/AAB-5468-2020; Gledhill, Martha/D-2819-2009</t>
  </si>
  <si>
    <t>Gledhill, Martha/0000-0003-3859-2112</t>
  </si>
  <si>
    <t>German Science Foundation DFG [MerMet 17-55]; DFG Grant from the German Science Foundation [KO 2906/131]; CNPq foundation (Brazil) [313109/2017-6]</t>
  </si>
  <si>
    <t>German Science Foundation DFG(German Research Foundation (DFG)); DFG Grant from the German Science Foundation; CNPq foundation (Brazil)(Conselho Nacional de Desenvolvimento Cientifico e Tecnologico (CNPQ))</t>
  </si>
  <si>
    <t>Heinrich for sample management in the clean container and in the ship's lab, captain Rainer Hammacher and his crew of RV Meteor for excellent teamwork and equipment handling in the challenging and dynamic environment of the shallow Amazon estuary and the German Science Foundation DFG for funding R/V Meteor cruise M147 (cruise proposal MerMet 17-55). Thank you to T. Steffens and D. Jasinski for assistance with ICP-MS analysis. AH was supported by DFG Grant No. KO 2906/131 from the German Science Foundation. The authors are also grateful to the financial support provided by CNPq (process n. 313109/2017-6) foundation (Brazil).</t>
  </si>
  <si>
    <t>10.1016/j.marchem.2021.104019</t>
  </si>
  <si>
    <t>WOS:000697732900002</t>
  </si>
  <si>
    <t>Bajish, CC; Jena, B; Anilkumar, N</t>
  </si>
  <si>
    <t>Bajish, C. C.; Jena, Babula; Anilkumar, N.</t>
  </si>
  <si>
    <t>Is the Indian monsoon rainfall linked to the Southern Ocean sea ice conditions?</t>
  </si>
  <si>
    <t>WEATHER AND CLIMATE EXTREMES</t>
  </si>
  <si>
    <t>Global warming; Extreme rainfall; Antarctic sea ice; Teleconnections</t>
  </si>
  <si>
    <t>SUMMER MONSOON; VARIABILITY; ENSO; OSCILLATION; PREDICTION; EXTENT; SST</t>
  </si>
  <si>
    <t>In the background of global warming, the necessity for finding a new predictor of Indian summer monsoon rainfall (ISMR) is realised recently as the relationship between the ISMR and the predictive physical parameters keeps changing both in space and time. We developed a linkage between the satellite-derived sea ice over the Southern Ocean and ISMR through the interaction of physical processes occurring between the cryosphere, hydrosphere, and atmospheric environment. The statistical and possible physical linkage were explored using consistent and reliable 38-year time series observations. Lead-lag cross correlation indicated a significant relationship between Southern Ocean sea ice (SOSI) extent and ISMR over the Bellingshausen-Amundsen Sea (BAS). The most significant relationship was obtained in austral autumn (r = -0.5, p &lt; 0.05) with no time lag. We analysed atmospheric circulation pattern over the BAS and Ross Sea corresponding to extreme rainfall events. Excess (deficit) rainfall years showed anomalous cyclonic (anticyclonic) wind patterns that led to anomalous positive (negative) air temperature that facilitated anomalous negative (positive) sea ice conditions in BAS. Hence, the excess rainfall (deficit) events were observed corresponding to a large negative (positive) anomalous sea ice condition in the BAS. This linkage likely occurred through El Nino-Southern Oscillation (ENSO) associated sea surface temperature (SST) variability. To find out the dominant mode of variability and common frequency distribution in the SOSI extent, Nino3.4 SST and ISMR, we have performed the wavelet analysis for exploring the coherence between the respective variables. The spectral analysis showed that both the SOSI extent and ISMR have dominant oscillations in 2-8 years frequency bands similar to the ENSO variability. This observed relationship can be used as the input for future works for physically linking the BAS sea ice condition with the ISMR through the dynamic and thermodynamic ocean-atmospheric components.</t>
  </si>
  <si>
    <t>[Bajish, C. C.; Jena, Babula; Anilkumar, N.] Minist Earth Sci, Natl Ctr Polar &amp; Ocean Res, Vasco Da Gama 403804, Goa, India</t>
  </si>
  <si>
    <t>Bajish, CC (corresponding author), Minist Earth Sci, Natl Ctr Polar &amp; Ocean Res, Vasco Da Gama 403804, Goa, India.</t>
  </si>
  <si>
    <t>bajish@ncpor.res.in</t>
  </si>
  <si>
    <t>, Bajish/0000-0002-5909-094X</t>
  </si>
  <si>
    <t>Ministry of Earth Science, Govt. of India; National Centre for Polar and Ocean Research, Goa</t>
  </si>
  <si>
    <t>The authors wish to acknowledge the support of the Ministry of Earth Science, Govt. of India and Director, National Centre for Polar and Ocean Research, Goa for this study. We sincerely thank the anonymous reviewers for their valuable comments and suggestions. Authors are grateful to the National Snow Ice Data Centre (NSIDC), National Oceanic and Atmospheric Administration (NOAA), National Aeronautics and Space Administration (NASA), Copernicus Marine Environment Monitoring Service (CMEMS), and Indian institute of Tropical Meteorology (IITM), for making available the data. This is NCPOR contribution no J35/2021-22.</t>
  </si>
  <si>
    <t>2212-0947</t>
  </si>
  <si>
    <t>WEATHER CLIM EXTREME</t>
  </si>
  <si>
    <t>Weather Clim. Extremes</t>
  </si>
  <si>
    <t>10.1016/j.wace.2021.100377</t>
  </si>
  <si>
    <t>UU0RG</t>
  </si>
  <si>
    <t>WOS:000698512000001</t>
  </si>
  <si>
    <t>Andersson, TR; Hosking, JS; Pérez-Ortiz, M; Paige, B; Elliott, A; Russell, C; Law, S; Jones, DC; Wilkinson, J; Phillips, T; Byrne, J; Tietsche, S; Sarojini, BB; Blanchard-Wrigglesworth, E; Aksenov, Y; Downie, R; Shuckburgh, E</t>
  </si>
  <si>
    <t>Andersson, Tom R.; Hosking, J. Scott; Perez-Ortiz, Maria; Paige, Brooks; Elliott, Andrew; Russell, Chris; Law, Stephen; Jones, Daniel C.; Wilkinson, Jeremy; Phillips, Tony; Byrne, James; Tietsche, Steffen; Sarojini, Beena Balan; Blanchard-Wrigglesworth, Eduardo; Aksenov, Yevgeny; Downie, Rod; Shuckburgh, Emily</t>
  </si>
  <si>
    <t>Seasonal Arctic sea ice forecasting with probabilistic deep learning</t>
  </si>
  <si>
    <t>PREDICTABILITY; CALIBRATION; ALGORITHMS; PREDICTION; SATELLITE; IMPACT; DRIVEN; SKILL</t>
  </si>
  <si>
    <t>Accurate seasonal forecasts of sea ice are highly valuable, particularly in the context of sea ice loss due to global warming. A new machine learning tool for sea ice forecasting offers a substantial increase in accuracy over current physics-based dynamical model predictions. Anthropogenic warming has led to an unprecedented year-round reduction in Arctic sea ice extent. This has far-reaching consequences for indigenous and local communities, polar ecosystems, and global climate, motivating the need for accurate seasonal sea ice forecasts. While physics-based dynamical models can successfully forecast sea ice concentration several weeks ahead, they struggle to outperform simple statistical benchmarks at longer lead times. We present a probabilistic, deep learning sea ice forecasting system, IceNet. The system has been trained on climate simulations and observational data to forecast the next 6 months of monthly-averaged sea ice concentration maps. We show that IceNet advances the range of accurate sea ice forecasts, outperforming a state-of-the-art dynamical model in seasonal forecasts of summer sea ice, particularly for extreme sea ice events. This step-change in sea ice forecasting ability brings us closer to conservation tools that mitigate risks associated with rapid sea ice loss.</t>
  </si>
  <si>
    <t>[Andersson, Tom R.; Hosking, J. Scott; Jones, Daniel C.; Wilkinson, Jeremy; Phillips, Tony; Byrne, James; Shuckburgh, Emily] British Antarctic Survey, NERC, UKRI, Cambridge, England; [Hosking, J. Scott; Paige, Brooks; Elliott, Andrew; Law, Stephen] Alan Turing Inst, London, England; [Perez-Ortiz, Maria; Paige, Brooks] UCL, Dept Comp Sci, London, England; [Elliott, Andrew] Univ Glasgow, Sch Math &amp; Stat, Glasgow, Lanark, Scotland; [Russell, Chris] Amazon Web Serv, Tubingen, Germany; [Law, Stephen] UCL, Dept Geog, London, England; [Tietsche, Steffen; Sarojini, Beena Balan] European Ctr Medium Range Weather Forecasts ECMWF, Reading, Berks, England; [Blanchard-Wrigglesworth, Eduardo] Univ Washington, Dept Atmospher Sci, Seattle, WA 98195 USA; [Aksenov, Yevgeny] Natl Oceanog Ctr, Southampton, Hants, England; [Downie, Rod] WWF, Woking, Surrey, England; [Shuckburgh, Emily] Univ Cambridge, Cambridge, England</t>
  </si>
  <si>
    <t>UK Research &amp; Innovation (UKRI); Natural Environment Research Council (NERC); NERC British Antarctic Survey; University of London; University College London; University of Glasgow; University of London; University College London; European Centre for Medium-Range Weather Forecasts (ECMWF); University of Washington; University of Washington Seattle; NERC National Oceanography Centre; World Wildlife Fund; University of Cambridge</t>
  </si>
  <si>
    <t>Andersson, TR (corresponding author), British Antarctic Survey, NERC, UKRI, Cambridge, England.</t>
  </si>
  <si>
    <t>tomand@bas.ac.uk</t>
  </si>
  <si>
    <t>Tietsche, Steffen/F-7633-2015; Russell, Chris/HME-1474-2023; Andersson, Tom/ISU-6762-2023; law, stephen/GYJ-2475-2022; Hosking, Scott/D-3437-2013</t>
  </si>
  <si>
    <t>Russell, Chris/0000-0003-1665-1759; Andersson, Tom/0000-0002-1556-9932; Elliott, Andrew/0000-0002-4536-5244; Balan Sarojini, Beena/0000-0002-3267-6369; Aksenov, Yevgeny/0000-0001-6132-3434; Byrne, James/0000-0003-3731-2377; Law, Stephen/0000-0003-3184-572X; Jones, Dani/0000-0002-8701-4506; Hosking, Scott/0000-0002-3646-3504</t>
  </si>
  <si>
    <t>Wave 1 of The UKRI Strategic Priorities Fund under the EPSRC [EP/T001569/1]; Alan Turing Institute; UKRI Future Leaders Fellowship [MR/T020822/1]; NERC ACSIS project [NE/N018028/1]; European Union's Horizon 2020 research and innovation programme under project COMFORT [820989]; NSF [1751363]; European Commission; NERC National Capability programme LTS-M ACSIS (North Atlantic climate system integrated study) [NE/N018044/1]; NERC National Capability programme LTS-S CLASS (Climate-Linked Atlantic Sector Science) [NE/R015953/1]; Advective Pathways of nutrients and key Ecological substances in the Arctic (APEAR) project part of the Changing Arctic Ocean programme - UKRI Natural Environment Research Council (NERC) [NE/R012865/1, NE/R012865/2, 03V01461]; Advective Pathways of nutrients and key Ecological substances in the Arctic (APEAR) project part of the Changing Arctic Ocean programme - German Federal Ministry of Education and Research (BMBF) [NE/R012865/1, NE/R012865/2, 03V01461]; NERC project Towards a marginal Arctic sea ice cover [NE/R000085/1]; NERC project PRE-MELT [NE/T000546/1]; Directorate For Geosciences; Office of Polar Programs (OPP) [1751363] Funding Source: National Science Foundation; FLF [MR/T020822/1] Funding Source: UKRI</t>
  </si>
  <si>
    <t>Wave 1 of The UKRI Strategic Priorities Fund under the EPSRC(UK Research &amp; Innovation (UKRI)Engineering &amp; Physical Sciences Research Council (EPSRC)); Alan Turing Institute; UKRI Future Leaders Fellowship(UK Research &amp; Innovation (UKRI)); NERC ACSIS project; European Union's Horizon 2020 research and innovation programme under project COMFORT; NSF(National Science Foundation (NSF)); European Commission(European Union (EU)European Commission Joint Research Centre); NERC National Capability programme LTS-M ACSIS (North Atlantic climate system integrated study); NERC National Capability programme LTS-S CLASS (Climate-Linked Atlantic Sector Science); Advective Pathways of nutrients and key Ecological substances in the Arctic (APEAR) project part of the Changing Arctic Ocean programme - UKRI Natural Environment Research Council (NERC); Advective Pathways of nutrients and key Ecological substances in the Arctic (APEAR) project part of the Changing Arctic Ocean programme - German Federal Ministry of Education and Research (BMBF); NERC project Towards a marginal Arctic sea ice cover; NERC project PRE-MELT; Directorate For Geosciences; Office of Polar Programs (OPP)(National Science Foundation (NSF)NSF - Directorate for Geosciences (GEO)); FLF</t>
  </si>
  <si>
    <t>This work is supported by Wave 1 of The UKRI Strategic Priorities Fund under the EPSRC Grant EP/T001569/1, particularly the 'AI for Science' theme within that grant and The Alan Turing Institute. D.J. is supported by a UKRI Future Leaders Fellowship (grant reference MR/T020822/1). D.J. and J.S.H. are supported by the NERC ACSIS project (grant NE/N018028/1). Y.A. is supported by the NERC National Capability programmes LTS-M ACSIS (North Atlantic climate system integrated study), grant NE/N018044/1, and LTS-S CLASS (Climate-Linked Atlantic Sector Science), grant number NE/R015953/1, by Advective Pathways of nutrients and key Ecological substances in the Arctic (APEAR) project (NE/R012865/1, NE/R012865/2, #03V01461), part of the Changing Arctic Ocean programme, jointly funded by the UKRI Natural Environment Research Council (NERC) and the German Federal Ministry of Education and Research (BMBF). Y. A. is also supported by funding from the European Union's Horizon 2020 research and innovation programme under project COMFORT (grant agreement no. 820989), for which the work reflects only the authors' view; the European Commission and their executive agency are not responsible for any use that may be made of the information the work contains). Y.A. is also supported by the NERC projects Towards a marginal Arctic sea ice cover (grant NE/R000085/1) and PRE-MELT (Grant NE/T000546/1). E.B.W. is supported by NSF (OPP grant 1751363). We thank Fruzsina Agocs (Kavli Institute for Cosmology) for early discussions and advice on data loaders. We thank Bablu Sinha (National Oceanography Centre), Christine McKenna (University of Leeds), and Hua Lu (British Antarctic Survey) for advice on atmospheric climate variables. We also thank Larry Hamilton (University of New Hampshire) for providing the historical SIO forecast data. We also thank Rachel Cavanagh (British Antarctic Survey) for discussions on sea ice forecasts for dynamic marine protected areas. This work was generated using ERA5 data from the Copernicus Climate Change service. Neither the European Commission nor ECMWF is responsible for use of the Copernicus data.</t>
  </si>
  <si>
    <t>AUG 26</t>
  </si>
  <si>
    <t>10.1038/s41467-021-25257-4</t>
  </si>
  <si>
    <t>UJ2MN</t>
  </si>
  <si>
    <t>Green Accepted, Green Published, Green Submitted, gold</t>
  </si>
  <si>
    <t>WOS:000691126200028</t>
  </si>
  <si>
    <t>Brett, GM; Price, D; Rack, W; Langhorne, PJ</t>
  </si>
  <si>
    <t>Brett, Gemma M.; Price, Daniel; Rack, Wolfgang; Langhorne, Patricia J.</t>
  </si>
  <si>
    <t>Satellite altimetry detection of ice-shelf-influenced fast ice</t>
  </si>
  <si>
    <t>ANTARCTIC SEA-ICE; MCMURDO SOUND; PLATELET ICE; WATER PLUME; FREEBOARD; RETRIEVAL; THICKNESS; EVOLUTION; DYNAMICS; MISSION</t>
  </si>
  <si>
    <t>The outflow of supercooled Ice Shelf Water from the conjoined Ross and McMurdo ice shelf cavity augments fast ice thickness and forms a thick sub-ice platelet layer in McMurdo Sound. Here, we investigate whether the CryoSat-2 satellite radar altimeter can consistently detect the higher freeboard caused by the thicker fast ice combined with the buoyant forcing of a sub-ice platelet layer beneath. Freeboards obtained from CryoSat-2 were compared with 4 years of drill-hole-measured sea ice freeboard, snow depth, and sea ice and sub-ice platelet layer thicknesses in McMurdo Sound in November 2011, 2013, 2017 and 2018. The spatial distribution of higher CryoSat-2 freeboard concurred with the distributions of thicker ice-shelf-influenced fast ice and the sub-ice platelet layer. The mean CryoSat-2 freeboard was 0.07-0.09 m higher over the main path of supercooled Ice Shelf Water outflow, in the centre of the sound, relative to the west and east. In this central region, the mean CryoSat2-derived ice thickness was 35% larger than the mean drillhole-measured fast ice thickness. We attribute this overestimate in satellite-altimeter-obtained ice thickness to the additional buoyant forcing of the sub-ice platelet layer which had a mean thickness of 3.90 m in the centre. We demonstrate the capability of CryoSat-2 to detect higher Ice Shelf Water-influenced fast ice freeboard in McMurdo Sound. Further development of this method could provide a tool to identify regions of ice-shelf-influenced fast ice elsewhere on the Antarctic coastline with adequate information on the snow layer.</t>
  </si>
  <si>
    <t>[Brett, Gemma M.; Price, Daniel; Rack, Wolfgang] Univ Canterbury, Gateway Antarctica, Christchurch, New Zealand; [Langhorne, Patricia J.] Univ Otago, Dept Phys, Dunedin, New Zealand</t>
  </si>
  <si>
    <t>University of Canterbury; University of Otago</t>
  </si>
  <si>
    <t>Brett, GM (corresponding author), Univ Canterbury, Gateway Antarctica, Christchurch, New Zealand.</t>
  </si>
  <si>
    <t>gemma.brett@canterbury.ac.nz</t>
  </si>
  <si>
    <t>; Langhorne, Pat/C-3539-2018; Rack, Wolfgang/U-8898-2017</t>
  </si>
  <si>
    <t>Brett, Gemma Marie/0000-0001-8249-2675; Langhorne, Pat/0000-0003-0239-7657; Rack, Wolfgang/0000-0003-2447-377X</t>
  </si>
  <si>
    <t>Deep South National Science Challenge; New Zealand Ministry of Business, Innovation and Employment through the Antarctic Science Platform [ANTA1801]; Marsden Fund Council; University of Canterbury Doctoral Scholarship</t>
  </si>
  <si>
    <t>Deep South National Science Challenge; New Zealand Ministry of Business, Innovation and Employment through the Antarctic Science Platform(New Zealand Ministry of Business, Innovation and Employment (MBIE)); Marsden Fund Council(Royal Society of New ZealandMarsden Fund (NZ)); University of Canterbury Doctoral Scholarship</t>
  </si>
  <si>
    <t>This research was funded by the Deep South National Science Challenge, the New Zealand Ministry of Business, Innovation and Employment through the Antarctic Science Platform (ANTA1801), the Marsden Fund Council from government funding, managed by Royal Society Te Aparangi, and a University of Canterbury Doctoral Scholarship; logistics support was provided by Antarctica New Zealand under K063 (2011, 2013 and 2018) and K066 (2016, 2017 and 2018) events.</t>
  </si>
  <si>
    <t>10.5194/tc-15-4099-2021</t>
  </si>
  <si>
    <t>UK2BQ</t>
  </si>
  <si>
    <t>WOS:000691780400001</t>
  </si>
  <si>
    <t>Stone, KA; Klekociuk, AR; Schofield, R</t>
  </si>
  <si>
    <t>Stone, Kane A.; Klekociuk, Andrew R.; Schofield, Robyn</t>
  </si>
  <si>
    <t>Future changes in stratospheric quasi-stationary wave-1 in the extratropical southern hemisphere spring and summer as simulated by ACCESS-CCM</t>
  </si>
  <si>
    <t>JOURNAL OF SOUTHERN HEMISPHERE EARTH SYSTEMS SCIENCE</t>
  </si>
  <si>
    <t>ACCESS-CCM; climate; climate modelling; greenhouse gases; Multi Sensor Reanalysis; ozone depletion; ozone layer; quasi-stationary planetary wave; southern hemisphere; stratospheric circulation</t>
  </si>
  <si>
    <t>CHEMISTRY-CLIMATE MODEL; TOTAL OZONE; ZONAL ASYMMETRY; PLANETARY-WAVES; COLUMN OZONE; REANALYSIS; EVOLUTION</t>
  </si>
  <si>
    <t>Seasonally dependent quasi-stationary planetary wave activity in the southern hemisphere influences the distribution of ozone within and near the equatorward edge of the stratospheric polar vortex. Accurate representation of this zonal asymmetry in ozone is important in the characterisation of stratospheric circulation and climate and their associated effects at the surface. In this study, we used the Australian Community and Climate Earth System Simulator-Chemistry Climate Model to investigate the influence of greenhouse gases (GHGs) and ozone depleting substances (ODSs) on the zonal asymmetry of total column ozone (TCO) and 10 hPa zonal wind between 50 and 70 degrees S. Sensitivity simulations were used from 1960 to 2100 with fixed ODSs and GHGs at 1960 levels and a regression model that uses equivalent effective stratospheric chlorine and carbon dioxide equivalent radiative forcing as the regressors. The model simulates the spring and summer zonal wave-1 reasonably well, albeit with a slight bias in the phase and amplitude compared to observations. An eastward shift in the TCO and 10 hPa zonal wave-1 is associated with both decreasing ozone and increasing GHGs. Amplitude increases are associated with ozone decline and amplitude decreases with GHG increases. The influence of ODSs typically outweigh those by GHGs, partly due to the GHG influence on TCO phase at 50 degrees S likely being hampered by the Andes. Therefore, over the 21st century, influence from ozone recovery causes a westward shift and a decrease in amplitude. An exception is at 70 degrees S during spring, where the GHG influence is larger than that of ozone recovery, causing a continued eastward trend throughout the 21st century. Also, GHGs have the largest influence on the 10 hPa zonal wave-1 phase, but still only induce a small change in the wave-1 amplitude. Different local longitudes also experience different rates of ozone recovery due to the changes in phase of the zonal wave-1. The results from this study have important implications for understanding future ozone layer distribution in the Southern Hemisphere under changing GHG and ODS concentrations. Important future work would involve conducting a similar study using a large ensemble of models to gain more statistically significant results.</t>
  </si>
  <si>
    <t>[Stone, Kane A.; Klekociuk, Andrew R.; Schofield, Robyn] Univ Melbourne, Sch Geog Earth &amp; Atmospher Sci, Melbourne, Vic, Australia; [Stone, Kane A.; Schofield, Robyn] ARC Ctr Excellence Climate Syst Sci, Sydney, NSW, Australia; [Stone, Kane A.] MIT, Dept Earth Atmospher &amp; Planetary Sci, Cambridge, MA 02139 USA; [Klekociuk, Andrew R.] Australian Antarctic Div, Hobart, Tas, Australia</t>
  </si>
  <si>
    <t>University of Melbourne; Melbourne Genomics Health Alliance; ARC Centre of Excellence for Climate System Science; Massachusetts Institute of Technology (MIT); Australian Antarctic Division</t>
  </si>
  <si>
    <t>Stone, KA (corresponding author), Univ Melbourne, Sch Geog Earth &amp; Atmospher Sci, Melbourne, Vic, Australia.;Stone, KA (corresponding author), ARC Ctr Excellence Climate Syst Sci, Sydney, NSW, Australia.;Stone, KA (corresponding author), MIT, Dept Earth Atmospher &amp; Planetary Sci, Cambridge, MA 02139 USA.</t>
  </si>
  <si>
    <t>Schofield, Robyn/A-4062-2010; Klekociuk, Andrew/A-4498-2015</t>
  </si>
  <si>
    <t>Schofield, Robyn/0000-0002-4230-717X; Klekociuk, Andrew/0000-0003-3335-0034</t>
  </si>
  <si>
    <t>Australian Research Council's Centre of Excellence for Climate System Science [CE110001028]; Australian Government's Australian Antarctic Science Grant Program [FoRCES 4012]; Commonwealth Department of the Environment [2011/16 853]</t>
  </si>
  <si>
    <t>Australian Research Council's Centre of Excellence for Climate System Science(Australian Research Council); Australian Government's Australian Antarctic Science Grant Program(Australian Government); Commonwealth Department of the Environment</t>
  </si>
  <si>
    <t>This work was supported through funding by the Australian Research Council's Centre of Excellence for Climate System Science (CE110001028), the Australian Government's Australian Antarctic Science Grant Program (FoRCES 4012) and the Commonwealth Department of the Environment (grant 2011/16 853).</t>
  </si>
  <si>
    <t>2206-5865</t>
  </si>
  <si>
    <t>J SO HEMISPH EARTH</t>
  </si>
  <si>
    <t>J. South Hemisph. Earth Syst. Sci.</t>
  </si>
  <si>
    <t>10.1071/ES21002</t>
  </si>
  <si>
    <t>XE5OD</t>
  </si>
  <si>
    <t>WOS:000691531000001</t>
  </si>
  <si>
    <t>Riaz, J; Bestley, S; Wotherspoon, S; Emmerson, L</t>
  </si>
  <si>
    <t>Riaz, Javed; Bestley, Sophie; Wotherspoon, Simon; Emmerson, Louise</t>
  </si>
  <si>
    <t>Horizontal-vertical movement relationships: Adelie penguins forage continuously throughout provisioning trips</t>
  </si>
  <si>
    <t>MOVEMENT ECOLOGY</t>
  </si>
  <si>
    <t>Foraging behaviour; Pygoscelis adeliae; Area-restricted search; Horizontal movement; Dive behaviour; Habitat use</t>
  </si>
  <si>
    <t>MARINE PREDATOR MOVEMENTS; SOUTHERN ELEPHANT SEALS; BECHERVAISE-ISLAND; ENVIRONMENTAL-CONDITIONS; BREEDING PERFORMANCE; 1ST-PASSAGE TIME; EAST ANTARCTICA; AD,LIE PENGUINS; DIVING BEHAVIOR; HABITAT</t>
  </si>
  <si>
    <t>Background Diving marine predators forage in a three-dimensional environment, adjusting their horizontal and vertical movement behaviour in response to environmental conditions and the spatial distribution of prey. Expectations regarding horizontal-vertical movements are derived from optimal foraging theories, however, inconsistent empirical findings across a range of taxa suggests these behavioural assumptions are not universally applicable. Methods Here, we examined how changes in horizontal movement trajectories corresponded with diving behaviour and marine environmental conditions for a ubiquitous Southern Ocean predator, the Adelie penguin. Integrating extensive telemetry-based movement and environmental datasets for chick-rearing Adelie penguins at Bechervaise Island, we tested the relationships between horizontal move persistence (continuous scale indicating low ['resident'] to high ['directed'] movement autocorrelation), vertical dive effort and environmental variables. Results Penguins dived continuously over the course of their foraging trips and lower horizontal move persistence corresponded with less intense foraging activity, likely indicative of resting behaviour. This challenges the traditional interpretation of horizontal-vertical movement relationships based on optimal foraging models, which assumes increased residency within an area translates to increased foraging activity. Movement was also influenced by different environmental conditions during the two stages of chick-rearing: guard and creche. These differences highlight the strong seasonality of foraging habitat for chick-rearing Adelie penguins at Bechervaise Island. Conclusions Our findings advance our understanding of the foraging behaviour for this marine predator and demonstrates the importance of integrating spatial location and behavioural data before inferring habitat use.</t>
  </si>
  <si>
    <t>[Riaz, Javed; Bestley, Sophie; Wotherspoon, Simon] Univ Tasmania, Inst Marine &amp; Antarctic Studies, Private Bag 129, Hobart, Tas 7001, Australia; [Riaz, Javed; Wotherspoon, Simon; Emmerson, Louise] Australian Antarctic Div, 203 Channel Highway, Kingston, Tas 7050, Australia</t>
  </si>
  <si>
    <t>Riaz, J (corresponding author), Univ Tasmania, Inst Marine &amp; Antarctic Studies, Private Bag 129, Hobart, Tas 7001, Australia.;Riaz, J (corresponding author), Australian Antarctic Div, 203 Channel Highway, Kingston, Tas 7050, Australia.</t>
  </si>
  <si>
    <t>javed.riaz@utas.edu.au</t>
  </si>
  <si>
    <t>Riaz, Javed/0000-0002-2729-6433</t>
  </si>
  <si>
    <t>Australian Research Council [DE180100828]; AAS projects [2205, 2722, 4087, 4518]; Australian Research Council [DE180100828] Funding Source: Australian Research Council</t>
  </si>
  <si>
    <t>Australian Research Council(Australian Research Council); AAS projects; Australian Research Council(Australian Research Council)</t>
  </si>
  <si>
    <t>SB was supported under the Australian Research Council Discovery Early Career Research Award (DECRA) project DE180100828. This research was supported by AAS projects 2205, 2722, 4087 and 4518.</t>
  </si>
  <si>
    <t>2051-3933</t>
  </si>
  <si>
    <t>MOV ECOL</t>
  </si>
  <si>
    <t>Mov. Ecol.</t>
  </si>
  <si>
    <t>10.1186/s40462-021-00280-8</t>
  </si>
  <si>
    <t>UI9YC</t>
  </si>
  <si>
    <t>WOS:000690951700001</t>
  </si>
  <si>
    <t>McKenzie, AC; Silvestro, AM; Marti, LJ; Emslie, SD</t>
  </si>
  <si>
    <t>McKenzie, Ashley C.; Silvestro, Anahi M.; Marti, Lucas J.; Emslie, Steven D.</t>
  </si>
  <si>
    <t>Intraspecific Variation in Mercury, δ15N, and δ13C Among 3 Adelie Penguin (Pygoscelis adeliae) Populations in the Northern Antarctic Peninsula Region</t>
  </si>
  <si>
    <t>ENVIRONMENTAL TOXICOLOGY AND CHEMISTRY</t>
  </si>
  <si>
    <t>Mercury; Bioaccumulation; Biomonitoring; Egg membrane; Feather; Stable isotope</t>
  </si>
  <si>
    <t>STABLE-ISOTOPES REVEAL; KING GEORGE ISLAND; TROPHIC CALCULATIONS; SEASONAL-VARIATION; MARINE PREDATORS; FORAGING AREAS; TRACE-ELEMENTS; ADMIRALTY BAY; DIET; SEABIRDS</t>
  </si>
  <si>
    <t>Mercury (Hg) is a pervasive environmental contaminant that accumulates in the organs and tissues of seabirds at concentrations capable of causing acute or long-term adverse health effects. In the present study, Hg concentrations in Adelie penguin (Pygoscelis adeliae) egg membranes and chick feathers served as a proxy for Hg bioavailability in the marine environment surrounding the northern Antarctic Peninsula. Stable isotopes were measured in conjunction with Hg to infer information regarding feeding habits (delta N-15, diet/trophic level; delta C-13, foraging habitat). The Hg concentrations were low relative to toxicity benchmark values associated with adverse health effects in birds and ranged between 0.006 and 0.080 mu g g(-1) dry weight (n = 65) in egg membranes and 0.140 to 1.05 mu g g(-1) fresh weight (n = 38) in feathers. Egg membrane delta N-15 signatures suggested that females from different breeding colonies had similar diets consisting of lower and higher trophic prey prior to arrival to breeding grounds. In contrast, delta N-15 signatures in feathers indicated that chick diet varied by colony. The Hg concentrations demonstrated significant positive relationships with delta N-15, providing support for the hypothesis of Hg biomagnification up the food chain. The delta C-13 signatures in both tissue types provided evidence of foraging habitat segregation among populations. The differences in Hg exposure and foraging ecology suggest that each colony has localized foraging behaviors by breeding adults that warrant additional investigation. Environ Toxicol Chem 2021;00:1-12. (c) 2021 SETAC</t>
  </si>
  <si>
    <t>[McKenzie, Ashley C.; Emslie, Steven D.] Univ N Carolina, Dept Biol &amp; Marine Biol, Wilmington, NC 28403 USA; [Silvestro, Anahi M.] Ctr Invest Esquel Montana &amp; Estepa Patagon, Esquel, Chubut, Argentina; [Silvestro, Anahi M.] Consejo Nacl Invest Cient &amp; Tecn, Buenos Aires, DF, Argentina; [Marti, Lucas J.] Univ CAECE, Dept Ciencias Biol, Buenos Aires, DF, Argentina</t>
  </si>
  <si>
    <t>University of North Carolina; University of North Carolina Wilmington; Consejo Nacional de Investigaciones Cientificas y Tecnicas (CONICET)</t>
  </si>
  <si>
    <t>McKenzie, AC (corresponding author), Univ N Carolina, Dept Biol &amp; Marine Biol, Wilmington, NC 28403 USA.</t>
  </si>
  <si>
    <t>acm8905@uncw.edu</t>
  </si>
  <si>
    <t>Marti, Lucas Jose/0000-0002-4851-5359; Silvestro, Anahi Mariel/0000-0002-8134-9815</t>
  </si>
  <si>
    <t>US National Science Foundation, Office of Polar Programs [ANT-0739575, 1443386]; Directorate For Geosciences; Office of Polar Programs (OPP) [1443386] Funding Source: National Science Foundation</t>
  </si>
  <si>
    <t>US National Science Foundation, Office of Polar Programs(National Science Foundation (NSF)); Directorate For Geosciences; Office of Polar Programs (OPP)(National Science Foundation (NSF)NSF - Directorate for Geosciences (GEO))</t>
  </si>
  <si>
    <t>Funding for the present study was provided by US National Science Foundation, Office of Polar Programs grants (ANT-0739575 and 1443386). We thank the Instituto Antartico Argentino, dedicated personnel, and M. Santos for providing support for our transport to Antarctica, logistics to and from remote field sites, eggshell and feather collection, and accommodations at Marambio and Esperanza research stations. For their assistance with Hg and stable isotope analyses at the University of North Carolina Wilmington and Center for Marine Science, we would like to thank R. Brasso, K. Duernberger, C. Lane, and K. Newtoff.</t>
  </si>
  <si>
    <t>0730-7268</t>
  </si>
  <si>
    <t>1552-8618</t>
  </si>
  <si>
    <t>ENVIRON TOXICOL CHEM</t>
  </si>
  <si>
    <t>Environ. Toxicol. Chem.</t>
  </si>
  <si>
    <t>10.1002/etc.5166</t>
  </si>
  <si>
    <t>Environmental Sciences; Toxicology</t>
  </si>
  <si>
    <t>Environmental Sciences &amp; Ecology; Toxicology</t>
  </si>
  <si>
    <t>UX4WK</t>
  </si>
  <si>
    <t>WOS:000688749900001</t>
  </si>
  <si>
    <t>Grant, ML; O'Hanlon, NJ; Lavers, JL; Masden, EA; James, NA; Bond, AL</t>
  </si>
  <si>
    <t>Grant, Megan L.; O'Hanlon, Nina J.; Lavers, Jennifer L.; Masden, Elizabeth A.; James, Neil A.; Bond, Alexander L.</t>
  </si>
  <si>
    <t>A standardised method for estimating the level of visible debris in bird nests</t>
  </si>
  <si>
    <t>Community science; Environmental indicator; Image analysis; Plastic pollution; Policy; Seabirds</t>
  </si>
  <si>
    <t>BOOBY SULA-LEUCOGASTER; MARINE DEBRIS; SEABIRDS; INDICATORS; PREVALENCE; GOALS</t>
  </si>
  <si>
    <t>Unlike records of plastic ingestion and entanglement in seabirds which date back to the 1960s, the literature regarding debris in bird nests is comparatively limited. It is important to identify standardised methods early so that data are collected in a consistent manner, ensuring that future studies can be comparable. Here, we outline a method that can be applied to photographs for estimating the proportion of visible debris at the surface of a nest. This method uses ImageJ software to superimpose a grid onto a photograph of a nest/s. The number of cells with and without debris are then counted. Our proposed method is repeatable, straightforward, and accessible. We optimised the method to estimate the level of visible debris in Northern Gannet (Morus bassanus) nests, however, with some modification (i.e., adjustment of grid cell size), it could be applied to other seabird species, and terrestrial birds, that incorporate debris within nests.</t>
  </si>
  <si>
    <t>[Grant, Megan L.] Univ Tasmania, Inst Marine &amp; Antarctic Studies, Sch Rd, Newnham, Tas 7248, Australia; [Grant, Megan L.; O'Hanlon, Nina J.; Masden, Elizabeth A.; James, Neil A.; Bond, Alexander L.] Univ Highlands &amp; Isl, Ctr Energy &amp; Environm, Environm Res Inst, North Highland Coll, Ormlie Rd, Thurso KW14 7EE, Caithness, Scotland; [Lavers, Jennifer L.; Bond, Alexander L.] Univ Tasmania, Inst Marine &amp; Antarctic Studies, 20 Castray Esplanade, Battery Point, Tas 7004, Australia; [Bond, Alexander L.] Nat Hist Museum, Dept Life Sci, Bird Grp, Akeman St, Tring HP23 6AP, Herts, England</t>
  </si>
  <si>
    <t>University of Tasmania; UHI Millennium Institute; University of Tasmania; Natural History Museum London</t>
  </si>
  <si>
    <t>Grant, ML (corresponding author), Univ Tasmania, Inst Marine &amp; Antarctic Studies, Sch Rd, Newnham, Tas 7248, Australia.</t>
  </si>
  <si>
    <t>Megan.Grant@utas.edu.au</t>
  </si>
  <si>
    <t>Lavers, Jennifer/IWM-5417-2023; Lavers, Jennifer/O-4831-2017; Masden, Elizabeth A/F-2858-2010; Bond, Alexander L/A-3786-2010; O'Hanlon, Nina/N-9810-2014</t>
  </si>
  <si>
    <t>Lavers, Jennifer/0000-0001-7596-6588; Grant, Megan/0000-0002-0407-8468; Bond, Alexander/0000-0003-2125-7238; Masden, Elizabeth/0000-0002-1995-3712; O'Hanlon, Nina/0000-0001-6396-4518</t>
  </si>
  <si>
    <t>Association of Commonwealth Universities Blue Charter Fellowship Program; United Kingdom Department of Business, Energy and In-dustrial Strategy</t>
  </si>
  <si>
    <t>The research presented here was funded by the Association of Commonwealth Universities Blue Charter Fellowship Program, supported by the United Kingdom Department of Business, Energy and In-dustrial Strategy.</t>
  </si>
  <si>
    <t>10.1016/j.marpolbul.2021.112889</t>
  </si>
  <si>
    <t>UZ1HR</t>
  </si>
  <si>
    <t>WOS:000701963400002</t>
  </si>
  <si>
    <t>Liu, YD; Zheng, KY; Liu, BH; Liang, YT; You, SY; Zhang, WJ; Zhang, XR; Jie, YQ; Shao, HB; Jiang, Y; Guo, C; He, H; Wang, HL; Sung, YY; Mok, WJ; Wong, L; McMinn, A; Wang, M</t>
  </si>
  <si>
    <t>Liu, Yundan; Zheng, Kaiyang; Liu, Baohong; Liang, Yantao; You, Siyuan; Zhang, Wenjing; Zhang, Xinran; Jie, Yaqi; Shao, Hongbing; Jiang, Yong; Guo, Cui; He, Hui; Wang, Hualong; Sung, Yeong Yik; Mok, Wen Jye; Wong, Li Lian; McMinn, Andrew; Wang, Min</t>
  </si>
  <si>
    <t>Characterization and Genomic Analysis of Marinobacter Phage vB_MalS-PS3, Representing a New Lambda-Like Temperate Siphoviral Genus Infecting Algae-Associated Bacteria</t>
  </si>
  <si>
    <t>bacteriophage; Marinobacter; hydrocarbon biodegradation; genome and comparative genome analysis; phylogenetic analysis; algal-associated bacteria</t>
  </si>
  <si>
    <t>SP-NOV.; PSEUDOMONAS-AERUGINOSA; HYDROCARBONOCLASTICUS; SEQUENCE; SEA; BACTERIOPHAGES; PETROBACTIN; SEDIMENTS; SEAWATER; BINDING</t>
  </si>
  <si>
    <t>Marinobacter is the abundant and important algal-associated and hydrocarbon biodegradation bacteria in the ocean. However, little knowledge about their phages has been reported. Here, a novel siphovirus, vB_MalS-PS3, infecting Marinobacter algicola DG893(T), was isolated from the surface waters of the western Pacific Ocean. Transmission electron microscopy (TEM) indicated that vB_MalS-PS3 has the morphology of siphoviruses. VB_MalS-PS3 was stable from -20 to 55 degrees C, and with the latent and rise periods of about 80 and 10 min, respectively. The genome sequence of VB_MalS-PS3 contains a linear, double-strand 42,168-bp DNA molecule with a G + C content of 56.23% and 54 putative open reading frames (ORFs). Nineteen conserved domains were predicted by BLASTp in NCBI. We found that vB_MalS-PS3 represent an understudied viral group with only one known isolate. The phylogenetic tree based on the amino acid sequences of whole genomes revealed that vB_MalS-PS3 has a distant evolutionary relationship with other siphoviruses, and can be grouped into a novel viral genus cluster with six uncultured assembled viral genomes from metagenomics, named here as Marinovirus. This study of the Marinobacter phage vB_MalS-PS3 genome enriched the genetic database of marine bacteriophages, in addition, will provide useful information for further research on the interaction between Marinobacter phages and their hosts, and their relationship with algal blooms and hydrocarbon biodegradation in the ocean.</t>
  </si>
  <si>
    <t>[Liu, Yundan; Zheng, Kaiyang; Liang, Yantao; You, Siyuan; Zhang, Wenjing; Zhang, Xinran; Shao, Hongbing; Jiang, Yong; Guo, Cui; He, Hui; Wang, Hualong; McMinn, Andrew; Wang, Min] Ocean Univ China, Coll Marine Life Sci, Frontiers Sci Ctr Deep Ocean Multispheres &amp; Earth, Inst Evolut &amp; Marine Biodivers, Qingdao, Peoples R China; [Liu, Baohong] Shandong Univ, Qilu Hosp, Dept Hosp Infect Management, Qingdao, Peoples R China; [Liang, Yantao; Shao, Hongbing; Jiang, Yong; Guo, Cui; He, Hui; Wang, Hualong; Sung, Yeong Yik; Mok, Wen Jye; Wong, Li Lian; Wang, Min] UMT OUC Joint Ctr Marine Studies, Qingdao, Peoples R China; [Jie, Yaqi] Univ Wisconsin, Coll Letters &amp; Sci, Madison, WI USA; [Sung, Yeong Yik; Mok, Wen Jye; Wong, Li Lian] Univ Malaysia Terengganu, Inst Marine Biotechnol, Kuala Terengganu, Malaysia; [McMinn, Andrew] Univ Tasmania, Inst Marine &amp; Antarctic Studies, Hobart, Tas, Australia; [Wang, Min] Qingdao Univ, Affiliated Hosp, Qingdao, Peoples R China</t>
  </si>
  <si>
    <t>Ocean University of China; Shandong University; University of Wisconsin System; University of Wisconsin Madison; Universiti Malaysia Terengganu; University of Tasmania; Qingdao University</t>
  </si>
  <si>
    <t>Wang, Min/AFR-9645-2022; Sung, Yeong Yik/AAA-2654-2020; Mok, Wen Jye/AAF-9229-2019; Jiang, Yong/AGK-3016-2022; Li, Yan/JRW-0176-2023</t>
  </si>
  <si>
    <t>Wang, Min/0000-0002-2357-589X; Sung, Yeong Yik/0000-0001-5897-9037; Mok, Wen Jye/0000-0002-7629-8312; Jiang, Yong/0000-0002-4072-1668; Jiang, Yong/0000-0001-6055-488X</t>
  </si>
  <si>
    <t>This research was financially supported by the Marine S&amp;T Fund of Shandong Province for Pilot National Laboratory for Marine Science and Technology (Qingdao; No. 2018SDKJ0406-6), the National Key Research and Development Program of China (2018YFC1406704), the Fundamental Research Funds for the Central Universities (202072002 and 201812002), the National Natural Science Foundation of China (Nos. 41976117 and 41606153), and 973 Program (No. 2013CB429704).</t>
  </si>
  <si>
    <t>AUG 25</t>
  </si>
  <si>
    <t>10.3389/fmicb.2021.726074</t>
  </si>
  <si>
    <t>UZ6IV</t>
  </si>
  <si>
    <t>WOS:000702308300001</t>
  </si>
  <si>
    <t>Wils, K; Wermersche, M; Van Rooij, D; Lastras, G; Lamy, F; Arz, HW; Siani, G; Bertrand, S; Van Daele, M</t>
  </si>
  <si>
    <t>Wils, Katleen; Wermersche, Marlies; Van Rooij, David; Lastras, Galderic; Lamy, Frank; Arz, Helge W.; Siani, Giuseppe; Bertrand, Sebastien; Van Daele, Maarten</t>
  </si>
  <si>
    <t>Late Holocene current patterns in the northern Patagonian fjords recorded by sediment drifts in Aysen Fjord</t>
  </si>
  <si>
    <t>Patagonia; Sediment drift; Bottom current circulation; Climatic variability; Tectonic control</t>
  </si>
  <si>
    <t>SEA-SURFACE TEMPERATURE; LAST GLACIAL MAXIMUM; CHILEAN PATAGONIA; SOUTHERN WESTERLIES; HUDSON VOLCANO; SEISMIC STRATIGRAPHY; CONTOURITE DRIFTS; CONTINENTAL RISE; LAKE-SEDIMENTS; VARIABILITY</t>
  </si>
  <si>
    <t>Present-day circulation patterns in the southeastern Pacific Ocean are driven by the Antarctic Circumpolar Current, directing subantarctic surface water into the Patagonian fjords since at least the early Holocene. In this way, bottom current patterns in the area are regulated by the regional climate, although the complex bathymetry of the fjords has a significant impact as well. To understand the potential interplay of climate, seafloor topography and circulation patterns, we study the sedimentary infill of Aysen Fjord (similar to 45 degrees S) and reveal the first active sediment drifts in the region. These allow constraining the present-day circulation patterns in northern Patagonia and show an incoming (southward) as well as returning (northward) flow direction. While the general sedimentary evolution of the fjord (and thus also the sediment drifts) is climate-driven (i.e., it reflects variability in southern westerly wind strength), the onset of drift formation at similar to 3.7 ka does not seem to have originated from an abrupt change in regional climate. Instead, we propose that a megathrust earthquake described in paleo-seismic records in the area could have resulted in subsidence of one (or more) of the many bathymetric highs in the Patagonian fjords, thus contributing to enhanced spilling of subantarctic water into the fjord. This study underscores the importance of multidisciplinary research to understand past and present bottom current circulation patterns and disentangle different possible feedback mechanisms.</t>
  </si>
  <si>
    <t>[Wils, Katleen; Wermersche, Marlies; Van Rooij, David; Bertrand, Sebastien; Van Daele, Maarten] Univ Ghent, Renard Ctr Marine Geol RCMG, Dept Geol, Ghent, Belgium; [Lastras, Galderic] Univ Barcelona, GRC Geociencies Marines, Barcelona, Spain; [Lamy, Frank] Alfred Wegener Inst Polar &amp; Marine Res, Bremerhaven, Germany; [Arz, Helge W.] Leibniz Inst Baltic Sea Res Warnemunde IOW, Rostock, Germany; [Siani, Giuseppe] Univ Paris Saclay, GEOPS, UMR 8148, Orsay, France</t>
  </si>
  <si>
    <t>Ghent University; University of Barcelona; Helmholtz Association; Alfred Wegener Institute, Helmholtz Centre for Polar &amp; Marine Research; Leibniz Institut fur Ostseeforschung Warnemunde; Centre National de la Recherche Scientifique (CNRS); CNRS - National Institute for Earth Sciences &amp; Astronomy (INSU); Universite Paris Cite; Universite Paris Saclay</t>
  </si>
  <si>
    <t>Wils, K (corresponding author), Univ Ghent, Renard Ctr Marine Geol RCMG, Dept Geol, Ghent, Belgium.</t>
  </si>
  <si>
    <t>katleen.wils@ugent.be</t>
  </si>
  <si>
    <t>Lastras, Galderic/HPF-8363-2023; Van Rooij, David/A-7938-2014; Bertrand, Sebastien/G-9744-2011; Arz, Helge W/A-6659-2013; Lastras, Galderic/A-6487-2013; Wils, Katleen/AAV-6304-2020; Van Daele, Maarten/C-9353-2012</t>
  </si>
  <si>
    <t>Lastras, Galderic/0000-0002-8756-3855; Van Rooij, David/0000-0003-3633-3344; Bertrand, Sebastien/0000-0003-0374-4040; Lastras, Galderic/0000-0002-8756-3855; Wils, Katleen/0000-0003-4738-2002; Van Daele, Maarten/0000-0002-8530-4438</t>
  </si>
  <si>
    <t>Catalan Government Grups de Recerca Consolidats grant [2017 SGR 315]; Special Research Fund (BOF) of Ghent University; DETSUFA project [CTM201009897-E]</t>
  </si>
  <si>
    <t>Catalan Government Grups de Recerca Consolidats grant; Special Research Fund (BOF) of Ghent University(Ghent University); DETSUFA project</t>
  </si>
  <si>
    <t>We thank the captain, crew, and scientific party of The International Marine Past Global Change Study R/V Marion Dufresne cruise MD159/PACHIDERME and the DETSUFA survey. Galderic Lastras acknowledges the financial support by a Catalan Government Grups de Recerca Consolidats grant (2017 SGR 315) and the DETSUFA project (CTM201009897-E). Katleen Wils recognises the financial support of the Special Research Fund (BOF) of Ghent University. IHS Kingdom Suite is acknowledged for their educational user license providing seismic interpretation software. We thank two anonymous reviewers and the guest editor (Rachel Brackenridge) for providing constructive comments that improved an earlier version of this manuscript.</t>
  </si>
  <si>
    <t>10.1016/j.margeo.2021.106604</t>
  </si>
  <si>
    <t>WOS:000697734600006</t>
  </si>
  <si>
    <t>Landing, E; Geyer, G; Jirkov, IA; Schiaparelli, S</t>
  </si>
  <si>
    <t>Landing, Ed; Geyer, Gerd; Jirkov, Igor A.; Schiaparelli, Stefano</t>
  </si>
  <si>
    <t>Lophotrochozoa in the Cambrian evolutionary radiation and the Pelagiella problem</t>
  </si>
  <si>
    <t>PAPERS IN PALAEONTOLOGY</t>
  </si>
  <si>
    <t>Cambrian; Annelida; Gastropoda; Sabellida?; Lophotrochozoa; Cambrian evolutionary radiation</t>
  </si>
  <si>
    <t>SHELLY FOSSILS; SP-NOV; ORIGIN; POLYCHAETA; ULTRASTRUCTURE; STRATIGRAPHY; SEQUENCE; MICROSTRUCTURE; AMPHARETIDAE; SUCCESSION</t>
  </si>
  <si>
    <t>Tiny snail-like conchs of Pelagiella Matthew are important in discussions of lophotrochozoan and mollusc origins in the Cambrian evolutionary radiation (CER). The limited morphological features of Pelagiella conchs have led to the 'Pelagiella problem': (1) poorly distinguished Pelagiella species; (2) an exceptional genus range across all Cambrian palaeocontinents and climate belts; (3) an unparalleled genus-lifespan (c. 31 myr) in the early Palaeozoic; and (4) the assumption that all Pelagiella spp. are gastropods, which compromises lophotrochozoan and mollusc phylogenies. The type species P. atlantoides is a gastropod, but we show that so-called Pelagiella species with sub-to-triangular apertures and turbiniform conchs are not referable to the genus. Re-evaluation of spectacular specimens of Pelagiella exigua Resser &amp; Howell show it to be a polychaete with two apertural paleal chaetae fan arrays. Given that some modern sedentary polychaetes have paleal fan arrays, P. exigua is regarded as a likely member of the Sabellida Levinsen and is assigned to Pseudopelagiella gen. nov. Other Pelagiella spp. and forms with similar conchs are probably polychaetes not relevant to syntheses of early mollusc diversification. Pelagiellidae fam. nov. should be restricted to the late early Cambrian (c. 508 Ma) P. atlantoides. Pseudopelagiella exigua was unattached, probably benthic and lived with the apical conch surface on the sea floor, a mode of life similar to that of another family of the Sabellida, the sessile spirorbids that are cemented to substrate. Among numerous crown groups, the late early Cambrian eve of the CER included the polychaete Pseudopelagiella exigua and gastropod P. atlantoides.</t>
  </si>
  <si>
    <t>[Landing, Ed] New York State Museum &amp; Sci Serv, 222 Madison Ave, Albany, NY 12230 USA; [Geyer, Gerd] Bayerische Julius Maximilians Univ, Inst Geog &amp; Geol, D-97074 Wurzburg, Germany; [Jirkov, Igor A.] Moscow MV Lomonosov State Univ, Biol Fac, Dept Gen Ecol &amp; Hydrobiol, Leninskiye Gory 1,Bldg 12, Moscow 119234, Russia; [Schiaparelli, Stefano] Univ Genoa, Dipartimento Sci Terra Ambiente &amp; Vita DISTAV, Cso Europa 26, I-16132 Genoa, Italy; [Schiaparelli, Stefano] Museo Nazl Antartide MNA, Viale Benedetto XV 5, I-16132 Genoa, Italy</t>
  </si>
  <si>
    <t>University of Wurzburg; Lomonosov Moscow State University; University of Genoa</t>
  </si>
  <si>
    <t>Landing, E (corresponding author), New York State Museum &amp; Sci Serv, 222 Madison Ave, Albany, NY 12230 USA.</t>
  </si>
  <si>
    <t>ed.landing@nysed.gov</t>
  </si>
  <si>
    <t>Jirkov, Igor/JSL-4347-2023</t>
  </si>
  <si>
    <t>Landing, Ed/0000-0001-8103-3960; Geyer, Gerd/0000-0003-3904-0432</t>
  </si>
  <si>
    <t>Deutsche Forschungsgemeinschaft (DFG) [GE 549/22-1]; State Research Program at Moscow State University [AAAA-A16-116021660062-9]; Italian National Antarctic Program (PNRA); [2010-A1.10]; [PNRA18_00263]</t>
  </si>
  <si>
    <t>Deutsche Forschungsgemeinschaft (DFG)(German Research Foundation (DFG)); State Research Program at Moscow State University; Italian National Antarctic Program (PNRA); ;</t>
  </si>
  <si>
    <t>This report is dedicated to R. D. K. Thomas and colleagues for their Kinzers Lagerstatte work. A. Kouchinsky, G. Budd, and an anonymous reviewer made important comments. Support includes grant GE 549/22-1 of the Deutsche Forschungsgemeinschaft (DFG) (to GG); the State Research Program at Moscow State University, project No. AAAA-A16-116021660062-9 (to IAJ); and the Italian National Antarctic Program (PNRA), projects 2010-A1.10 and PNRA18_00263 (to SS).</t>
  </si>
  <si>
    <t>2056-2799</t>
  </si>
  <si>
    <t>2056-2802</t>
  </si>
  <si>
    <t>PAP PALAEONTOL</t>
  </si>
  <si>
    <t>Pap. Palaeontol.</t>
  </si>
  <si>
    <t>10.1002/spp2.1396</t>
  </si>
  <si>
    <t>WG0WP</t>
  </si>
  <si>
    <t>WOS:000690389600001</t>
  </si>
  <si>
    <t>Krietsch, D; Busemann, H; Riebe, MEI; King, AJ; Alexander, CMO; Maden, C</t>
  </si>
  <si>
    <t>Krietsch, Daniela; Busemann, Henner; Riebe, My E., I; King, Ashley J.; Alexander, Conel M. O'D; Maden, Colin</t>
  </si>
  <si>
    <t>Noble gases in CM carbonaceous chondrites: Effect of parent body aqueous and thermal alteration and cosmic ray exposure ages</t>
  </si>
  <si>
    <t>Carbonaceous chondrites; CM chondrites; Noble gases; Aqueous alteration; Thermal alteration; Cosmic ray exposure ages</t>
  </si>
  <si>
    <t>MODAL MINERALOGY; INTERSTELLAR GRAINS; COLLISIONAL HISTORY; PARIS METEORITE; SOLAR-SYSTEM; TAGISH LAKE; NEON; CI; ORIGIN; WATER</t>
  </si>
  <si>
    <t>Like most primitive carbonaceous chondrites, the CM chondrites experienced varying degrees of asteroidal aqueous alteration, which may have overprinted pre-accretionary processing. Several aqueous alteration scales for CM chondrites (and other carbonaceous chondrites) have been proposed based on alteration-dependent changes in various petrological and geochemical characteristics. Given the possibility that the intensity of aqueous alteration could be recorded in the primordial noble gas compositions, we test potential correlations between petrologic, geochemical and noble gas characteristics in a detailed study on 39 CM chondrites, including some of the most pristine CM chondrites identified to date, and 4 CM related carbonaceous chondrites. We mainly compare our noble gas data with the alteration schemes proposed by Alexander et al. (2013) and Howard et al. (2015). In addition to the noble gas analyses, we determined the phyllosilicate fractions of 17 of the CM chondrites using X-ray diffraction (XRD) to complement missing data points in the Howard alteration scheme. The influence of post-hydration thermal modification on noble gases in CM chondrites is investigated by comparison of heated and unheated samples. Cosmic-ray exposure (CRE) ages are determined for all samples in this study as well as for 26 more samples based on CM chondrite literature noble gas data. The noble gas inventory in CM chondrites represents a mixture of cosmogenic, radiogenic, and abundant primordially trapped noble gases. Additionally, about 50 % of our CM bulk samples contain detectable solar wind (SW), which implies that many but not all CM chondrites are regolith breccias or carry SW from a pre-accretion irradiation phase. Aqueous alteration affects primordial noble gas abundances and elemental and isotopic compositions in CM chondrites. In particular, the process causes loss of an Ar-rich component, different in elemental and isotopic composition to known noble gas components. This component is lost during the early stages of aqueous alteration until complete degassing of its carrier material (possibly upon at least partial destruction) below petrologic type of similar to 1.5 on the Howard et al. (2015) scale. Likely, small amounts of Q gases were additionally released by aqueous alteration. Strong thermal modification at &gt;750 degrees C results in a significant additional loss of noble gases, whereas peak temperatures &lt;500 degrees C likely have minor effects on the noble gas inventories of CM chondrites. Some of the described trends of noble gas contents and elemental and isotopic ratios in this study are observable across multiple carbonaceous chondrite groups, in particular also the CR chondrites. Hence, these carbonaceous chondrites may have started with similar initial noble gas inventories due to accretion of material from a common reservoir. The CRE ages of most of our CM samples fall within the typical range of &lt;10 Myr previously observed for CM chondrites. A few CM chondrites, however, show longer CRE ages, with the longest CRE age of-20 Myr determined for the SW-rich CM Allan Hills (ALH) 85013. The degree of aqueous and thermal alteration is variable among CM chondrites with similar CRE ages. (C) 2021 The Author(s). Published by Elsevier Ltd.</t>
  </si>
  <si>
    <t>[Krietsch, Daniela; Busemann, Henner; Riebe, My E., I; Maden, Colin] Swiss Fed Inst Technol, Inst Geochem &amp; Petrol, Clausiusstr 25, CH-8092 Zurich, Switzerland; [King, Ashley J.] Open Univ, Sch Phys Sci, Milton Keynes MK7 6AA, Bucks, England; [King, Ashley J.] Nat Hist Museum, Planetary Mat Grp, London SW7 5BD, England; [Alexander, Conel M. O'D] Carnegie Inst Sci, Earth &amp; Planets Lab, 5241 Broad Branch Rd NW, Washington, DC 20015 USA</t>
  </si>
  <si>
    <t>Swiss Federal Institutes of Technology Domain; ETH Zurich; Open University - UK; Natural History Museum London; Carnegie Institution for Science</t>
  </si>
  <si>
    <t>Krietsch, D (corresponding author), Swiss Fed Inst Technol, Inst Geochem &amp; Petrol, Clausiusstr 25, CH-8092 Zurich, Switzerland.</t>
  </si>
  <si>
    <t>daniela.krietsch@erdw.ethz.ch</t>
  </si>
  <si>
    <t>Alexander, Conel M. O'D./0000-0002-8558-1427; Busemann, Henner/0000-0002-0867-6908; King, Ashley/0000-0001-6113-5417; Krietsch, Daniela/0000-0002-4289-1732</t>
  </si>
  <si>
    <t>NSF; NASA; Swiss National Science Foundation (SNSF), NCCR Planet S; European Union [654208]; Science and Technology Facilities Council (STFC), UK [ST/R000727/1]</t>
  </si>
  <si>
    <t>NSF(National Science Foundation (NSF)); NASA(National Aeronautics &amp; Space Administration (NASA)); Swiss National Science Foundation (SNSF), NCCR Planet S(Swiss National Science Foundation (SNSF)); European Union(European Union (EU)); Science and Technology Facilities Council (STFC), UK(UK Research &amp; Innovation (UKRI)Science &amp; Technology Facilities Council (STFC))</t>
  </si>
  <si>
    <t>We thank Kieren Howard (American Museum of Natural History, New York) , Martin Bizzarro (Natural History Museum of Denmark) , Laurence Garvie and the Center for Meteorite Studies (Arizona State University) , Yves Marrocchi (CRPG, CNRS, Nancy) , Samuel Ebert (Westfalische Wilhelms-Universitat Munster) , Matthieu Gounelle (Museum National d'Histoire Naturelle, Paris: request 2018-105) , and Knut Metzler (Westfalische Wilhelms-Universitat Munster) for kindly providing some samples analysed in this study. For supplying the many Antarctic samples that were used in this work, the authors would like to thank: the members of the Meteorite Working Group, Cecilia Satterwhiteand Kevin Righter (NASA, Johnson Space Center) .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manuscript was significantly improved thanks to careful reading and detailed reviews by two anonymous reviewers and Jemma Davidson, as well as by comments from associate editor Anders Meibom. We thank Tomoki Nakamura for reading and providing feedback on an earlier version of the manuscript. This research was supported by the Swiss National Science Foundation (SNSF) , in parts through the NCCR Planet S (M. E. I. Riebe and H. Busemann) . XRD analyses were partly carried out in the course of Europlanet 2020 RI, which has received funding from the European Union's Horizon 2020 research and innovation programme under grant agreement No 654208. Jens Najorka is thanked for help with the PSD-XRD analyses, and A. J. King was supported by the Science and Technology Facilities Council (STFC) , UK, through grant no. ST/R000727/1.</t>
  </si>
  <si>
    <t>10.1016/j.gca.2021.05.050</t>
  </si>
  <si>
    <t>UG8TQ</t>
  </si>
  <si>
    <t>WOS:000689517700015</t>
  </si>
  <si>
    <t>Ohtaki, KK; Ishii, HA; Bradley, JP; Villalon, KL; Davis, AM; Stephan, T; Bustillo, KC; Ciston, J</t>
  </si>
  <si>
    <t>Ohtaki, Kenta K.; Ishii, Hope A.; Bradley, John P.; Villalon, Krysten L.; Davis, Andrew M.; Stephan, Thomas; Bustillo, Karen C.; Ciston, Jim</t>
  </si>
  <si>
    <t>Search for meteoritic GEMS I: Comparison of amorphous silicates in Paris and Acfer 094 chondrite matrices and in anhydrous chondritic interplanetary dust particles</t>
  </si>
  <si>
    <t>GEMS; GEMS-like; Amorphous silicates; Matrix; Paris; Acfer 094; TEM; STEM; EDS; EELS; IDPs</t>
  </si>
  <si>
    <t>FINE-GRAINED RIMS; CARBONACEOUS CHONDRITE; AQUEOUS ALTERATION; CM CHONDRITE; PRESOLAR SILICATE; OXIDATION-STATE; STARDUST; ORIGIN; CHONDRULES; TEM</t>
  </si>
  <si>
    <t>Amorphous silicates in meteoritic samples are significant as potential surviving interstellar dust from the formation of the Solar System. Amorphous silicate-rich grains called GEMS, glass with embedded metal and sulfides, are abundant in anhydrous interplanetary dust particles and some ultracarbonaceous Antarctic micrometeorites that have high presolar grain abundances. Some GEMS within these objects have been confirmed to be presolar. GEMS-like material, consisting of amorphous silicate with opaque inclusions, has been identified in the matrices of some primitive meteorites. We use specialized thin specimen preparation and transmission electron microscopy methods to compare the GEMS-like material in Paris (CM) and Acfer 094 (ungrouped) chondrites with GEMS in anhydrous, chondritic interplanetary dust particles. Specifically, we compared the amorphous silicate morphology, degree of partial ordering, elemental composition and dominant iron oxidation state. We find that the amorphous silicates in the GEMS-like materials in Paris and Acfer 094 show incipient ordering and are Fe-rich and highly oxidized, while those in GEMS are fully amorphous, Fe-poor, and anhydrous. From examination of various formation routes for the amorphous silicates, we conclude that the GEMS-like material in Paris and Acfer 094 is not GEMS and that it is unlikely that GEMS-like material accreted as primary amorphous material that retained its original amorphous structure since accretion. We also conclude that the presence of GEMS-like amorphous silicates in chondrite matrix is not a reliable indicator for high degrees of primitivity or pristinity since even mild, complex alteration processes may significantly alter silicate structure. Finally, we propose searches for presolar amorphous silicates in chondrite matrix samples that have been precharacterized by transmission electron microscopy methods to enable direct comparisons of presolar amorphous silicate abundances. (C) 2021 The Author(s). Published by Elsevier Ltd.</t>
  </si>
  <si>
    <t>[Ohtaki, Kenta K.; Ishii, Hope A.; Bradley, John P.] Univ Hawaii Manoa, Adv Electron Microscopy Ctr, Hawaii Inst Geophys &amp; Planetol, 1680 East West Rd, Honolulu, HI 96822 USA; [Villalon, Krysten L.; Davis, Andrew M.; Stephan, Thomas] Univ Chicago, Dept Geophys Sci, Chicago, IL 60637 USA; [Villalon, Krysten L.; Davis, Andrew M.; Stephan, Thomas] Chicago Ctr Cosmochem, Chicago, IL USA; [Davis, Andrew M.] Univ Chicago, Enrico Fermi Inst, Chicago, IL 60637 USA; [Bustillo, Karen C.; Ciston, Jim] Lawrence Berkeley Natl Lab, Natl Ctr Electron Microscopy, Mol Foundry, Berkeley, CA USA</t>
  </si>
  <si>
    <t>University of Hawaii System; University of Hawaii Manoa; University of Chicago; University of Chicago; United States Department of Energy (DOE); Lawrence Berkeley National Laboratory</t>
  </si>
  <si>
    <t>Ohtaki, KK (corresponding author), Univ Hawaii Manoa, Adv Electron Microscopy Ctr, Hawaii Inst Geophys &amp; Planetol, 1680 East West Rd, Honolulu, HI 96822 USA.</t>
  </si>
  <si>
    <t>kohtaki@hawaii.edu</t>
  </si>
  <si>
    <t>Ishii, Hope/JOZ-4512-2023; Stephan, Thomas/C-1023-2008</t>
  </si>
  <si>
    <t>Stephan, Thomas/0000-0001-6377-8731; Ohtaki, Kenta/0000-0002-5997-1640; Ishii, Hope/0000-0002-7976-5078</t>
  </si>
  <si>
    <t>Office of Science, Basic Energy Sciences, U.S. Department of Energy [DE-AC02-05CH11231]; NASA [NNX16AK41G, 80NSSC19K0936, 80NSSC17K0251, 80NSSC17K0494]; Presidential Early Career Award for Scientists and Engineers (PECASE) through the U.S. Department of Energy</t>
  </si>
  <si>
    <t>Office of Science, Basic Energy Sciences, U.S. Department of Energy(United States Department of Energy (DOE)); NASA(National Aeronautics &amp; Space Administration (NASA)); Presidential Early Career Award for Scientists and Engineers (PECASE) through the U.S. Department of Energy</t>
  </si>
  <si>
    <t>The authors thank D. Brownlee and D. Joswiak for providing ultramicrotomed sections of several anhydrous IDPs and the pol-ished section of the Acfer 094 meteorite studied in this work. The Museum National d'Histoire Naturelle in Paris, France is also gratefully acknowledged for the loan of the Paris meteorite pol-ished section. This manuscript benefited greatly from detailed reviews and constructive comments by Ashley King and two anonymous reviewers. Work at the Molecular Foundry was sup-ported by the Office of Science, Basic Energy Sciences, U.S. Department of Energy under Contract No. DE-AC02-05CH11231. This research was funded by NASA grants NNX16AK41G and 80NSSC19K0936 to Ishii, 80NSSC17K0251 to Davis, and 80NSSC17K0494 to Villalon. Ciston acknowledges additional support from the Presidential Early Career Award for Scientists and Engineers (PECASE) through the U.S. Department of Energy.</t>
  </si>
  <si>
    <t>10.1016/j.gca.2021.05.042</t>
  </si>
  <si>
    <t>UH0NH</t>
  </si>
  <si>
    <t>WOS:000689637200001</t>
  </si>
  <si>
    <t>Villalon, KL; Ohtaki, KK; Bradley, JP; Ishii, HA; Davis, AM; Stephan, T</t>
  </si>
  <si>
    <t>Villalon, K. L.; Ohtaki, K. K.; Bradley, J. P.; Ishii, H. A.; Davis, A. M.; Stephan, T.</t>
  </si>
  <si>
    <t>Search for meteoritic GEMS II: Comparison of inclusions in amorphous silicates from the Paris chondrite and from anhydrous chondritic interplanetary dust particles</t>
  </si>
  <si>
    <t>Chondrites; GEMS; TEM; Aqueous alteration</t>
  </si>
  <si>
    <t>FINE-GRAINED RIMS; TRANSMISSION ELECTRON-MICROSCOPY; IRON-NICKEL SULFIDES; AQUEOUS ALTERATION; SOLAR NEBULA; CARBONACEOUS CHONDRITE; ORGANIC-MATTER; CM CHONDRITES; TAGISH LAKE; OLIVINE</t>
  </si>
  <si>
    <t>Amorphous silicates containing abundant nano-inclusions have been reported in the Paris CM chondrite (Leroux et al., 2015). They have chemical and morphological similarities to glass with embedded metal and sulfides (GEMS) found in interplanetary dust particles (IDPs) and micrometeorites believed to originate from comets. We used scanning transmission electron microscopy (STEM) with energy-dispersive X-ray spectroscopy (EDS) and nanodiffraction to study the chemistry and mineralogy of these inclusions in order to understand the origin of the GEMS-like material in Paris and its possible relationships to other materials found in primitive chondritic materials including IDP GEMS. EDS and diffraction analyses indicate compositional and mineralogical differences between the nanophase inclusions in cometary GEMS and Paris GEMS-like material. Metal inclusions are notably absent within Paris amorphous silicate. Ni-rich sulfides, including pentlandite, are common in even the least altered matrix material of Paris, while they are absent in GEMS-bearing IDPs and Ultracarbonaceous Antarctic Micrometeorites (UCAMMs). From examination of the inclusions, we cannot yet confirm or refute the possibility that GEMS-like material in Paris is related to cometary GEMS. The distinct compositions and mineralogy of the Paris material may be due to aqueous alteration of cometary GEMS precursors, but they may also denote an independent origin for meteoritic GEMS-like assemblages. (C) 2021 Elsevier Ltd. All rights reserved.</t>
  </si>
  <si>
    <t>[Villalon, K. L.; Davis, A. M.; Stephan, T.] Univ Chicago, Dept Geophys Sci, 5734 S Ellis Ave, Chicago, IL 60637 USA; [Villalon, K. L.; Davis, A. M.; Stephan, T.] Univ Hawaii Manoa, Chicago Ctr Cosmochem, Honolulu, HI 96822 USA; [Ohtaki, K. K.; Bradley, J. P.; Ishii, H. A.] Univ Hawaii Manoa, Hawaii Inst Geophys &amp; Planetol, Honolulu, HI 96822 USA; [Davis, A. M.] Univ Chicago, Enrico Fermi Inst, 5640 S Ellis Ave, Chicago, IL 60637 USA</t>
  </si>
  <si>
    <t>University of Chicago; University of Hawaii System; University of Hawaii Manoa; University of Hawaii System; University of Hawaii Manoa; University of Chicago</t>
  </si>
  <si>
    <t>Villalon, KL (corresponding author), Univ Chicago, Dept Geophys Sci, 5734 S Ellis Ave, Chicago, IL 60637 USA.</t>
  </si>
  <si>
    <t>kvillalon@uchicago.edu</t>
  </si>
  <si>
    <t>Stephan, Thomas/0000-0001-6377-8731; Ishii, Hope/0000-0002-7976-5078; Ohtaki, Kenta/0000-0002-5997-1640</t>
  </si>
  <si>
    <t>NASA Headquarters under the NASA Earth and Space Science Fellowship Program [80NSSC17K0494]; Office of Science, Basic Energy Sciences, U.S. Department of Energy [DE-AC02-05CH11231]; NASA's Laboratory Analysis of Returned Samples (LARS); Emerging Worlds (EW) programs [NNX14AH86G, NNX16AK41G]; LARS [80NSSC17K0250, 80NSSC17K0251]</t>
  </si>
  <si>
    <t>NASA Headquarters under the NASA Earth and Space Science Fellowship Program(National Aeronautics &amp; Space Administration (NASA)); Office of Science, Basic Energy Sciences, U.S. Department of Energy(United States Department of Energy (DOE)); NASA's Laboratory Analysis of Returned Samples (LARS); Emerging Worlds (EW) programs; LARS</t>
  </si>
  <si>
    <t>We thank Matthieu Gounelle and the Museum National d'His-toire Naturelle for providing us with the Paris meteorite sample. The manuscript benefitted from detailed comments by Ashley King and two other reviewers. This work was supported by NASA Headquarters under the NASA Earth and Space Science Fellow-ship Program - Grant 80NSSC17K0494. We thank Karen Bustillo at the Molecular Foundry at Lawrence Berkeley National Labora-tory where portions of this work were performed. The Molecular Foundry is supported by the Office of Science, Basic Energy Sciences, U.S. Department of Energy under Contract No. DE-AC02-05CH11231. HAI acknowledges funding by NASA's Labo-ratory Analysis of Returned Samples (LARS) and Emerging Worlds (EW) programs (NNX14AH86G and NNX16AK41G) . KV, AMD, and TS also acknowledge funding by LARS and EW (80NSSC17K0250 and 80NSSC17K0251) . We also thank Surya Rout and Sheryl Singerling for their helpful discussions.</t>
  </si>
  <si>
    <t>10.1016/j.gca.2021.05.041</t>
  </si>
  <si>
    <t>WOS:000689637200002</t>
  </si>
  <si>
    <t>Stevens, B; Bony, S; Farrell, D; Ament, F; Blyth, A; Fairall, C; Karstensen, J; Quinn, PK; Speich, S; Acquistapace, C; Aemisegger, F; Albright, AL; Bellenger, H; Bodenschatz, E; Caesar, KA; Chewitt-Lucas, R; de Boer, G; Delanoë, J; Denby, L; Ewald, F; Fildier, B; Forde, M; George, G; Gross, S; Hagen, M; Hausold, A; Heywood, KJ; Hirsch, L; Jacob, M; Jansen, F; Kinne, S; Klocke, D; Kölling, T; Konow, H; Lothon, M; Mohr, W; Naumann, AK; Nuijens, L; Olivier, L; Pincus, R; Pöhlker, M; Reverdin, G; Roberts, G; Schnitt, S; Schulz, H; Siebesma, AP; Stephan, CC; Sullivan, P; Touzé-Peiffer, L; Vial, J; Vogel, R; Zuidema, P; Alexander, N; Alves, L; Arixi, S; Asmath, H; Bagheri, G; Baier, K; Bailey, A; Baranowski, D; Baron, A; Barrau, S; Barrett, PA; Batier, F; Behrendt, A; Bendinger, A; Beucher, F; Bigorre, S; Blades, E; Blossey, P; Bock, O; Böing, S; Bosser, P; Bourras, D; Bouruet-Aubertot, P; Bower, K; Branellec, P; Branger, H; Brennek, M; Brewer, A; Brilouet, PE; Brügmann, B; Buehler, SA; Burke, E; Burton, R; Calmer, R; Canonici, JC; Carton, X; Cato, G; Charles, JA; Chazette, P; Chen, YX; Chilinski, MT; Choularton, T; Chuang, P; Clarke, S; Coe, H; Cornet, C; Coutris, P; Couvreux, F; Crewell, S; Cronin, T; Cui, ZQ; Cuypers, Y; Daley, A; Damerell, GM; Dauhut, T; Deneke, H; Desbios, JP; Dörner, S; Donner, S; Douet, V; Drushka, K; Dütsch, M; Ehrlich, A; Emanuel, K; Emmanouilidis, A; Etienne, JC; Etienne-Leblanc, S; Faure, G; Feingold, G; Ferrero, L; Fix, A; Flamant, C; Flatau, PJ; Foltz, GR; Forster, L; Furtuna, I; Gadian, A; Galewsky, J; Gallagher, M; Gallimore, P; Gaston, C; Gentemann, C; Geyskens, N; Giez, A; Gollop, J; Gouirand, I; Gourbeyre, C; de Graaf, D; de Groot, GE; Grosz, R; Güttler, J; Gutleben, M; Hall, K; Harris, G; Helfer, KC; Henze, D; Herbert, C; Holanda, B; Ibanez-Landeta, A; Intrieri, J; Iyer, S; Julien, F; Kalesse, H; Kazil, J; Kellman, A; Kidane, AT; Kirchner, U; Klingebiel, M; Körner, M; Kremper, LA; Kretzschmar, J; Krüger, O; Kumala, W; Kurz, A; L'Hégaret, P; Labaste, M; Lachlan-Cope, T; Laing, A; Landschützer, P; Lang, T; Lange, D; Lange, I; Laplace, C; Lavik, G; Laxenaire, R; Le Bihan, C; Leandro, M; Lefevre, N; Lena, M; Lenschow, D; Li, Q; Lloyd, G; Los, S; Losi, N; Lovell, O; Luneau, C; Makuch, P; Malinowski, S; Manta, G; Marinou, E; Marsden, N; Masson, S; Maury, N; Mayer, B; Mayers-Als, M; Mazel, C; McGeary, W; McWilliams, JC; Mech, M; Mehlmann, M; Meroni, AN; Mieslinger, T; Minikin, A; Minnett, P; Möller, G; Avalos, YM; Muller, C; Musat, I; Napoli, A; Neuberger, A; Noisel, C; Noone, D; Nordsiek, F; Nowak, JL; Oswald, L; Parker, DJ; Peck, C; Person, R; Philippi, M; Plueddemann, A; Pöhlker, C; Pörtge, V; Pöschl, U; Pologne, L; Posyniak, M; Prange, M; Meléndez, EQ; Radtke, J; Ramage, K; Reimann, J; Renault, L; Reus, K; Reyes, A; Ribbe, J; Ringel, M; Ritschel, M; Rocha, CB; Rochetin, N; Röttenbacher, J; Rollo, C; Royer, H; Sadoulet, P; Saffin, L; Sandiford, S; Sandu, I; Schäfer, M; Schemann, V; Schirmacher, I; Schlenczek, O; Schmidt, J; Schröder, M; Schwarzenboeck, A; Sealy, A; Senff, CJ; Serikov, I; Shohan, S; Siddle, E; Smirnov, A; Späth, F; Spooner, B; Stolla, MK; Szkólka, W; de Szoeke, SP; Tarot, S; Tetoni, E; Thompson, E; Thomson, J; Tomassini, L; Totems, J; Ubele, AA; Villiger, L; von Arx, J; Wagner, T; Walther, A; Webber, B; Wendisch, M; Whitehall, S; Wiltshire, A; Wing, AA; Wirth, M; Wiskandt, J; Wolf, K; Worbes, L; Wright, E; Wulfmeyer, V; Young, S; Zhang, CD; Zhang, DX; Ziemen, F; Zinner, T; Zöger, M</t>
  </si>
  <si>
    <t>Stevens, Bjorn; Bony, Sandrine; Farrell, David; Ament, Felix; Blyth, Alan; Fairall, Christopher; Karstensen, Johannes; Quinn, Patricia K.; Speich, Sabrina; Acquistapace, Claudia; Aemisegger, Franziska; Albright, Anna Lea; Bellenger, Hugo; Bodenschatz, Eberhard; Caesar, Kathy-Ann; Chewitt-Lucas, Rebecca; de Boer, Gijs; Delanoe, Julien; Denby, Leif; Ewald, Florian; Fildier, Benjamin; Forde, Marvin; George, Geet; Gross, Silke; Hagen, Martin; Hausold, Andrea; Heywood, Karen J.; Hirsch, Lutz; Jacob, Marek; Jansen, Friedhelm; Kinne, Stefan; Klocke, Daniel; Kolling, Tobias; Konow, Heike; Lothon, Marie; Mohr, Wiebke; Naumann, Ann Kristin; Nuijens, Louise; Olivier, Lea; Pincus, Robert; Pohlker, Mira; Reverdin, Gilles; Roberts, Gregory; Schnitt, Sabrina; Schulz, Hauke; Siebesma, A. Pier; Stephan, Claudia Christine; Sullivan, Peter; Touze-Peiffer, Ludovic; Vial, Jessica; Vogel, Raphaela; Zuidema, Paquita; Alexander, Nicola; Alves, Lyndon; Arixi, Sophian; Asmath, Hamish; Bagheri, Gholamhossein; Baier, Katharina; Bailey, Adriana; Baranowski, Dariusz; Baron, Alexandre; Barrau, Sebastien; Barrett, Paul A.; Batier, Frederic; Behrendt, Andreas; Bendinger, Arne; Beucher, Florent; Bigorre, Sebastien; Blades, Edmund; Blossey, Peter; Bock, Olivier; Boing, Steven; Bosser, Pierre; Bourras, Denis; Bouruet-Aubertot, Pascale; Bower, Keith; Branellec, Pierre; Branger, Hubert; Brennek, Michal; Brewer, Alan; Brilouet, Pierre-Etienne; Brugmann, Bjorn; Buehler, Stefan A.; Burke, Elmo; Burton, Ralph; Calmer, Radiance; Canonici, Jean-Christophe; Carton, Xavier; Cato, Gregory, Jr.; Charles, Jude Andre; Chazette, Patrick; Chen, Yanxu; Chilinski, Michal T.; Choularton, Thomas; Chuang, Patrick; Clarke, Shamal; Coe, Hugh; Cornet, Celine; Coutris, Pierre; Couvreux, Fleur; Crewell, Susanne; Cronin, Timothy; Cui, Zhiqiang; Cuypers, Yannis; Daley, Alton; Damerell, Gillian M.; Dauhut, Thibaut; Deneke, Hartwig; Desbios, Jean-Philippe; Dorner, Steffen; Donner, Sebastian; Douet, Vincent; Drushka, Kyla; Dutsch, Marina; Ehrlich, Andre; Emanuel, Kerry; Emmanouilidis, Alexandros; Etienne, Jean-Claude; Etienne-Leblanc, Sheryl; Faure, Ghislain; Feingold, Graham; Ferrero, Luca; Fix, Andreas; Flamant, Cyrille; Flatau, Piotr Jacek; Foltz, Gregory R.; Forster, Linda; Furtuna, Iulian; Gadian, Alan; Galewsky, Joseph; Gallagher, Martin; Gallimore, Peter; Gaston, Cassandra; Gentemann, Chelle; Geyskens, Nicolas; Giez, Andreas; Gollop, John; Gouirand, Isabelle; Gourbeyre, Christophe; de Graaf, Dorte; de Groot, Geiske E.; Grosz, Robert; Guttler, Johannes; Gutleben, Manuel; Hall, Kashawn; Harris, George; Helfer, Kevin C.; Henze, Dean; Herbert, Calvert; Holanda, Bruna; Ibanez-Landeta, Antonio; Intrieri, Janet; Iyer, Suneil; Julien, Fabrice; Kalesse, Heike; Kazil, Jan; Kellman, Alexander; Kidane, Abiel T.; Kirchner, Ulrike; Klingebiel, Marcus; Korner, Mareike; Kremper, Leslie Ann; Kretzschmar, Jan; Kruger, Ovid; Kumala, Wojciech; Kurz, Armin; L'Hegaret, Pierre; Labaste, Matthieu; Lachlan-Cope, Tom; Laing, Arlene; Landschutzer, Peter; Lang, Theresa; Lange, Diego; Lange, Ingo; Laplace, Clement; Lavik, Gauke; Laxenaire, Remi; Le Bihan, Caroline; Leandro, Mason; Lefevre, Nathalie; Lena, Marius; Lenschow, Donald; Li, Qiang; Lloyd, Gary; Los, Sebastian; Losi, Niccolo; Lovell, Oscar; Luneau, Christopher; Makuch, Przemyslaw; Malinowski, Szymon; Manta, Gaston; Marinou, Eleni; Marsden, Nicholas; Masson, Sebastien; Maury, Nicolas; Mayer, Bernhard; Mayers-Als, Margarette; Mazel, Christophe; McGeary, Wayne; McWilliams, James C.; Mech, Mario; Mehlmann, Melina; Meroni, Agostino Niyonkuru; Mieslinger, Theresa; Minikin, Andreas; Minnett, Peter; Moller, Gregor; Avalos, Yanmichel Morfa; Muller, Caroline; Musat, Ionela; Napoli, Anna; Neuberger, Almuth; Noisel, Christophe; Noone, David; Nordsiek, Freja; Nowak, Jakub L.; Oswald, Lothar; Parker, Douglas J.; Peck, Carolyn; Person, Renaud; Philippi, Miriam; Plueddemann, Albert; Pohlker, Christopher; Portge, Veronika; Poschl, Ulrich; Pologne, Lawrence; Posyniak, Michal; Prange, Marc; Melendez, Estefania Quinones; Radtke, Jule; Ramage, Karim; Reimann, Jens; Renault, Lionel; Reus, Klaus; Reyes, Ashford; Ribbe, Joachim; Ringel, Maximilian; Ritschel, Markus; Rocha, Cesar B.; Rochetin, Nicolas; Rottenbacher, Johannes; Rollo, Callum; Royer, Haley; Sadoulet, Pauline; Saffin, Leo; Sandiford, Sanola; Sandu, Irina; Schafer, Michael; Schemann, Vera; Schirmacher, Imke; Schlenczek, Oliver; Schmidt, Jerome; Schroder, Marcel; Schwarzenboeck, Alfons; Sealy, Andrea; Senff, Christoph J.; Serikov, Ilya; Shohan, Samkeyat; Siddle, Elizabeth; Smirnov, Alexander; Spath, Florian; Spooner, Branden; Stolla, M. Katharina; Szkolka, Wojciech; de Szoeke, Simon P.; Tarot, Stephane; Tetoni, Eleni; Thompson, Elizabeth; Thomson, Jim; Tomassini, Lorenzo; Totems, Julien; Ubele, Alma Anna; Villiger, Leonie; von Arx, Jan; Wagner, Thomas; Walther, Andi; Webber, Ben; Wendisch, Manfred; Whitehall, Shanice; Wiltshire, Anton; Wing, Allison A.; Wirth, Martin; Wiskandt, Jonathan; Wolf, Kevin; Worbes, Ludwig; Wright, Ethan; Wulfmeyer, Volker; Young, Shanea; Zhang, Chidong; Zhang, Dongxiao; Ziemen, Florian; Zinner, Tobias; Zoger, Martin</t>
  </si>
  <si>
    <t>EUREC4A</t>
  </si>
  <si>
    <t>SEA-SURFACE TEMPERATURE; LARGE-EDDY SIMULATIONS; TRADE-WIND CLOUDS; BOUNDARY-LAYER; SHALLOW CUMULUS; OCEAN; MODEL; RAIN; MESOSCALE; SPECTRA</t>
  </si>
  <si>
    <t>The science guiding the EUREC4A campaign and its measurements is presented. EUREC4A comprised roughly 5 weeks of measurements in the downstream winter trades of the North Atlantic - eastward and southeastward of Barbados. Through its ability to characterize processes operating across a wide range of scales, EUREC4A marked a turning point in our ability to observationally study factors influencing clouds in the trades, how they will respond to warming, and their link to other components of the earth system, such as upper-ocean processes or the life cycle of particulate matter. This characterization was made possible by thousands (2500) of sondes distributed to measure circulations on meso- (200 km) and larger (500 km) scales, roughly 400 h of flight time by four heavily instrumented research aircraft; four global-class research vessels; an advanced groundbased cloud observatory; scores of autonomous observing platforms operating in the upper ocean (nearly 10 000 profiles), lower atmosphere (continuous profiling), and along the air-sea interface; a network of water stable isotopologue measurements; targeted tasking of satellite remote sensing; and modeling with a new generation of weather and climate models. In addition to providing an outline of the novel measurements and their composition into a unified and coordinated campaign, the six distinct scientific facets that EUREC4A explored - from North Brazil Current rings to turbulence-induced clustering of cloud droplets and its influence on warm-rain formation - are presented along with an overview of EUREC4A's outreach activities, environmental impact, and guidelines for scientific practice. Track data for all platforms are standardized and accessible at https://doi.org/10.25326/165 (Stevens, 2021), and a film documenting the campaign is provided as a video supplement.</t>
  </si>
  <si>
    <t>[Stevens, Bjorn; Ament, Felix; George, Geet; Hirsch, Lutz; Jansen, Friedhelm; Kinne, Stefan; Kolling, Tobias; Naumann, Ann Kristin; Schulz, Hauke; Stephan, Claudia Christine; Baier, Katharina; Brugmann, Bjorn; Dauhut, Thibaut; de Graaf, Dorte; Kirchner, Ulrike; Klingebiel, Marcus; Landschutzer, Peter; Lang, Theresa; Mieslinger, Theresa; Avalos, Yanmichel Morfa; Neuberger, Almuth; Radtke, Jule; Ringel, Maximilian; Ritschel, Markus; Serikov, Ilya; Stolla, M. Katharina; Worbes, Ludwig] Max Planck Inst Meteorol, Hamburg, Germany; [Bony, Sandrine; Albright, Anna Lea; Bellenger, Hugo; Touze-Peiffer, Ludovic; Vial, Jessica; Vogel, Raphaela; Musat, Ionela; Young, Shanea] Sorbonne Univ, CNRS, LMD, IPSL, Paris, France; [Farrell, David; Caesar, Kathy-Ann; Chewitt-Lucas, Rebecca; Forde, Marvin; Alexander, Nicola; Daley, Alton; Hall, Kashawn; Mayers-Als, Margarette; McGeary, Wayne; Pologne, Lawrence; Reyes, Ashford; Sandiford, Sanola; Sealy, Andrea; Spooner, Branden; Whitehall, Shanice] Caribbean Inst Meteorol &amp; Hydrol, Bridgetown, Barbados; [Ament, Felix; Konow, Heike; Buehler, Stefan A.; Lange, Ingo; Mieslinger, Theresa; Prange, Marc; Schirmacher, Imke] Univ Hamburg, Hamburg, Germany; [Blyth, Alan; Burton, Ralph] Univ Leeds, Natl Ctr Atmospher Sci, Leeds, W Yorkshire, England; [Fairall, Christopher; de Boer, Gijs; Pincus, Robert; Thompson, Elizabeth] NOAA, Phys Sci Lab, Boulder, CO USA; [Karstensen, Johannes; Bendinger, Arne; Korner, Mareike; Mehlmann, Melina; Reus, Klaus; Wiskandt, Jonathan] GEOMAR Helmholtz Ctr Ocean Res Kiel, Kiel, Germany; [Quinn, Patricia K.; Zhang, Chidong; Zhang, Dongxiao] NOAA, PMEL, Seattle, WA USA; [Speich, Sabrina; Fildier, Benjamin; Chen, Yanxu; Manta, Gaston; Muller, Caroline; Rochetin, Nicolas] Ecole Normale Super, CNRS, LMD, IPSL, Paris, France; [Acquistapace, Claudia; Jacob, Marek; Schnitt, Sabrina; Crewell, Susanne; Mech, Mario; Schemann, Vera] Univ Cologne, Inst Geophys &amp; Meteorol, Cologne, Germany; [Aemisegger, Franziska; Villiger, Leonie] Swiss Fed Inst Technol, Inst Atmospher &amp; Climate Sci, Zurich, Switzerland; [Bodenschatz, Eberhard; Bagheri, Gholamhossein; Guttler, Johannes; Ibanez-Landeta, Antonio; Nordsiek, Freja; Schlenczek, Oliver; Schroder, Marcel] Max Planck Inst Dynam &amp; Self Org, Gottingen, Germany; [de Boer, Gijs; Pincus, Robert; Calmer, Radiance; Kazil, Jan; Senff, Christoph J.] Univ Colorado, Cooperat Inst Res Environm Sci, Boulder, CO 80309 USA; [Delanoe, Julien] Univ Versailles St Quentin Yvelines UVSQ, Univ Paris Saclay, LATMOS, IPSL, Guyancourt, France; [Denby, Leif; Boing, Steven; Cui, Zhiqiang; Gadian, Alan; Parker, Douglas J.; Saffin, Leo] Univ Leeds, Leeds, W Yorkshire, England; [Ewald, Florian; Gross, Silke; Hagen, Martin; Hausold, Andrea; Zuidema, Paquita; Fix, Andreas; Giez, Andreas; Gutleben, Manuel; Kurz, Armin; Li, Qiang; Marinou, Eleni; Minikin, Andreas; Oswald, Lothar; Reimann, Jens; Tetoni, Eleni; Wirth, Martin; Zoger, Martin] Deutsches Zentrum Luft &amp; Raumfahrt, Oberpfaffenhofen, Germany; [Heywood, Karen J.; Damerell, Gillian M.; Rollo, Callum; Siddle, Elizabeth; Webber, Ben] Univ East Anglia, Sch Environm Sci, Ctr Ocean &amp; Atmospher Sci, Norwich, Norfolk, England; [Klocke, Daniel] Deutsch Wetterdienst DWD, Hans Ertel Zentrum Wetterforsch, Offenbach, Germany; [Kolling, Tobias; Forster, Linda; Mayer, Bernhard; Moller, Gregor; Portge, Veronika; Zinner, Tobias] Ludwig Maximilians Univ Munchen, Munich, Germany; [Lothon, Marie; Brilouet, Pierre-Etienne] Univ Toulouse, CNRS, Lab Aerol, Toulouse, France; [Mohr, Wiebke; Kidane, Abiel T.; Lavik, Gauke; Philippi, Miriam; von Arx, Jan] Max Planck Inst Marine Microbiol, Bremen, Germany; [Naumann, Ann Kristin; Lang, Theresa; Radtke, Jule] Univ Hamburg, Meteorol Inst, Ctr Earth Syst Res &amp; Sustainabil, Hamburg, Germany; [Nuijens, Louise; Siebesma, A. Pier; de Groot, Geiske E.; Helfer, Kevin C.] Delft Univ Technol, Delft, Netherlands; [Olivier, Lea; Reverdin, Gilles; Bouruet-Aubertot, Pascale; Cuypers, Yannis; Labaste, Matthieu; Lefevre, Nathalie; Masson, Sebastien; Noisel, Christophe; Person, Renaud] Sorbonne Univ, CNRS, IRD, LOCEAN,IPSL,MNHN,UMR7159, Paris, France; [Pohlker, Mira; Dorner, Steffen; Donner, Sebastian; Holanda, Bruna; Kremper, Leslie Ann; Kruger, Ovid; Pohlker, Christopher; Poschl, Ulrich; Ubele, Alma Anna; Wagner, Thomas] Max Planck Inst Chem, Mainz, Germany; [Roberts, Gregory; Arixi, Sophian; Barrau, Sebastien; Beucher, Florent; Couvreux, Fleur; Etienne, Jean-Claude; Faure, Ghislain; Julien, Fabrice; Maury, Nicolas; Sadoulet, Pauline] Univ Toulouse, CNRS, CNRM, Meteo France, Toulouse, France; [Roberts, Gregory; Flatau, Piotr Jacek] Univ Calif San Diego, Scripps Inst Oceanog, San Diego, CA 92103 USA; [Sullivan, Peter; Bailey, Adriana; Lenschow, Donald] Natl Ctr Atmospher Res, POB 3000, Boulder, CO 80307 USA; [Zuidema, Paquita; Gaston, Cassandra; Minnett, Peter; Royer, Haley] Univ Miami, Miami, FL USA; [Alves, Lyndon] Hydrometeorol Serv, Georgetown, Guyana; [Asmath, Hamish] Inst Marine Affairs, Chaguaramas, Trinidad Tobago; [Baranowski, Dariusz; Posyniak, Michal; Szkolka, Wojciech] Polish Acad Sci, Inst Geophys, Warsaw, Poland; [Baron, Alexandre; Chazette, Patrick; Totems, Julien] Univ Paris Saclay, CNRS, CEA, LSCE,IPSL,UVSQ, Gif Sur Yvette, France; [Barrett, Paul A.; Tomassini, Lorenzo] Met Off, Exeter, Devon, England; [Batier, Frederic] Freder Batier Photog, Berlin, Germany; [Behrendt, Andreas; Lange, Diego; Spath, Florian; Wulfmeyer, Volker] Univ Hohenheim, Inst Phys &amp; Meteorol, Stuttgart, Germany; [Bigorre, Sebastien; Plueddemann, Albert] Woods Hole Oceanog Inst, Woods Hole, MA 02543 USA; [Blades, Edmund] Queen Elizabeth Hosp, St Michael, Barbados; [Blossey, Peter] Univ Washington, Dept Atmospher Sci, Seattle, WA 98195 USA; [Bock, Olivier] Inst Phys Globe Paris IPGP, Paris, France; [Bosser, Pierre] CNRS, ENSTA Bretagne, Lab STICC, Brest, France; [Bourras, Denis] Univ Toulon &amp; Var, Aix Marseille Univ, CNRS, IRD,MIO UM 110, Marseille, France; [Bower, Keith; Choularton, Thomas; Coe, Hugh; Gallagher, Martin; Gallimore, Peter; Lloyd, Gary; Marsden, Nicholas] Univ Manchester, Manchester, Lancs, England; [Branellec, Pierre; Le Bihan, Caroline; Tarot, Stephane] French Res Inst Exploitat Sea IFREMER, Brest, France; [Branger, Hubert] CNRS, Inst Rech Phenomenes Hors Equilibre IRPHE, AMU, ECM, Marseille, France; [Brennek, Michal; Chilinski, Michal T.; Grosz, Robert; Kumala, Wojciech; Malinowski, Szymon; Nowak, Jakub L.] Univ Warsaw, Warsaw, Poland; [Brewer, Alan; Feingold, Graham; Kazil, Jan; Senff, Christoph J.] NOAA, Chem Sci Lab, Boulder, CO USA; [Burke, Elmo] St Christopher Air &amp; Sea Ports Author, Basseterre, St Kitts &amp; Nevi; [Canonici, Jean-Christophe; Desbios, Jean-Philippe] CNRS, Serv Avions Francais Instrumentes Rech Environm S, Meteo France, CNES, Cugnaux, France; [Carton, Xavier] Univ Bretagne Occidentale, CNRS, IUEM, LOPS, Brest, France; [Cato, Gregory, Jr.] St Vincent &amp; Grenadines Meteorol Serv, Argyle, St Vincent; [Charles, Jude Andre] Grenada Meteorol Serv, St Georges, Grenada; [Chuang, Patrick; Leandro, Mason] Univ Calif Santa Cruz, Santa Cruz, CA 95064 USA; [Clarke, Shamal] Cayman Islands Natl Weather Serv, Grand Cayman, Cayman Islands; [Cornet, Celine] Univ Lille, CNRS, LOA, Lille, France; [Coutris, Pierre; Gourbeyre, Christophe; Schwarzenboeck, Alfons] Univ Clermont Auvergne, CNRS, LAMP, Clermont Ferrand, France; [Cronin, Timothy; Emanuel, Kerry] MIT, 77 Massachusetts Ave, Cambridge, MA 02139 USA; [Deneke, Hartwig] Leibniz Inst Tropospher Res, Leipzig, Germany; [Douet, Vincent; Ramage, Karim] CNRS, IPSL, Paris, France; [Drushka, Kyla; Iyer, Suneil; Thomson, Jim] Univ Washington, Appl Phys Lab, Seattle, WA 98105 USA; [Dutsch, Marina] Univ Washington, Dept Earth &amp; Space Sci, Seattle, WA 98195 USA; [Dutsch, Marina] Univ Vienna, Dept Meteorol &amp; Geophys, Vienna, Austria; [Ehrlich, Andre; Emmanouilidis, Alexandros; Kalesse, Heike; Kretzschmar, Jan; Rottenbacher, Johannes; Schafer, Michael; Shohan, Samkeyat; Wendisch, Manfred; Wolf, Kevin] Univ Leipzig, Leipzig Inst Meteorol, Leipzig, Germany; [Etienne-Leblanc, Sheryl] Meteorol Dept St Maarten, Simpson Bay, Sint Maarten; [Ferrero, Luca] Univ Milano Bicocca, Gemma Ctr, Milan, Italy; [Flamant, Cyrille] Sorbonne Univ, CNRS, IPSL, LATMOS, Paris, France; [Foltz, Gregory R.] NOAA, Atlantic Oceanog &amp; Meteorol Lab, Miami, FL 33149 USA; [Furtuna, Iulian; Lena, Marius] Compania Fortuna, Sucy En Brie, France; [Galewsky, Joseph; Los, Sebastian] Univ New Mexico, Dept Earth &amp; Planetary Sci, Albuquerque, NM 87131 USA; [Gentemann, Chelle] Farallon Inst, Petaluma, CA USA; [Geyskens, Nicolas] CNRS, DT INSU, Plouzane, France; [Gollop, John; Kellman, Alexander] Barbados Coast Guard, St Michael, Barbados; [Gouirand, Isabelle] Univ West Indies, Cave Hill Campus, Cave Hill, Barbados; [Harris, George; Herbert, Calvert] Reg Secur Syst, Christ Church, Barbados; [Henze, Dean; Melendez, Estefania Quinones; de Szoeke, Simon P.] Oregon State Univ, Coll Earth Ocean &amp; Atmospher Sci, Corvallis, OR 97331 USA; [Intrieri, Janet] NOAA, Earth Syst Res Lab, Boulder, CO USA; [L'Hegaret, Pierre] Univ Bretagne Occidentale, LOPS, Brest, France; [Lachlan-Cope, Tom] British Antarctic Survey, Cambridge, England; [Laing, Arlene] Caribbean Meteorol Org, Port Of Spain, Trinidad Tobago; [Laplace, Clement] Inst Pierre Simon Laplace IPSL, Paris, France; [Laxenaire, Remi; Wright, Ethan] Florida State Univ, Ctr Ocean Atmospher Predict Studies, Tallahassee, FL 32306 USA; [Losi, Niccolo] Univ Milano Bicocca, Milan, Italy; [Lovell, Oscar; Wiltshire, Anton] Trinidad &amp; Tobago Meteorol Serv, Piarco Trinidad, Trinidad Tobago; [Luneau, Christopher] OSU Inst Pytheas, Marseille, France; [Makuch, Przemyslaw] Polish Acad Sci, Inst Oceanol, Sopot, Poland; [Marinou, Eleni] Natl Observ Athens, Athens, Greece; [Mazel, Christophe] Dronexsolution, Toulouse, France; [McGeary, Wayne] Barbados Meteorol Serv, Christ Church, Barbados; [McWilliams, James C.; Renault, Lionel] Univ Calif Los Angeles, Dept Atmospher &amp; Ocean Sci, Los Angeles, CA USA; [Meroni, Agostino Niyonkuru; Napoli, Anna] CIMA Res Fdn, Savona, Italy; [Noone, David] Univ Auckland, Auckland, New Zealand; [Peck, Carolyn] Meteorol Serv, Kingston, Jamaica; [Person, Renaud] Sorbonne Univ, CNRS, IRD, MNHN,INRAE,ENS,OSU Ecce Terra,UMS 3455, Paris, France; [Renault, Lionel] Univ Toulouse, CNRS, LEGOS, IRD,CNES,UPS, Toulouse, France; [Ribbe, Joachim] Univ Southern Queensland, Toowoomba, Qld, Australia; [Rocha, Cesar B.] Univ Connecticut, Groton, CT USA; [Sandu, Irina] European Ctr Medium Range Weather Forecasts, Reading, Berks, England; [Schmidt, Jerome] Naval Res Lab, Monterey, CA USA; [Smirnov, Alexander] Sci Syst &amp; Applicat Inc, Lanham, MD USA; [Walther, Andi] Univ Wisconsin, Madison, WI USA; [Wing, Allison A.] Florida State Univ, Dept Earth Ocean &amp; Atmospher Sci, Tallahassee, FL 32306 USA; Natl Meteorol Serv Belize, Ladyville, Belize; [Zhang, Dongxiao] Univ Washington, Cooperat Inst Climate Ocean &amp; Ecosyst Studies, Seattle, WA 98195 USA; [Ziemen, Florian] Deutsches Klimarechenzentrum GmbH, Hamburg, Germany</t>
  </si>
  <si>
    <t>Max Planck Society; Centre National de la Recherche Scientifique (CNRS); Sorbonne Universite; Ecole des Ponts ParisTech; Universite Paris Cite; University of Hamburg; UK Research &amp; Innovation (UKRI); Natural Environment Research Council (NERC); NERC National Centre for Atmospheric Science; University of Leeds; National Oceanic Atmospheric Admin (NOAA) - USA; Helmholtz Association; GEOMAR Helmholtz Center for Ocean Research Kiel; National Oceanic Atmospheric Admin (NOAA) - USA; Universite PSL; Ecole Normale Superieure (ENS); Universite Paris Cite; Ecole des Ponts ParisTech; Centre National de la Recherche Scientifique (CNRS); University of Cologne; Swiss Federal Institutes of Technology Domain; ETH Zurich; Max Planck Society; University of Colorado System; University of Colorado Boulder; Universite Paris Cite; Sorbonne Universite; Universite Paris Saclay; University of Leeds; Helmholtz Association; German Aerospace Centre (DLR); University of East Anglia; Deutscher Wetterdienst; University of Munich; Universite de Toulouse; Universite Toulouse III - Paul Sabatier; Centre National de la Recherche Scientifique (CNRS); Max Planck Society; University of Hamburg; Delft University of Technology; Universite Paris Cite; Institut de Recherche pour le Developpement (IRD); Museum National d'Histoire Naturelle (MNHN); Sorbonne Universite; Centre National de la Recherche Scientifique (CNRS); CNRS - National Institute for Earth Sciences &amp; Astronomy (INSU); Max Planck Society; Centre National de la Recherche Scientifique (CNRS); University of California System; University of California San Diego; Scripps Institution of Oceanography; National Center Atmospheric Research (NCAR) - USA; University of Miami; Polish Academy of Sciences; Institute of Geophysics of the Polish Academy of Sciences; Universite Paris Saclay; Universite Paris Cite; CEA; Centre National de la Recherche Scientifique (CNRS); Met Office - UK; University Hohenheim; Woods Hole Oceanographic Institution; University of Washington; University of Washington Seattle; Universite Paris Cite; Universite de Bretagne Occidentale; ENSTA Bretagne; Centre National de la Recherche Scientifique (CNRS); Universite de Toulon; Institut de Recherche pour le Developpement (IRD); Centre National de la Recherche Scientifique (CNRS); Aix-Marseille Universite; University of Manchester; Ifremer; Aix-Marseille Universite; Centre National de la Recherche Scientifique (CNRS); University of Warsaw; National Oceanic Atmospheric Admin (NOAA) - USA; Meteo France; Centre National de la Recherche Scientifique (CNRS); Universite de Bretagne Occidentale; Institut Universitaire Europeen de la Mer (IUEM); Centre National de la Recherche Scientifique (CNRS); Ifremer; University of California System; University of California Santa Cruz; Centre National de la Recherche Scientifique (CNRS); Universite de Lille; Centre National de la Recherche Scientifique (CNRS); Universite Clermont Auvergne (UCA); Massachusetts Institute of Technology (MIT); Leibniz Institut fur Tropospharenforschung (TROPOS); Centre National de la Recherche Scientifique (CNRS); Universite Paris Cite; University of Washington; University of Washington Seattle; University of Washington; University of Washington Seattle; University of Vienna; Leipzig University; University of Milano-Bicocca; Sorbonne Universite; Universite Paris Saclay; Centre National de la Recherche Scientifique (CNRS); Universite Paris Cite; National Oceanic Atmospheric Admin (NOAA) - USA; Atlantic Oceanographic &amp; Meteorological Laboratory (AOML); University of New Mexico; Centre National de la Recherche Scientifique (CNRS); Universite de Bretagne Occidentale; University West Indies Mona Jamaica; University West Indies Cave Hill Campus; Oregon State University; National Oceanic Atmospheric Admin (NOAA) - USA; Universite de Bretagne Occidentale; Ifremer; UK Research &amp; Innovation (UKRI); Natural Environment Research Council (NERC); NERC British Antarctic Survey; State University System of Florida; Florida State University; University of Milano-Bicocca; Polish Academy of Sciences; Institute of Oceanology of the Polish Academy of Sciences; National Observatory of Athens; University of California System; University of California Los Angeles; University of Auckland; Centre National de la Recherche Scientifique (CNRS); CNRS - National Institute for Earth Sciences &amp; Astronomy (INSU); Institut de Recherche pour le Developpement (IRD); INRAE; Universite PSL; Ecole Normale Superieure (ENS); Sorbonne Universite; Museum National d'Histoire Naturelle (MNHN); Universite de Toulouse; Universite Toulouse III - Paul Sabatier; Centre National de la Recherche Scientifique (CNRS); Institut de Recherche pour le Developpement (IRD); Laboratoire d'Etudes en Geophysique et oceanographie spatiales; University of Southern Queensland; University of Connecticut; European Centre for Medium-Range Weather Forecasts (ECMWF); United States Department of Defense; United States Navy; Naval Research Laboratory; Science Systems and Applications Inc; University of Wisconsin System; University of Wisconsin Madison; State University System of Florida; Florida State University; University of Washington; University of Washington Seattle</t>
  </si>
  <si>
    <t>Stevens, B (corresponding author), Max Planck Inst Meteorol, Hamburg, Germany.;Bony, S (corresponding author), Sorbonne Univ, CNRS, LMD, IPSL, Paris, France.</t>
  </si>
  <si>
    <t>bjorn.stevens@mpimet.mpg.de; sandrine.bony@lmd.ipsl.fr</t>
  </si>
  <si>
    <t>Heywood, Karen J/L-1757-2016; Karstensen, Johannes/A-8534-2013; Foltz, Gregory/B-8710-2011; Renault, Lionel/GPS-8982-2022; feingold, graham/B-6152-2009; Buehler, Stefan Alexander/A-4056-2009; Morfa Avalos, Yanmichel/HLH-1752-2023; Zinner, Tobias/B-8991-2013; Pöschl, Ulrich/A-6263-2010; Cuypers, Yannis/H-9869-2016; Chilinski, Michal T./JAX-4581-2023; Iyer, Suneil/CAG-8533-2022; Zhang, Cheng/JAD-2236-2023; Wendisch, Manfred/E-4175-2013; Mayer, Bernhard/B-3397-2011; Minikin, Andreas/A-3904-2011; Rochetin, Nicolas/ABC-9655-2020; Körner, Mareike/JJC-4366-2023; Zhang, Ge/KGL-7634-2024; Saffin, Leo/AAD-1907-2022; Pöhlker, Christopher/S-5207-2016; Rocha, Cesar B/AAH-9720-2019; Blossey, Peter/IYJ-5220-2023; Zuidema, Paquita/C-9659-2013; Tetoni, Eleni/M-2063-2017; Marinou, Eleni/K-5793-2013; Speich, Sabrina/L-3780-2014; Pöhlker, Mira L/N-2835-2017; carton, xavier j/A-1895-2016; Krüger, Ovid Oktavian/CAH-3165-2022; Stephan, Claudia Christine/AAL-4455-2020; Bodenschatz, Eberhard/JMQ-6200-2023; zhang, chao/IXD-9965-2023; Ehrlich, André/H-9670-2013; Nowak, Jakub L/Q-4772-2018; Emanuel, Kerry/JPL-6089-2023; de Boer, Gijs/AAM-2613-2020; Acquistapace, Claudia/HMV-0404-2023; MERONI, AGOSTINO NIYONKURU/GWM-6177-2022; Bellenger, Hugo/B-1394-2010; Kalesse-Los, Heike/N-7166-2019; Pincus, Robert/B-1723-2013; Landschützer, Peter/IQU-3835-2023; Cui, Zhiqiang/B-4894-2014; Bosser, Pierre/AAA-4880-2022; Stevens, Bjorn/A-1757-2013; Kazil, Jan/B-7652-2013; Crewell, Susanne/O-1640-2013; Li, Qiang/HGT-8278-2022; UzK, IGMK/HGU-4003-2022; zhang, chao/HTO-2468-2023; Rochetin, Nicolas/GRJ-5238-2022; MERONI, AGOSTINO NIYONKURU/ABA-3544-2020; Ewald, Florian/IXN-3081-2023; Malinowski, Szymon Piotr/A-5237-2010; feingold, graham/AAQ-2010-2020; Boeing, Steven/JTV-6658-2023; Gutleben, Manuel/AAC-8967-2022; Flatau, Piotr J/E-2219-2011; Barrett, Paul/HCH-2203-2022; Senff, Christoph J/I-2592-2013; Laxenaire, Rémi/HTM-5210-2023; 1294, HALO SPP/AAA-7658-2021; Bagheri, Gholamhossein/AAV-3002-2021; masson, sebastien/F-9780-2011; Baron, Alexandre A./GWZ-6334-2022; Parker, Douglas/O-8051-2015; Aemisegger, Franziska/G-5340-2018; Fildier, Benjamin/N-9305-2013</t>
  </si>
  <si>
    <t>Karstensen, Johannes/0000-0001-5044-7079; Renault, Lionel/0000-0002-3001-2091; feingold, graham/0000-0002-0774-2926; Cuypers, Yannis/0000-0001-9651-154X; Iyer, Suneil/0000-0001-5227-5354; Wendisch, Manfred/0000-0002-4652-5561; Rochetin, Nicolas/0000-0002-8976-7317; Körner, Mareike/0000-0002-8322-1866; Saffin, Leo/0000-0002-6744-7785; Rocha, Cesar B/0000-0003-4063-5468; Zuidema, Paquita/0000-0003-4719-372X; Marinou, Eleni/0000-0003-2631-6057; Speich, Sabrina/0000-0002-5452-8287; Krüger, Ovid Oktavian/0000-0002-3321-6655; Stephan, Claudia Christine/0000-0001-5736-1948; Ehrlich, André/0000-0003-0860-8216; Nowak, Jakub L/0000-0002-3179-1576; de Boer, Gijs/0000-0003-4652-7150; Acquistapace, Claudia/0000-0002-1144-4753; MERONI, AGOSTINO NIYONKURU/0000-0001-5504-632X; Kalesse-Los, Heike/0000-0001-6699-7040; Pincus, Robert/0000-0002-0016-3470; Landschützer, Peter/0000-0002-7398-3293; Cui, Zhiqiang/0000-0002-0769-8937; Bosser, Pierre/0000-0001-5439-9860; Stevens, Bjorn/0000-0003-3795-0475; Crewell, Susanne/0000-0003-1251-5805; Li, Qiang/0000-0003-1951-8144; Rochetin, Nicolas/0000-0002-8976-7317; MERONI, AGOSTINO NIYONKURU/0000-0001-5504-632X; Malinowski, Szymon Piotr/0000-0003-4987-7017; Gutleben, Manuel/0000-0002-1515-6193; Barrett, Paul/0000-0002-3763-0909; Bagheri, Gholamhossein/0000-0002-3707-4754; masson, sebastien/0000-0002-1694-8117; Baron, Alexandre A./0000-0002-0332-9579; Minikin, Andreas/0000-0003-0999-4657; Parker, Douglas/0000-0003-2335-8198; Grosz, Robert/0000-0002-5588-2261; Philippi, Miriam/0000-0003-4822-1745; Rollo, Callum/0000-0002-5134-7886; Losi, Niccolo/0000-0001-6441-8615; Klocke, Daniel/0000-0001-7405-013X; Gallagher, Martin/0000-0002-4968-6088; Dutsch, Marina/0000-0002-1128-4198; Baranowski, Dariusz/0000-0001-8848-3884; Douet, Vincent/0000-0003-2246-0879; Ribbe, Joachim/0000-0001-6749-1228; Schnitt, Sabrina/0000-0002-3949-770X; de Szoeke, Simon/0000-0003-2017-473X; Aemisegger, Franziska/0000-0002-4022-9825; Jacob, Marek/0000-0001-9059-6458; Galewsky, Joseph/0000-0001-8236-6839; Cornet, Charles/0000-0002-1363-7401; Neuberger, Almuth/0000-0001-9697-3058; Roberts, Greg/0000-0002-3636-8590; Fildier, Benjamin/0000-0002-6058-7769; Tetoni, Eleni/0000-0003-3441-8803; Vogel, Raphaela/0000-0002-8666-5147; Siddle, Elizabeth/0000-0002-2431-8107; Damerell, Gillian/0000-0001-5808-0822; Vial, Jessica/0000-0001-7919-7763; Chilinski, Michal T./0000-0002-3496-9966; Flatau, Piotr Jacek/0000-0003-3487-5764; Zinner, Tobias/0000-0001-8340-2985; Le Bihan, Caroline/0000-0002-8737-2530; Burton, Ralph/0000-0002-2614-0074; Schirmacher, Imke/0000-0003-4438-3077; Radtke, Jule/0000-0002-0387-5860; Jansen, Friedhelm/0000-0002-1578-7227; Ziemen, Florian Andreas/0000-0001-7095-5740; Klingebiel, Marcus/0000-0002-1544-6668; Brilouet, Pierre-Etienne/0000-0002-1551-4966; Brennek, Michal/0000-0002-3374-3965; Schlenczek, Oliver/0000-0001-7247-465X; Villiger, Leonie/0000-0002-8595-2339; Kocher, Gregor/0000-0003-1586-6774; Mech, Mario/0000-0001-6229-9616; Laxenaire, Remi/0000-0001-5157-1821; Ritschel, Markus/0000-0001-7464-7075</t>
  </si>
  <si>
    <t>government of Barbados; Max Planck Society; German Research Foundation (DFG); German Federal Ministry of Education and Research [GPF18-1_69, GPF18-2_50]; European Research Council (ERC) advanced grant EUREC4A [694768]; European Union [817578]; CNES (the French National Centre for Space Studies) through the EECLAT proposal, Meteo-France [820829]; French AERIS Research Infrastructure; Natural Environment Research Council [NE/S015868/1, NE/S015752/1, NE/S015779/1]; ERC under the European Union [74110]; French national program LEFE INSU; IFREMER; CNES; French research infrastructures AERIS; Chaire Chanel program of the Geosciences Department at ENS; NOAA's Climate Variability and Prediction Program within the Climate Program Office [GC19-305, GC19-301]; NOAA [NA15OAR4320063]; NOAA's Climate Program Office; NOAA/AOML's Physical Oceanography Division; Swiss National Science Foundation [188731]; UAS Program Office, Climate Program Office, and Physical Sciences Laboratory; US National Science Foundation (NSF) [AGS-1938108]; Deutsche Forschungsgemeinschaft (DFG, German Research Foundation) under Germany's Excellence Strategy -EXC [2037, 390683824]; Poland's National Science Centre [UMO-2018/30/M/ST10/00674]; Foundation for Polish Science [POIR.04.04.00-00-3FD6/17-02]; NERC [NE/S015868/1, bas0100032, NE/S015752/1, NE/S015779/1] Funding Source: UKRI</t>
  </si>
  <si>
    <t>government of Barbados; Max Planck Society(Max Planck Society); German Research Foundation (DFG)(German Research Foundation (DFG)); German Federal Ministry of Education and Research(Federal Ministry of Education &amp; Research (BMBF)); European Research Council (ERC) advanced grant EUREC4A(European Research Council (ERC)); European Union(European Union (EU)); CNES (the French National Centre for Space Studies) through the EECLAT proposal, Meteo-France; French AERIS Research Infrastructure; Natural Environment Research Council(UK Research &amp; Innovation (UKRI)Natural Environment Research Council (NERC)); ERC under the European Union(European Research Council (ERC)); French national program LEFE INSU; IFREMER; CNES(Centre National D'etudes Spatiales); French research infrastructures AERIS; Chaire Chanel program of the Geosciences Department at ENS; NOAA's Climate Variability and Prediction Program within the Climate Program Office; NOAA(National Oceanic Atmospheric Admin (NOAA) - USA); NOAA's Climate Program Office(National Oceanic Atmospheric Admin (NOAA) - USA); NOAA/AOML's Physical Oceanography Division; Swiss National Science Foundation(Swiss National Science Foundation (SNSF)); UAS Program Office, Climate Program Office, and Physical Sciences Laboratory; US National Science Foundation (NSF)(National Science Foundation (NSF)); Deutsche Forschungsgemeinschaft (DFG, German Research Foundation) under Germany's Excellence Strategy -EXC(German Research Foundation (DFG)); Poland's National Science Centre; Foundation for Polish Science(Foundation for Polish Science); NERC(UK Research &amp; Innovation (UKRI)Natural Environment Research Council (NERC))</t>
  </si>
  <si>
    <t>This research has been supported by the people and government of Barbados; the Max Planck Society and its supporting members; the German Research Foundation (DFG) and the German Federal Ministry of Education and Research (grant nos. GPF18-1_69 and GPF18-2_50); the European Research Council (ERC) advanced grant EUREC4A (grant agreement no. 694768) under the European Union's Horizon 2020 research and innovation program (H2020), with additional support from CNES (the French National Centre for Space Studies) through the EECLAT proposal, Meteo-France, the CONSTRAIN H2020 project (grant agreement no. 820829), and the French AERIS Research Infrastructure; the Natural Environment Research Council (NE/S015868/1, NE/S015752/1, and NE/S015779/1); ERC under the European Union's H2020 program (COMPASS, advanced grant agreement no. 74110); the French national program LEFE INSU, by IFREMER, the French research fleet, CNES, the French research infrastructures AERIS and ODATIS, IPSL, the Chaire Chanel program of the Geosciences Department at ENS, and the European Union's Horizon 2020 research and innovation program under grant agreement no. 817578 TRIATLAS; NOAA's Climate Variability and Prediction Program within the Climate Program Office (grant nos. GC19-305 and GC19-301); NOAA cooperative agreement NA15OAR4320063; NOAA's Climate Program Office and base funds to NOAA/AOML's Physical Oceanography Division; Swiss National Science Foundation grant no. 188731; the UAS Program Office, Climate Program Office, and Physical Sciences Laboratory and by the US National Science Foundation (NSF) through grant AGS-1938108; Deutsche Forschungsgemeinschaft (DFG, German Research Foundation) under Germany's Excellence Strategy -EXC 2037 CLICCS -Climate, Climatic Change, and Society -project no. 390683824; and Poland's National Science Centre grant no. UMO-2018/30/M/ST10/00674 and Foundation for Polish Science grant no. POIR.04.04.00-00-3FD6/17-02.</t>
  </si>
  <si>
    <t>10.5194/essd-13-4067-2021</t>
  </si>
  <si>
    <t>UJ4YC</t>
  </si>
  <si>
    <t>Green Published, Green Submitted, Green Accepted, gold</t>
  </si>
  <si>
    <t>WOS:000691291500001</t>
  </si>
  <si>
    <t>Baker, CM; Buckman-Young, RS; Costa, CS; Giribet, G</t>
  </si>
  <si>
    <t>Baker, Caitlin M.; Buckman-Young, Rebecca S.; Costa, Cristiano S.; Giribet, Gonzalo</t>
  </si>
  <si>
    <t>Phylogenomic Analysis of Velvet Worms (Onychophora) Uncovers an Evolutionary Radiation in the Neotropics</t>
  </si>
  <si>
    <t>biogeography; dispersal; Gondwana; Onychophora; systematics; vicariance</t>
  </si>
  <si>
    <t>ALLOZYME EVIDENCE; CARIBBEAN REGION; REVEALS; TREE; PERIPATOPSIDAE; PERIPATIDAE; MITOCHONDRIAL; SUPPORT; GENOME; DIVERSIFICATION</t>
  </si>
  <si>
    <t>Onychophora (velvet worms) are charismatic soil invertebrates known for their status as a living fossil, their phylogenetic affiliation to arthropods, and their distinctive biogeographic patterns. However, several aspects of their internal phylogenetic relationships remain unresolved, limiting our understanding of the group's evolutionary history, particularly with regard to changes in reproductive mode and dispersal ability. To address these gaps, we used RNA sequencing and phylogenomic analysis of transcriptomes to reconstruct the evolutionary relationships and infer divergence times within the phylum. We recovered a fully resolved and well-supported phylogeny for the circum-Antarctic family Peripatopsidae, which retains signals of Gondwanan vicariance and showcases the evolutionary lability of reproductive mode in the family. Within the Neotropical Glade of Peripatidae, though, we found that amino acid-translated sequence data masked nearly all phylogenetic signal, resulting in highly unstable and poorly supported relationships. Analyses using nucleotide sequence data were able to resolve many more relationships, though we still saw discordant phylogenetic signal between genes, probably indicative of a rapid, mid-Cretaceous radiation in the group. Finally, we hypothesize that the unique reproductive mode of placentotrophic viviparity found in all Neotropical peripatids may have facilitated the multiple inferred instances of over-water dispersal and establishment on oceanic islands.</t>
  </si>
  <si>
    <t>[Baker, Caitlin M.; Buckman-Young, Rebecca S.; Giribet, Gonzalo] Harvard Univ, Museum Comparat Zool, Dept Organism &amp; Evolutionary Biol, Cambridge, MA 02138 USA; [Costa, Cristiano S.] Univ Fed Mato Grosso, Inst Biociencias, Dept Biol &amp; Zool, Lab Sistemat &amp; Taxon Artropodes Terr, Cuiaba, Brazil; [Baker, Caitlin M.] Univ Wisconsin, Dept Integrat Biol, Madison, WI USA</t>
  </si>
  <si>
    <t>Harvard University; Universidade Federal de Mato Grosso; University of Wisconsin System; University of Wisconsin Madison</t>
  </si>
  <si>
    <t>Baker, CM (corresponding author), Harvard Univ, Museum Comparat Zool, Dept Organism &amp; Evolutionary Biol, Cambridge, MA 02138 USA.</t>
  </si>
  <si>
    <t>cmbaker6@wisc.edu</t>
  </si>
  <si>
    <t>Sampaio Costa, Cristiano/X-6310-2018; Giribet, Gonzalo/P-1086-2015</t>
  </si>
  <si>
    <t>Sampaio Costa, Cristiano/0000-0002-0047-9328; Giribet, Gonzalo/0000-0002-5467-8429; Baker, Caitlin/0000-0002-9782-4959</t>
  </si>
  <si>
    <t>FAS Division of Science at Harvard University; National Science Foundation [DEB-1457539, DEB-1144417]; National Geographic Society [9043-11]; Museum of Comparative Zoology (MCZ); Putnam Expedition Grants Program from the MCZ; National Science Foundation Graduate Research Fellowship; Sao Paulo Research Foundation (FAPESP) [2011/20211-0, 2012/029696, 2014/20557-2]; Wetmore Colles fund; Fundacao de Amparo a Pesquisa do Estado de Sao Paulo (FAPESP) [11/20211-0, 14/20557-2] Funding Source: FAPESP</t>
  </si>
  <si>
    <t>FAS Division of Science at Harvard University; National Science Foundation(National Science Foundation (NSF)); National Geographic Society(National Geographic Society); Museum of Comparative Zoology (MCZ); Putnam Expedition Grants Program from the MCZ; National Science Foundation Graduate Research Fellowship(National Science Foundation (NSF)); Sao Paulo Research Foundation (FAPESP)(Fundacao de Amparo a Pesquisa do Estado de Sao Paulo (FAPESP)); Wetmore Colles fund; Fundacao de Amparo a Pesquisa do Estado de Sao Paulo (FAPESP)(Fundacao de Amparo a Pesquisa do Estado de Sao Paulo (FAPESP))</t>
  </si>
  <si>
    <t>We thank all the people who helped collect specimens for this project: Yusseff Aguirre, Ligia Benavides, Juan Bernal (in memoriam), Sarah Boyer, Jimmy Cabra Garcia, C. A. Car, Amazonas Chagas, Jr., Gerardo Contreras, Julia Cosgrove, Savel Daniels, Bo Joakim Eriksson, Luis Espinasa, Gustavo Hormiga, Joanne Johnson, Manoela Karam-Gemael, Jill Oberski, Christine Palmer, Abel Perez-Gonzalez, Lorenzo Prendini, Mike Rix, Prashant Sharma, Noel Tait, L. Thornber, Ana Tourinho, JulianneWaldock, JeremyWilson, S. Zuiddam, and especially Michael Branstetter. Ligia Benavides, Robin Hopkins, Vanessa Knutson, Chris Laumer, Andrew Ontano, and Carlos Santibanez Lopez all provided a helpful discussion on this project. Adam Baldinger provided collections support at the MCZ. Computations for this project were done on the Odyssey and Cannon clusters, supported by the FAS Division of Science at Harvard University. The associate editor and four anonymous reviewers provided comments that helped improve this study. This work was supported by the National Science Foundation [DEB-1457539, DEB-1144417]; the National Geographic Society [9043-11]; internal funds from the Museum of Comparative Zoology (MCZ); and the Putnam Expedition Grants Program from the MCZ, all to G.G. C.M.B. was supported by a National Science Foundation Graduate Research Fellowship. The fieldwork of C.S.C. was supported by fellowships from the Sao Paulo Research Foundation (FAPESP) [2011/20211-0, 2012/029696, and 2014/20557-2]. Published by a grant from the Wetmore Colles fund.</t>
  </si>
  <si>
    <t>10.1093/molbev/msab251</t>
  </si>
  <si>
    <t>WOS:000741368600012</t>
  </si>
  <si>
    <t>Bennett, JC; Robertson, DE; Wang, QJ; Li, M; Perraud, JM</t>
  </si>
  <si>
    <t>Bennett, James C.; Robertson, David E.; Wang, Quan J.; Li, Ming; Perraud, Jean-Michel</t>
  </si>
  <si>
    <t>Propagating reliable estimates of hydrological forecast uncertainty to many lead times</t>
  </si>
  <si>
    <t>JOURNAL OF HYDROLOGY</t>
  </si>
  <si>
    <t>Ensemble flood prediction; Streamflow forecasting; Error modelling; Autocorrelation; Reliability; Nested gauges</t>
  </si>
  <si>
    <t>RAINFALL-RUNOFF MODELS; PRECIPITATION FORECASTS; PARAMETER-ESTIMATION; ENSEMBLE; CALIBRATION; ERRORS</t>
  </si>
  <si>
    <t>We propose a revised version of the ERRIS (error reduction and representation in stages) error model capable of reliably propagating hydrological uncertainty to long lead times (&gt;150 time steps). ERRIS employs four stages: a transformation to handle heteroscedasticity, a moving average bias-correction, an autoregressive model and two mixture Gaussian distributions. To propagate uncertainty through multiple lead times, ERRIS makes use of a technique termed 'stochastic updating'. Ensemble spread at long lead times is partly controlled by the interplay of the autoregression coefficient. and the width of the error distribution. When. approaches 1 and the error distribution is wide, this causes over-wide ensemble distributions at long lead times. We control this interplay with the moving average bias-correction, which reduces the value of. and the width of the error distribution, resulting in reliable ensembles at long lead times. An additional control on the width of the ensemble at longer lead times is a restriction applied to the autoregressive model. This restriction guards against large over-corrections, which can lead to very poor forecasts. Applying the restriction when parameters are inferred can result in over-wide residual distributions. We propose the simple expedient of applying the restriction only when forecasts are generated, not when parameters are inferred. We show through a comparison with an earlier version of ERRIS that this produces more reliable ensemble distributions at long lead times, whilst still guarding against overcorrection. The resulting error model is simple and computationally efficient, and thus suitable for deployment in operational streamflow forecasting systems.</t>
  </si>
  <si>
    <t>[Bennett, James C.; Robertson, David E.] Commonwealth Sci &amp; Ind Res Org CSIRO, Clayton, Vic 3168, Australia; [Bennett, James C.] Univ Tasmania, Inst Marine &amp; Antarctic Studies, Battery Point 7004, Australia; [Wang, Quan J.] Univ Melbourne, Sch Engn, Parkville, Vic 3052, Australia; [Li, Ming] Commonwealth Sci &amp; Ind Res Org CSIRO, Data61, Kensington, NSW 6151, Australia; [Perraud, Jean-Michel] Commonwealth Sci &amp; Ind Res Org CSIRO, Black Mountain 2601, Australia</t>
  </si>
  <si>
    <t>Commonwealth Scientific &amp; Industrial Research Organisation (CSIRO); University of Tasmania; University of Melbourne; Commonwealth Scientific &amp; Industrial Research Organisation (CSIRO); Commonwealth Scientific &amp; Industrial Research Organisation (CSIRO)</t>
  </si>
  <si>
    <t>Bennett, JC (corresponding author), CSIRO Land &amp; Water, Private Bag 10, Clayton, Vic 3169, Australia.</t>
  </si>
  <si>
    <t>james.bennett@csiro.au</t>
  </si>
  <si>
    <t>Bennett, James/C-8456-2013; Robertson, David/C-3643-2011; Perraud, Jean-Michel/I-5776-2013</t>
  </si>
  <si>
    <t>Bennett, James/0000-0002-4930-2638; Robertson, David/0000-0003-4230-8006;</t>
  </si>
  <si>
    <t>Water Information Research and Development Alliance (WIRADA) [LP170100922]</t>
  </si>
  <si>
    <t>Water Information Research and Development Alliance (WIRADA)</t>
  </si>
  <si>
    <t>This research has been supported by the Water Information Research and Development Alliance (WIRADA) between the Bureau of Meteorology and CSIRO Land &amp; Water, and by ARC linkage project LP170100922. We thank Prasantha Hapuarachchi and Jayaratne Liyanage (both Bureau of Meteorology) for supplying the catchment delineations and data. All data and model runs used in this paper are available from CSIRO's data access portal at https://data.csiro.au/co llections/collection/CIcsiro:51355v1. Matlab and C++ code used to generate simulations and forecasts, and to verify forecasts, are available on request; license conditions apply.</t>
  </si>
  <si>
    <t>0022-1694</t>
  </si>
  <si>
    <t>1879-2707</t>
  </si>
  <si>
    <t>J HYDROL</t>
  </si>
  <si>
    <t>J. Hydrol.</t>
  </si>
  <si>
    <t>10.1016/j.jhydrol.2021.126798</t>
  </si>
  <si>
    <t>Engineering, Civil; Geosciences, Multidisciplinary; Water Resources</t>
  </si>
  <si>
    <t>Engineering; Geology; Water Resources</t>
  </si>
  <si>
    <t>WF4YZ</t>
  </si>
  <si>
    <t>WOS:000706313000008</t>
  </si>
  <si>
    <t>Wang, YZ; Zhao, YQ; Wang, YM; Zhao, WH; Wang, P; Chi, CF; Wang, B</t>
  </si>
  <si>
    <t>Wang, Yue-Zhen; Zhao, Yu-Qin; Wang, Yu-Mei; Zhao, Wen-Hao; Wang, Peng; Chi, Chang-Feng; Wang, Bin</t>
  </si>
  <si>
    <t>Antioxidant peptides from Antarctic Krill (Euphausia superba) hydrolysate: Preparation, identification and cytoprotection on H2O2-induced oxidative stress</t>
  </si>
  <si>
    <t>JOURNAL OF FUNCTIONAL FOODS</t>
  </si>
  <si>
    <t>Antioxidant peptide; Radical scavenging activity; Oxidative stress; Cytoprotection; Antarctic Krill (Euphausia superba)</t>
  </si>
  <si>
    <t>PROTEIN HYDROLYSATE; PURIFICATION; APOPTOSIS; DAMAGE; HYDROLYZATE; BRAIN</t>
  </si>
  <si>
    <t>The aim of this study was to purify and identify antioxidant peptides from Antarctic Krill hydrolysate and elucidate their cytoprotection mechanisms on H2O2-induced oxidative stress in Chang liver cells. Using ultrafiltration and chromatographic methods, twelve peptides were purified from the Antarctic Krill hydrolysate and identified as AEK, VEK, VEKT, AEKTR, IEN, VEKGK, LKPGN, IEKG, LQP, ATH, IEKT, and IDSQ. LKPGN and LQP exhibited high scavenging activities on HO center dot, DPPH center dot, and O2-center dot. Moreover, LKPGN and LQP can protect Chang liver cells against H2O2-induced oxidative stress by increasing cell viability and decreasing the apoptosis rate. The mechanism indicated that LKPGN and LQP could concentration-dependently increase the antioxidant enzyme (SOD and GSH-PX) levels to scavenge excess ROS, increase mitochondrial membrane potential, and decrease DNA damage and MDA content. Therefore, LKPGN and LQP from Antarctic Krill could serve as promising candidates applied in health-promoting products.</t>
  </si>
  <si>
    <t>[Wang, Yue-Zhen; Zhao, Yu-Qin; Wang, Yu-Mei; Zhao, Wen-Hao; Wang, Bin] Zhejiang Ocean Univ, Sch Food &amp; Pharm, Zhejiang Prov Engn Technol Res Ctr Marine Biomed, Zhoushan 316022, Peoples R China; [Chi, Chang-Feng] Zhejiang Ocean Univ, Sch Marine Sci &amp; Technol, Natl Engn Res Ctr Marine Facil Aquaculture, Natl &amp; Prov Joint Lab Explorat &amp; Utilizat Marine, Zhoushan 316022, Peoples R China; [Wang, Peng] Ocean Univ China, Coll Food Sci &amp; Engn, Qingdao 266003, Peoples R China</t>
  </si>
  <si>
    <t>Zhejiang Ocean University; Chinese Academy of Sciences; Zhejiang Ocean University; Ocean University of China</t>
  </si>
  <si>
    <t>Wang, B (corresponding author), Zhejiang Ocean Univ, Sch Food &amp; Pharm, Zhejiang Prov Engn Technol Res Ctr Marine Biomed, Zhoushan 316022, Peoples R China.;Chi, CF (corresponding author), Zhejiang Ocean Univ, Sch Marine Sci &amp; Technol, Natl Engn Res Ctr Marine Facil Aquaculture, Natl &amp; Prov Joint Lab Explorat &amp; Utilizat Marine, Zhoushan 316022, Peoples R China.</t>
  </si>
  <si>
    <t>chicf@zjou.edu.cn; wangbin@zjou.edu.cn</t>
  </si>
  <si>
    <t>zhang, jingxing/KCY-4726-2024; Wang, Bin/ADF-0628-2022</t>
  </si>
  <si>
    <t>Wang, Bin/0000-0002-2712-9045</t>
  </si>
  <si>
    <t>National Natural Science Foundation of China [82073764]; Ten-thousand Talents Plan of Zhejiang Province [2019R52026]; Innovation and Development of Marine Economy Demonstration City (Weihai) Program</t>
  </si>
  <si>
    <t>National Natural Science Foundation of China(National Natural Science Foundation of China (NSFC)); Ten-thousand Talents Plan of Zhejiang Province; Innovation and Development of Marine Economy Demonstration City (Weihai) Program</t>
  </si>
  <si>
    <t>This work was funded by the National Natural Science Foundation of China (No. 82073764) , the Ten-thousand Talents Plan of Zhejiang Province (No. 2019R52026) and the Innovation and Development of Marine Economy Demonstration City (Weihai) Program. The authors thank Zhao-Hui Li at Beijing agricultural biological testing center for his technical support on the amino acid sequence and observed mass of antioxidant peptides from Antarctic Krill.</t>
  </si>
  <si>
    <t>1756-4646</t>
  </si>
  <si>
    <t>2214-9414</t>
  </si>
  <si>
    <t>J FUNCT FOODS</t>
  </si>
  <si>
    <t>J. Funct. Food.</t>
  </si>
  <si>
    <t>10.1016/j.jff.2021.104701</t>
  </si>
  <si>
    <t>Food Science &amp; Technology; Nutrition &amp; Dietetics</t>
  </si>
  <si>
    <t>WB9KC</t>
  </si>
  <si>
    <t>WOS:000703883200001</t>
  </si>
  <si>
    <t>Matula, EE; Nabity, JA; McKnight, DM</t>
  </si>
  <si>
    <t>Matula, Emily E.; Nabity, James A.; McKnight, Diane M.</t>
  </si>
  <si>
    <t>Supporting Simultaneous Air Revitalization and Thermal Control in a Crewed Habitat With Temperate Chlorella vulgaris and Eurythermic Antarctic Chlorophyta</t>
  </si>
  <si>
    <t>bioregenerative life support systems; Antarctica; McMurdo Dry Valleys; thermal control; air revitalization; Chlorophyta</t>
  </si>
  <si>
    <t>BIOREGENERATIVE LIFE-SUPPORT; BIOMASS PRODUCTION; GROWTH; LIGHT; PHOTOSYNTHESIS; ALGAE; WATER; DESICCATION; ACCLIMATION; CULTIVATION</t>
  </si>
  <si>
    <t>Including a multifunctional, bioregenerative algal photobioreactor for simultaneous air revitalization and thermal control may aid in carbon loop closure for long-duration surface habitats. However, using water-based algal media as a cabin heat sink may expose the contained culture to a dynamic, low temperature environment. Including psychrotolerant microalgae, native to these temperature regimes, in the photobioreactor may contribute to system stability. This paper assesses the impact of a cycled temperature environment, reflective of spacecraft thermal loops, to the oxygen provision capability of temperate Chlorella vulgaris and eurythermic Antarctic Chlorophyta. The tested 28-min temperature cycles reflected the internal thermal control loops of the International Space Station (C. vulgaris, 9-27 degrees C; Chlorophyta-Ant, 4-14 degrees C) and included a constant temperature control (10 degrees C). Both sample types of the cycled temperature condition concluded with increased oxygen production rates (C. vulgaris; initial: 0.013 mgO(2) L-1, final: 3.15 mgO(2) L-1 and Chlorophyta-Ant; initial: 0.653 mgO(2) L-1, final: 1.03 mgO(2) L-1) and culture growth, suggesting environmental acclimation. Antarctic sample conditions exhibited increases or sustainment of oxygen production rates normalized by biomass dry weight, while both C. vulgaris sample conditions decreased oxygen production per biomass. However, even with the temperature-induced reduction, cycled temperature C. vulgaris had a significantly higher normalized oxygen production rate than Antarctic Chlorophyta. Chlorophyll fluorometry measurements showed that the cycled temperature conditions did not overly stress both sample types (F-V/F-M: 0.6-0.75), but the Antarctic Chlorophyta sample had significantly higher fluorometry readings than its C. vulgaris counterpart (F = 6.26, P &lt; 0.05). The steady state C. vulgaris condition had significantly lower fluorometry readings than all other conditions (F-V/F-M: 0.34), suggesting a stressed culture. This study compares the results to similar experiments conducted in steady state or diurnally cycled temperature conditions. Recommendations for surface system implementation are based off the presented results. The preliminary findings imply that both C. vulgaris and Antarctic Chlorophyta can withstand the dynamic temperature environment reflective of a thermal control loop and these data can be used for future design models.</t>
  </si>
  <si>
    <t>[Matula, Emily E.; Nabity, James A.] Univ Colorado, Smead Aerosp Engn Sci, Bioastronaut, Boulder, CO 80309 USA; [McKnight, Diane M.] Univ Colorado, Inst Arctic &amp; Alpine Res, Boulder, CO 80309 USA; [McKnight, Diane M.] Univ Colorado, Dept Civil Environm &amp; Architectural Engn, Boulder, CO 80309 USA</t>
  </si>
  <si>
    <t>University of Colorado System; University of Colorado Boulder; University of Colorado System; University of Colorado Boulder; University of Colorado System; University of Colorado Boulder</t>
  </si>
  <si>
    <t>Matula, EE (corresponding author), Univ Colorado, Smead Aerosp Engn Sci, Bioastronaut, Boulder, CO 80309 USA.</t>
  </si>
  <si>
    <t>emily.matula@colorado.edu</t>
  </si>
  <si>
    <t>Matula, Emily/KFR-1854-2024; Nabity, James A/L-5042-2019</t>
  </si>
  <si>
    <t>Matula, Emily/0000-0001-5703-7435; Nabity, James A/0000-0002-8427-5735</t>
  </si>
  <si>
    <t>NASA Space Technology Research Fellowship [NNX15AP52H]; NSF [OPP-1637708]</t>
  </si>
  <si>
    <t>NASA Space Technology Research Fellowship; NSF(National Science Foundation (NSF))</t>
  </si>
  <si>
    <t>This work was funded by a NASA Space Technology Research Fellowship (NNX15AP52H). The funders had no role in study design, data collection and analysis, decision to publish, or preparation of the manuscript. The opinions expressed in this publication are those of the authors and do not reflect the opinions or views of NASA. Cultures for this study were provided by the McMurdo Long-Term Ecological Research (MCM-LTER) group, which is supported by NSF Grant #OPP-1637708.</t>
  </si>
  <si>
    <t>AUG 24</t>
  </si>
  <si>
    <t>10.3389/fmicb.2021.709746</t>
  </si>
  <si>
    <t>US4JY</t>
  </si>
  <si>
    <t>WOS:000697398900001</t>
  </si>
  <si>
    <t>Amenabar, MJ; Martinez, L; Yuan, M; Contardo, X; Cerpa, LM; Rodrigo, C; Blamey, JM</t>
  </si>
  <si>
    <t>Amenabar, Maximiliano J.; Martinez, Litsy; Yuan, Maylee; Contardo, Ximena; Cerpa, Luis M.; Rodrigo, Cristian; Blamey, Jenny M.</t>
  </si>
  <si>
    <t>Role of Chemosynthetic Thermophilic Communities on the Biogeochemical Cycles of Minerals in the Orca Seamount Area, Antarctica</t>
  </si>
  <si>
    <t>GEOMICROBIOLOGY JOURNAL</t>
  </si>
  <si>
    <t>Biogeochemical cycles; Bransfield Strait; deep-sea biosphere; mineral metabolism</t>
  </si>
  <si>
    <t>WESTERN BRANSFIELD STRAIT; DECEPTION ISLAND; SP-NOV.; BASIN; SEDIMENTS; FLUX; PENINSULA; VOLCANISM; LIFE</t>
  </si>
  <si>
    <t>The Orca Seamount is a submarine volcanic structure, located in a tectonic area of the Bransfield Strait, characterized by cortical extension and roll back-type subduction. Recent investigations have described the presence of hydrothermal activity and thermophilic microorganisms in this submarine volcano, raising questions regarding the role these microorganisms might play in the environment. The presence of hydrothermal activity interacting with cold Antarctic marine waters has probably exerted a great impact on the chemistry of the Orca Seamount area, providing different types of substrates capable to support complex microbial communities. In this work, we further study the Orca Seamount area with respect to the mineralogy present in this environment and the role microorganisms might play in the biogeochemical cycles. Here we show that the assemblage of minerals detected in the Orca Seamount area is like those commonly found in other hydrothermal environments, consistent with previous investigations reporting hydrothermal activity in this zone. Sulfur- and iron-bearing minerals in addition to inorganic soluble compounds are able to support chemosynthetic microbial communities inhabiting the Orca Seamount. The role of these microorganisms on the sulfur, iron, and carbon cycle is discussed and analyzed in the context of the mineralogy and conditions of the environment.</t>
  </si>
  <si>
    <t>[Amenabar, Maximiliano J.; Martinez, Litsy; Blamey, Jenny M.] Fdn Cient &amp; Cultural Biociencia, Jose Domingo Canas 2280, Santiago 7750132, Chile; [Yuan, Maylee; Contardo, Ximena; Rodrigo, Cristian] Univ Andres Bello, Geol Fac Ingn, Vina Del Mar, Chile; [Cerpa, Luis M.] Inst Geol Minero &amp; Met INGEMMET, Lima, Peru; [Blamey, Jenny M.] Univ Santiago Chile, Fac Quim &amp; Biol, Santiago, Chile</t>
  </si>
  <si>
    <t>Universidad Andres Bello; Instituto Geologico Minero Metalurgico; Universidad de Santiago de Chile</t>
  </si>
  <si>
    <t>Amenabar, MJ; Blamey, JM (corresponding author), Fdn Cient &amp; Cultural Biociencia, Jose Domingo Canas 2280, Santiago 7750132, Chile.</t>
  </si>
  <si>
    <t>mamenabar@bioscience.cl; jblamey@bioscience.cl</t>
  </si>
  <si>
    <t>Amenabar, Maximiliano/AAD-5354-2020</t>
  </si>
  <si>
    <t>Amenabar, Maximiliano/0000-0003-1890-5353; Cerpa, Luis/0000-0001-8717-5142</t>
  </si>
  <si>
    <t>0149-0451</t>
  </si>
  <si>
    <t>1521-0529</t>
  </si>
  <si>
    <t>GEOMICROBIOL J</t>
  </si>
  <si>
    <t>Geomicrobiol. J.</t>
  </si>
  <si>
    <t>10.1080/01490451.2021.1966141</t>
  </si>
  <si>
    <t>WR8SC</t>
  </si>
  <si>
    <t>WOS:000688351700001</t>
  </si>
  <si>
    <t>Schneider, T; Lüpkes, C; Dorn, W; Chechin, D; Handorf, D; Khosravi, S; Gryanik, VM; Makhotina, I; Rinke, A</t>
  </si>
  <si>
    <t>Schneider, Thea; Luepkes, Christof; Dorn, Wolfgang; Chechin, Dmitry; Handorf, Dorthe; Khosravi, Sara; Gryanik, Vladimir M.; Makhotina, Irina; Rinke, Annette</t>
  </si>
  <si>
    <t>Sensitivity to changes in the surface-layer turbulence parameterization for stable conditions in winter: A case study with a regional climate model over the Arctic</t>
  </si>
  <si>
    <t>ATMOSPHERIC SCIENCE LETTERS</t>
  </si>
  <si>
    <t>Arctic; atmospheric boundary layer; regional climate modeling</t>
  </si>
  <si>
    <t>MARGINAL-ICE-ZONE; SEA-ICE; BOUNDARY-LAYER; FLUXES; PARAMETRIZATION; EXCHANGE; MOMENTUM; HEAT</t>
  </si>
  <si>
    <t>The modeling of the atmospheric boundary layer over sea ice is still challenging because of the complex interaction between clouds, radiation and turbulence over the often inhomogeneous sea ice cover. There is still much uncertainty concerning sea ice roughness, near-surface thermal stability and related processes, and their accurate parameterization. Here, a regional Arctic climate model forced by ERA-Interim data was used to test the sensitivity of climate simulations to a modified surface flux parameterization for wintertime conditions over the Arctic. The reference parameterization as well as the modified one is based on Monin-Obukhov similarity theory, but different roughness lengths were prescribed and the stability dependence of the transfer coefficients for momentum, heat and moisture differed from each other. The modified parameterization accounts for the most comprehensive observations that are presently available over sea ice in the inner Arctic. Independent of the parameterization used, the model was able to reproduce the two observed dominant winter states with respect to cloud cover and longwave radiation. A stepwise use of the different parameterization assumptions showed that modifications of both surface roughness and stability dependence had a considerable impact on quantities such as air pressure, wind and near-surface turbulent fluxes. However, the reduction of surface roughness to values agreeing with those observed during the Surface Heat Budget of the Arctic Ocean campaign led to an improvement in the western Arctic, while the modified stability parameterization had only a minor impact. The latter could be traced back to the model's underestimation of the strength of stability over sea ice. Future work should concentrate on possible reasons for this underestimation and on the question of generality of the results for other climate models.</t>
  </si>
  <si>
    <t>[Schneider, Thea] Univ Potsdam, Inst Phys &amp; Astron, Potsdam, Germany; [Luepkes, Christof; Gryanik, Vladimir M.] Alfred Wegener Inst, Helmholtz Ctr Polar &amp; Marine Res, Bremerhaven, Germany; [Dorn, Wolfgang; Handorf, Dorthe; Khosravi, Sara; Rinke, Annette] Alfred Wegener Inst, Helmholtz Ctr Polar &amp; Marine Res, Potsdam, Germany; [Chechin, Dmitry; Gryanik, Vladimir M.] RAS, AM Obukhov Inst Atmospher Phys, Moscow, Russia; [Makhotina, Irina] Arctic &amp; Antarctic Res Inst, Atmosphere Ocean Interact Dept, St Petersburg, Russia</t>
  </si>
  <si>
    <t>University of Potsdam; Helmholtz Association; Alfred Wegener Institute, Helmholtz Centre for Polar &amp; Marine Research; Helmholtz Association; Alfred Wegener Institute, Helmholtz Centre for Polar &amp; Marine Research; Russian Academy of Sciences; Obukhov Institute of Atmospheric Physics of Russian Academy of Sciences; Arctic &amp; Antarctic Research Institute</t>
  </si>
  <si>
    <t>Rinke, A (corresponding author), Alfred Wegener Inst, Helmholtz Ctr Polar &amp; Marine Res AWI, Telegrafenberg A45, D-14473 Potsdam, Germany.</t>
  </si>
  <si>
    <t>annette.rinke@awi.de</t>
  </si>
  <si>
    <t>amplification, ³ - Arctic/AAU-6640-2020; Lüpkes, Christof/B-4897-2014; Chechin, Dmitry/J-9923-2016; Rinke, Annette/B-4922-2014</t>
  </si>
  <si>
    <t>Chechin, Dmitry/0000-0003-0021-9945; Makhotina, Irina/0000-0001-7208-685X; Dorn, Wolfgang/0000-0002-2071-9472; khosravi, sara/0000-0003-0182-2877; Rinke, Annette/0000-0002-6685-9219</t>
  </si>
  <si>
    <t>German Research Foundation (DFG) [268020496-TRR 172]; Helmholtz Association (HGF), POLEX; Russian Science Foundation (RSF) [18-47-06203, 18-77-10072-P]; Russian Science Foundation [18-77-10072] Funding Source: Russian Science Foundation</t>
  </si>
  <si>
    <t>German Research Foundation (DFG)(German Research Foundation (DFG)); Helmholtz Association (HGF), POLEX; Russian Science Foundation (RSF)(Russian Science Foundation (RSF)); Russian Science Foundation(Russian Science Foundation (RSF))</t>
  </si>
  <si>
    <t>German Research Foundation (DFG), Grant/Award Number: 268020496-TRR 172; Helmholtz Association (HGF), POLEX; Russian Science Foundation (RSF), Grant/Award Numbers: 18-47-06203, 18-77-10072-P</t>
  </si>
  <si>
    <t>1530-261X</t>
  </si>
  <si>
    <t>ATMOS SCI LETT</t>
  </si>
  <si>
    <t>Atmos. Sci. Lett.</t>
  </si>
  <si>
    <t>e1066</t>
  </si>
  <si>
    <t>10.1002/asl.1066</t>
  </si>
  <si>
    <t>XY6DM</t>
  </si>
  <si>
    <t>WOS:000687888200001</t>
  </si>
  <si>
    <t>Recommendations for regularization in the inverse estimation of ice-induced propeller moments for ice-going vessels</t>
  </si>
  <si>
    <t>COLD REGIONS SCIENCE AND TECHNOLOGY</t>
  </si>
  <si>
    <t>Ice-induced propeller loads; Inverse problem; Regularization; Lumped mass model; Full-scale measurements; Shaft-line torque</t>
  </si>
  <si>
    <t>LOAD CASE ESTIMATION; L-CURVE</t>
  </si>
  <si>
    <t>To date, the insufficient quantification of ice-induced propeller moments leads to uncertainty and over-design of ship propulsion systems. Recent developments document the use of lumped mass models and inverse solutions of the external ice-induced propeller moments from indirect measurements on the propulsion shaft. However, these inverse solutions suffer from instability. This article studies various regularization methods which are required in the inverse solution process to insure the stability of the solution. The study focuses on the success rates of the regularization methods. Specifically, the success rate of the automatic selection of a regularization parameter within the inverse solution algorithm was evaluated. Full-scale measurements of the shaft-line of an ice-going vessel were used as inputs for the regularization of the inverse problem. It was found that the Tikhonov regularization method was the most reliable for the analysed case studies. Furthermore, the solution times for the regularization methods were considered. The limitations of the lumped mass inverse model used with the regularization methods are presented and discussed, suggesting that the model is not ideally suited for the application.</t>
  </si>
  <si>
    <t>National Research Foundation through the South African National Antarctic Programme [SNA170420228015, 110737]</t>
  </si>
  <si>
    <t>National Research Foundation through the South African National Antarctic Programme</t>
  </si>
  <si>
    <t>The financial assistance of the National Research Foundation through the South African National Antarctic Programme (Ref.: SNA170420228015, Grant No.: 110737) is gratefully acknowledged.</t>
  </si>
  <si>
    <t>0165-232X</t>
  </si>
  <si>
    <t>1872-7441</t>
  </si>
  <si>
    <t>COLD REG SCI TECHNOL</t>
  </si>
  <si>
    <t>Cold Reg. Sci. Tech.</t>
  </si>
  <si>
    <t>10.1016/j.coldregions.2021.103378</t>
  </si>
  <si>
    <t>Engineering, Environmental; Engineering, Civil; Geosciences, Multidisciplinary</t>
  </si>
  <si>
    <t>Engineering; Geology</t>
  </si>
  <si>
    <t>WN4FN</t>
  </si>
  <si>
    <t>WOS:000711725700002</t>
  </si>
  <si>
    <t>Lobo, FJ; López-Quirós, A; Hernández-Molina, FJ; Pérez, LF; García, M; Evangelinos, D; Bohoyo, F; Rodríguez-Fernández, J; Salabarnada, A; Maldonado, A</t>
  </si>
  <si>
    <t>Lobo, F. J.; Lopez-Quiros, A.; Hernandez-Molina, F. J.; Perez, L. F.; Garcia, M.; Evangelinos, D.; Bohoyo, F.; Rodriguez-Fernandez, J.; Salabarnada, A.; Maldonado, A.</t>
  </si>
  <si>
    <t>Recent morpho-sedimentary processes in Dove Basin, southern Scotia Sea, Antarctica: A basin-scale case of interaction between bottom currents and mass movements</t>
  </si>
  <si>
    <t>Scotia Sea; Dove Basin; Sub-bottom stratigraphy; Contourites; Gravity flows; Weddell Sea Deep Water; Antarctic Circumpolar Current</t>
  </si>
  <si>
    <t>CONTOURITE DEPOSITIONAL SYSTEM; PLATE BOUNDARY; CONTINENTAL-SLOPE; WEDDELL SEA; SEDIMENTARY PROCESSES; CIRCUMPOLAR CURRENT; SHETLAND CHANNEL; MIXED TURBIDITE; ALONG-SLOPE; DOWN-SLOPE</t>
  </si>
  <si>
    <t>Multibeam bathymetric imagery and acoustic sub-bottom profiles are used to reveal distribution patterns of subsurface sedimentation in Dove Basin (Scotia Sea). The goals of the study are to determine the imprint of the inflow of deep Antarctic water masses from the Weddell Sea into the Scotia Sea, to establish the factors driving the styles of contourite deposition and to discern the relative contribution of alongslope versus downslope processes to the construction of the uppermost late Quaternary sedimentary record in the basin. The most significant morpho-sedimentary features in Dove Basin are linked to contouritic processes and to mass movements. Plastered drifts on the flanks of the basin constitute the most common contouritic deposits. Basement-controlled drifts on top of structural elevations are common along the central ridge, the central basin plain and scattered along the basin flanks. Sheeted drifts occur on top of adjacent banks or are restricted to the deep basin. In contrast, mounded drifts are poorly represented in Dove basin. A laterally extensive contouritic channel runs along the central ridge. Contouritic channels are also identified in the upper parts of the lateral banks and slopes. Numerous slide scars along the upper parts of the slopes evolve downslope into semitransparent lens-shaped bodies, with occasional development of across-slope channels. Semitransparent lenses occur intercalated within stratified deposits in the slopes of the basin, in the central ridge and in the deepest basin plain. The spatial arrangement of contouritic morphologies points to the influence of the water column structure and the basin physiography. In the eastern sub-basin, two different fractions (lower and upper) of Weddell Sea Deep Water (WSDW) leave an imprint on contourite deposits owing to the sloping interface between the two fractions. Contouritic influence is more subdued in the western sub-basin, and limited to the imprint of the lower WSDW. The upper parts of the surrounding banks are under the influence of deep-reaching Circumpolar waters (i.e., Lower Circumpolar Deep Water), which develops both depositional and erosional morphologies. The cross-section V-shaped morphology of the basin and the common occurrence of structural highs drive the predominance of plastered and basement-controlled drifts in the sediment record. The frequent alternation between contourites and downslope gravity-flow deposits is likely due to different processes associated with over-steepening in the basin, such as basement-controlled steep slopes, deformed drifts atop basement elevations, and the development of thick contouritic piles. Dove Basin is an example of a basin without mounded, plastered or mixed hybrid drifts in the transition between the lower slope and the deep basin, because the upper boundary of the deepest water mass -the Weddell Sea Deep Water- flows shallower along the middle slope. This fact underlines the relevance of the position and depth of water masses in shaping the morphology of the feet of slopes along continental margins.</t>
  </si>
  <si>
    <t>[Lobo, F. J.; Lopez-Quiros, A.; Evangelinos, D.; Rodriguez-Fernandez, J.; Salabarnada, A.; Maldonado, A.] Univ Granada, Inst Andaluz Ciencias Tierra, CSIC, Avda Palmeras 4, Granada 18100, Spain; [Lopez-Quiros, A.] Aarhus Univ, Dept Geosci, Hoegh Guldbergs Gade 2, DK-8000 Aarhus C, Denmark; [Hernandez-Molina, F. J.] Royal Holloway Univ London, Dept Earth Sci, Egham TW20 0EX, Surrey, England; [Perez, L. F.] British Antarctic Survey, Madingley Rd, Cambridge CB3 0ET, England; [Garcia, M.] Inst Espanol Oceanog, Ctr Oceanog Cadiz, Muelle Pesquero S-N, Cadiz 11006, Spain; [Bohoyo, F.] Inst Geol &amp; Minero Espana, Rios Rosas 23, Madrid 28003, Spain</t>
  </si>
  <si>
    <t>Consejo Superior de Investigaciones Cientificas (CSIC); CSIC - Instituto Andaluz de Ciencias de la Tierra (IACT); University of Granada; Aarhus University; University of London; Royal Holloway University London; UK Research &amp; Innovation (UKRI); Natural Environment Research Council (NERC); NERC British Antarctic Survey; Spanish Institute of Oceanography</t>
  </si>
  <si>
    <t>Lobo, FJ (corresponding author), Univ Granada, Inst Andaluz Ciencias Tierra, CSIC, Avda Palmeras 4, Granada 18100, Spain.</t>
  </si>
  <si>
    <t>francisco.lobo@csic.es</t>
  </si>
  <si>
    <t>Roset, Ariadna Salabarnada/L-8798-2014; Garcia, Marga/L-7410-2014; Evangelinos, Dimitris/ABH-5910-2020; Bohoyo, Fernando/AAZ-5990-2021; Lobo, Francisco José/J-9836-2012; Evagelinos, Dimitris/ISU-3607-2023; López Quirós, Adrián/K-6513-2017; Bohoyo, Fernando/C-1062-2011; Perez, Lara/H-3572-2015</t>
  </si>
  <si>
    <t>Roset, Ariadna Salabarnada/0000-0003-2239-2538; Garcia, Marga/0000-0003-2632-6132; Evangelinos, Dimitris/0000-0002-4978-3056; Bohoyo, Fernando/0000-0002-1044-8816; Lobo, Francisco José/0000-0002-3294-7202; López Quirós, Adrián/0000-0002-7522-2834; Bohoyo, Fernando/0000-0002-1044-8816; Salabarnada, Ariadna/0000-0003-0858-8083; Perez, Lara/0000-0002-6229-4564</t>
  </si>
  <si>
    <t>Spanish Ministry of Science and Innovation - European Union through FEDER funds [CTM2014-60451-C2-1/2-P, CTM2017-89711-C2-1/2-P]; [CTM 2012-39599-C03]; [CGL2016-80445-R]; [CTM2016-75129-C3-1-R]; [CGL2015-74216-JIN]</t>
  </si>
  <si>
    <t>Spanish Ministry of Science and Innovation - European Union through FEDER funds; ; ; ;</t>
  </si>
  <si>
    <t>Funding for this research was provided by the Spanish Ministry of Science and Innovation (grants CTM2014-60451-C2-1/2-P and CTM2017-89711-C2-1/2-P) co-funded by the European Union through FEDER funds. The research was conducted in collaboration with `The Drifters Research Group' of the Royal Holloway University of London (UK), and is also related to the projects CTM 2012-39599-C03, CGL2016-80445-R, CTM2016-75129-C3-1-R and CGL2015-74216-JIN. We thank the commander, officers and crew of the BIO HESPERIDES for their support in obtaining the data, sometimes under severe sea conditions. Jean Sanders reviewed the English style of the manuscript. Rob Larter (BAS, UK) and an anonymous reviewer provided numeroususeful remarks that improved an initial version of the manuscript. Seismic interpretations were made using the IHS Kingdom T software, thanks to the participation of the Instituto Andaluz de Ciencias de la Tierra in the IHS University Grant program.</t>
  </si>
  <si>
    <t>10.1016/j.margeo.2021.106598</t>
  </si>
  <si>
    <t>Green Published, Green Submitted, Green Accepted, hybrid</t>
  </si>
  <si>
    <t>WOS:000697734600004</t>
  </si>
  <si>
    <t>Kim, SY; Lim, D; Rebolledo, L; Park, T; Esper, O; Muñoz, P; La, HS; Kim, TW; Lee, S</t>
  </si>
  <si>
    <t>Kim, So-Young; Lim, Dhongil; Rebolledo, Lorena; Park, Taewook; Esper, Oliver; Munoz, Praxedes; La, Hyoung Sul; Kim, Tae Wan; Lee, SangHoon</t>
  </si>
  <si>
    <t>A 350-year multiproxy record of climate-driven environmental shifts in the Amundsen Sea Polynya, Antarctica</t>
  </si>
  <si>
    <t>Amundsen Sea Polynya; Sediment; Circumpolar Deep Water; Atmospheric circulation</t>
  </si>
  <si>
    <t>MELTING GLACIERS FUELS; SOUTHERN ANNULAR MODE; ICE-SHEET RETREAT; WEST ANTARCTICA; PINE ISLAND; PHYTOPLANKTON BLOOMS; SURFACE SEDIMENTS; MARINE PRODUCTIVITY; BRANSFIELD STRAIT; WARM WATER</t>
  </si>
  <si>
    <t>With a growing concern over rapid Antarctic ice loss in recent years, the Amundsen Sea, one of the fastestmelting areas in Antarctica, currently becomes a hotspot for the Earth sciences in the context of its linkage to global climate. As a center of strong physical and biological coupling processes, polynyas of the Amundsen Sea could act as sentinels of changes in atmosphere-ice-ocean interactions, offering a unique perspective into its sensitivity to climate variability. Here, we present a new, multiproxy-based high-resolution sedimentary record from the Amundsen Sea polynya, which provides new insights into environmental conditions of the region over the last 350 years and their linkages to climatic factors. Our results show that the polynya witnessed step-wise environmental shifts in parallel with the phases and strength of large-scale climate patterns, i.e., the Southern Annular Mode (SAM) and El Nin similar to o-Southern Oscillation (ENSO). Notably, intersite correlation of on-shelf Circumpolar Deep Water (CDW) intrusion signals at different locals suggests that the CDW may have gained increased access to the shelves at the time of a strong coupling of positive SAM and El Nin similar to o states. We tentatively speculate that anomalous large-scale atmospheric and oceanic circulation patterns over the Southern Hemisphere, forced by increasing greenhouse gas levels, were strongly involved in the mid-20th century CDW invigoration, which may be greater in scale that goes well beyond the Amundsen Sea region. This result is relevant to the current debate on spatial heterogeneity in the timing and phasing of major climatic events in Antarctica, underscoring an unambiguous connection of the Antarctic climate state to the large-scale ocean-atmosphere reorganizations. Our study also extends a growing evidence that today's global warming trend is expected to have a severe effect on future configuration of Antarctic continental ice-shelf environment.</t>
  </si>
  <si>
    <t>[Kim, So-Young; Park, Taewook; La, Hyoung Sul; Kim, Tae Wan; Lee, SangHoon] Korea Polar Res Inst, Div Ocean Sci, Incheon 21990, South Korea; [Lim, Dhongil] Korea Inst Ocean Sci &amp; Technol, South Sea Res Inst, Geoje 53201, South Korea; [Rebolledo, Lorena] Ctr Fondap Ideal, Inst Antartico Chileno INACH, Plaza Munoz Gamero 1055, Punta Arenas, Chile; [Esper, Oliver] Helmholtz Ctr Polar &amp; Marine Res, Alfred Wegener Inst, Bremerhaven, Germany; [Munoz, Praxedes] Univ Catolica Norte, Dept Biol Marina, Larrondo 1281, Coquimbo, Chile</t>
  </si>
  <si>
    <t>Korea Polar Research Institute (KOPRI); Korea Institute of Ocean Science &amp; Technology (KIOST); Helmholtz Association; Alfred Wegener Institute, Helmholtz Centre for Polar &amp; Marine Research; Universidad Catolica del Norte</t>
  </si>
  <si>
    <t>Kim, SY; Park, T (corresponding author), Korea Polar Res Inst, Div Ocean Sci, Incheon 21990, South Korea.</t>
  </si>
  <si>
    <t>Kimsy@kopri.re.kr; twpark@kopri.re.kr</t>
  </si>
  <si>
    <t>Muñoz, Praxedes/P-5259-2016; Lim, Dhongil/ACH-3964-2022; Kim, Tae-Wan/JGM-9981-2023</t>
  </si>
  <si>
    <t>Muñoz, Praxedes/0000-0002-0402-681X; Kim, Tae-Wan/0000-0001-5257-7256; Rebolledo, Lorena/0000-0003-0266-361X; Lim, Dhongil/0000-0002-0832-2907; La, Hyoung Sul/0000-0003-1285-580X</t>
  </si>
  <si>
    <t>Korea Polar Research Institute research program [PE21110]; 'Ecosystem Structure and Function of Marine Protected Area (MPA) in Antarctica' project [PM21060]; Ministry of Oceans and Fisheries, Korea [20170336]</t>
  </si>
  <si>
    <t>Korea Polar Research Institute research program(Korea Polar Research Institute of Marine Research Placement (KOPRI)); 'Ecosystem Structure and Function of Marine Protected Area (MPA) in Antarctica' project; Ministry of Oceans and Fisheries, Korea</t>
  </si>
  <si>
    <t>The authors declare that they have no known competing financial interests or personal relationships that could have appeared to influence the work reported in this paper. Acknowledgement We are grateful to the captain and crew of the RV ARAON for their assistance with collection of the sediment core sample used. This study is a contribution to the Korea Polar Research Institute research program under grant no. PE21110. We also thank the 'Ecosystem Structure and Function of Marine Protected Area (MPA) in Antarctica' project (PM21060) , funded by the Ministry of Oceans and Fisheries (20170336) , Korea. The authors wish to thank three anonymous reviewers and the editor (F. Marret-Davies) for their constructive comments improving the manuscript.</t>
  </si>
  <si>
    <t>10.1016/j.gloplacha.2021.103589</t>
  </si>
  <si>
    <t>UO5OC</t>
  </si>
  <si>
    <t>WOS:000694744000002</t>
  </si>
  <si>
    <t>Dauner, ALL; Naafs, BDA; Pancost, RD; Martins, CC</t>
  </si>
  <si>
    <t>Dauner, Ana Lucia L.; Naafs, B. David A.; Pancost, Richard D.; Martins, Cesar C.</t>
  </si>
  <si>
    <t>Exploring the application of TEX86 and the sources of organic matter in the Antarctic coastal region</t>
  </si>
  <si>
    <t>ORGANIC GEOCHEMISTRY</t>
  </si>
  <si>
    <t>GDGT; Sterol; Sea surface temperature; Organic matter; Admiralty Bay</t>
  </si>
  <si>
    <t>KING-GEORGE-ISLAND; ISOPRENOID TETRAETHER LIPIDS; SEA-SURFACE TEMPERATURES; ADMIRALTY BAY; SINKING PARTICLES; MARINE-SEDIMENTS; MEMBRANE-LIPIDS; FECAL STEROLS; PENINSULA; ATLANTIC</t>
  </si>
  <si>
    <t>Isoprenoidal glycerol dialkyl glycerol tetraethers (isoGDGTs) are archaeal biomarkers. In many settings, the degree of cyclization of isoGDGTs is correlated with temperature, forming the basis of the TEX86 paleothermometer that is widely used to reconstruct sea surface temperature (SST) across a range of time scales. However, the application of TEX86 to the polar regions is relatively limited and there is currently no consensus on which calibration is best suited for polar environments. In addition, application of TEX86 to the polar regions is complicated by uncertainty regarding the source of organic matter input in coastal polar environments. We tested five different calibrations for TEX86 in marine sediments from the Antarctic coastal region of Admiralty Bay near King George Island, using four short cores that span the second half of the 20th century. We also explored the possible sources of organic matter in these cores using sterol biomarkers. Best results for TEX86 were obtained using a quadratic calibration. The TEX86 signal presented a strong seasonal signal and best matched reanalysis temperatures of the austral spring season (Oct-Nov-Dec). The most abundant compounds observed in the sediments were the sterols cholest-5-en-3 beta-ol and 24-ethylcholest-5-en-3 beta-ol, the fatty alcohols C16 and phytol, and isoGDGT-0, indicating a dominant marine origin of the organic matter. Differences in their vertical distributions suggests that some compounds (such as cholest-5-en-3 beta-ol and phytol) may have had different sources over the evaluated period. Together our results indicate that TEX86 can be used to reconstruct SSTs in the Antarctic coastal region.</t>
  </si>
  <si>
    <t>[Dauner, Ana Lucia L.; Martins, Cesar C.] Univ Fed Parana, Ctr Marine Studies, BR-83255976 Pontal Do Parana, PR, Brazil; [Dauner, Ana Lucia L.] Univ Fed Parana, Grad Program Coastal &amp; Ocean Syst PGSISCO, BR-83255976 Pontal Do Parana, PR, Brazil; [Naafs, B. David A.; Pancost, Richard D.] Univ Bristol, Sch Chem, Organ Geochem Unit, Bristol BS8 1TS, Avon, England; [Pancost, Richard D.] Univ Bristol, Cabot Inst Environm, Bristol BS8 1UJ, Avon, England; [Pancost, Richard D.] Univ Bristol, Sch Earth Sci, Bristol BS8 1RL, Avon, England</t>
  </si>
  <si>
    <t>Universidade Federal do Parana; Universidade Federal do Parana; University of Bristol; University of Bristol; University of Bristol</t>
  </si>
  <si>
    <t>Martins, CC (corresponding author), Univ Fed Parana, Ctr Marine Studies, BR-83255976 Pontal Do Parana, PR, Brazil.;Dauner, ALL (corresponding author), Univ Helsinki, Fac Biol &amp; Environm Sci, Ecosyst &amp; Environm Res Programme, Environm Change Res Unit ECRU, Helsinki 00014, Finland.</t>
  </si>
  <si>
    <t>anadauner@gmail.com; ccmart@ufpr.br</t>
  </si>
  <si>
    <t>Naafs, Bernhard David/AFV-1912-2022</t>
  </si>
  <si>
    <t>Naafs, Bernhard David/0000-0001-5125-6928; de Castro Martins, Cesar/0000-0002-2515-5565; Dauner, Ana Lucia/0000-0002-9686-6241</t>
  </si>
  <si>
    <t>Antarctic Brazilian Program (PROANTAR); Secretaria da Comissao Interministerial para os Recursos do Mar (SECIRM); Conselho Nacional de Desenvolvimento Cientifico e Tecnologico (CNPq) [550014/2007-1, 442692/2018-8]; Coordenacao de Aperfeicoamento de Pessoal de Ensino Superior (CAPES) [88887.314458/2019-00]; Royal Society Tata University Research Fellowship; NERC [CC010]; NEIF; CAPES [BEX 5366/12-7, 88887.362846/2019-00]; CNPq; CAPES; Brazilian Ministry of Science, Technology, Innovation and Communication</t>
  </si>
  <si>
    <t>Antarctic Brazilian Program (PROANTAR); Secretaria da Comissao Interministerial para os Recursos do Mar (SECIRM); Conselho Nacional de Desenvolvimento Cientifico e Tecnologico (CNPq)(Conselho Nacional de Desenvolvimento Cientifico e Tecnologico (CNPQ)); Coordenacao de Aperfeicoamento de Pessoal de Ensino Superior (CAPES)(Coordenacao de Aperfeicoamento de Pessoal de Nivel Superior (CAPES)); Royal Society Tata University Research Fellowship(Royal Society); NERC(UK Research &amp; Innovation (UKRI)Natural Environment Research Council (NERC)); NEIF; CAPES(Coordenacao de Aperfeicoamento de Pessoal de Nivel Superior (CAPES)); CNPq(Conselho Nacional de Desenvolvimento Cientifico e Tecnologico (CNPQ)); CAPES(Coordenacao de Aperfeicoamento de Pessoal de Nivel Superior (CAPES)); Brazilian Ministry of Science, Technology, Innovation and Communication</t>
  </si>
  <si>
    <t>The work was supported by the Antarctic Brazilian Program (PROANTAR), Secretaria da Comissao Interministerial para os Recursos do Mar (SECIRM), Conselho Nacional de Desenvolvimento Cientifico e Tecnol ' ogico (CNPq, 550014/2007-1 and 442692/2018-8) and Coordenac ~ao de Aperfeicoamento de Pessoal de Ensino Superior (CAPES, 88887.314458/2019-00). The authors wish to thank the `Comandante Ferraz' Brazilian Antarctic Station staff for support during the sampling activities and G. N. Inglis, J. M. Williams and M. Slowakiewicz for their assistance with chemical analysis. B.D.A. Naafs acknowledges funding through a Royal Society Tata University Research Fellowship. NERC (Reference: CC010) and NEIF (www.isotopesuk.org) are thanked for funding and maintenance of the GC-MS and LC-MS instruments at the University of Bristol used for this work. C.C. Martins and A.L.L. Dauner thank CAPES for personal grant support (BEX 5366/12-7 and 88887.362846/2019-00, respectively). Finally, this work is part of CARBMET project (The multiple faces of organic CARBon and METals in the sub-Antarctic ecosystem) sponsored by CNPq, CAPES and Brazilian Ministry of Science, Technology, Innovation and Communication. We would also like to acknowledge the contribution of J.K. Volkman, S. Schouten and two anonymous reviewers who provided helpful comments on the manuscript..</t>
  </si>
  <si>
    <t>0146-6380</t>
  </si>
  <si>
    <t>1873-5290</t>
  </si>
  <si>
    <t>ORG GEOCHEM</t>
  </si>
  <si>
    <t>Org. Geochem.</t>
  </si>
  <si>
    <t>10.1016/j.orggeochem.2021.104288</t>
  </si>
  <si>
    <t>UM5BP</t>
  </si>
  <si>
    <t>WOS:000693345900006</t>
  </si>
  <si>
    <t>Druckenmiller, PS; Erickson, GM; Brinkman, D; Brown, CM; Eberle, JJ</t>
  </si>
  <si>
    <t>Druckenmiller, Patrick S.; Erickson, Gregory M.; Brinkman, Donald; Brown, Caleb M.; Eberle, Jaelyn J.</t>
  </si>
  <si>
    <t>Nesting at extreme polar latitudes by non-avian dinosaurs</t>
  </si>
  <si>
    <t>PRINCE CREEK FORMATION; NORTH SLOPE; EGG CLUTCHES; RIVER GROUP; TEETH; ORNITHISCHIA; ALASKA; LEPTOCERATOPS; DIVERSITY; EVOLUTION</t>
  </si>
  <si>
    <t>The unexpected discovery of non-avian dinosaurs from Arctic and Antarctic settings has generated considerable debate about whether they had the capacity to reproduce at high latitudes-especially the larger-bodied, hypothetically migratory taxa. Evidence for dinosaurian polar reproduction remains very rare, particularly for species that lived at the highest paleolatitudes (&gt;75 degrees). Here we report the discovery of perinatal and very young dinosaurs from the highest known paleolatitude for the Glade-the Cretaceous Prince Creek Formation (PCF) of northern Alaska, These data demonstrate Arctic reproduction in a diverse assemblage of large- and small-bodied ornithischian and theropod species. In terms of overall diversity, 70% of the known dinosaurian families, as well as avialans (birds), in the PCF are represented by perinatal individuals, the highest percentage for any North American Cretaceous formation. These findings, coupled with prolonged incubation periods, small neonate sizes, and short reproductive windows suggest most, if not all, PCF dinosaurs were nonmigratory year-round Arctic residents. Notably, we reconstruct an annual chronology of reproductive events for the ornithischian dinosaurs using refined paleoenvironmental/plant phenology data and new insights into dinosaur incubation periods. Seasonal resource limitations due to extended periods of winter darkness and freezing temperatures placed severe constraints on dinosaurian reproduction, development, and maintenance, suggesting these taxa showed polar-specific life history strategies, including endothermy.</t>
  </si>
  <si>
    <t>[Druckenmiller, Patrick S.] Univ Alaska Museum, 1962 Yukon Dr, Fairbanks, AK 99775 USA; [Druckenmiller, Patrick S.] Univ Alaska Fairbanks, Dept Geosci, Fairbanks, AK 99775 USA; [Erickson, Gregory M.] Florida State Univ, Dept Biol Sci, 319 Stadium Dr, Tallahassee, FL 32306 USA; [Brinkman, Donald; Brown, Caleb M.] Royal Tyrrell Museum Palaeontol, Drumheller, AB T0J 0Y0, Canada; [Eberle, Jaelyn J.] Univ Colorado, Museum Nat Hist, 265 UCB, Boulder, CO 80309 USA; [Eberle, Jaelyn J.] Univ Colorado, Dept Geol Sci, Boulder, CO 80309 USA</t>
  </si>
  <si>
    <t>University of Alaska System; University of Alaska Fairbanks; University of Alaska System; University of Alaska Fairbanks; State University System of Florida; Florida State University; University of Colorado System; University of Colorado Boulder; University of Colorado System; University of Colorado Boulder</t>
  </si>
  <si>
    <t>Druckenmiller, PS (corresponding author), Univ Alaska Museum, 1962 Yukon Dr, Fairbanks, AK 99775 USA.;Druckenmiller, PS (corresponding author), Univ Alaska Fairbanks, Dept Geosci, Fairbanks, AK 99775 USA.</t>
  </si>
  <si>
    <t>psdruckenmiller@alaska.edu</t>
  </si>
  <si>
    <t>Brown, Caleb Marshall/JXL-8656-2024</t>
  </si>
  <si>
    <t>Brown, Caleb Marshall/0000-0001-6463-8677; EBERLE, JAELYN/0000-0001-6890-9112</t>
  </si>
  <si>
    <t>National Science Foundation [EAR 1226730, EAR 1736515]</t>
  </si>
  <si>
    <t>We thank K. May, R. Missler, D. Stewart, K. Anderson, Z. Perry, J. Rousseau, C. Heninger, K. Johnson, R. Troll, M. Kunz, J. Keeney, B. Breithaupt, B. King, R. VanderHoek, J. Havens, K. Solt, P. Gignac, D. Kay, C. Spurlock, A. Harper, N. Sheplak, C. Calvert, T. Hunt, N. Whalen, F. Therrien, D. Ksepka, as well as the US Bureau of Land Management, State of Alaska Department of History and Archaeology, and North Slope Bureau for permitting and logistical support. We thank three anonymous reviewers whose comments improved the paper. Taxon silhouettes used in Figures 4 and 5 (and graphical abstract) were obtained from Phylopic (http://phylopic.org/) under Public Domain Dedication 1.0 license and Creative Commons Attribution-ShareAlike 3.0 Unported license (https://creativecommons.org/licenses/by-sa/3.0/), with images scaled and/or reflected. Art by Tasman Dixon, Andrew A. Farke, ``FunkMonk,'' Scott Hartman, Jaime Headden, T. Michael Keesey, George Edward Lodge, Gareth Monger, Nobu Tamura, and Emily Willoughby. This work was supported by National Science Foundation grants EAR 1226730 (to P.S.D. and G.M.E.) and EAR 1736515 (to P.S.D., G.M.E., and J.J.E.).</t>
  </si>
  <si>
    <t>AUG 23</t>
  </si>
  <si>
    <t>10.1016/j.cub.2021.05.041</t>
  </si>
  <si>
    <t>UE5SV</t>
  </si>
  <si>
    <t>WOS:000687948600001</t>
  </si>
  <si>
    <t>Colleoni, F; De Santis, L; Pochini, E; Forlin, E; Geletti, R; Brancatelli, G; Tesauro, M; Busetti, M; Braitenberg, C</t>
  </si>
  <si>
    <t>Colleoni, Florence; De Santis, Laura; Pochini, Enrico; Forlin, Edy; Geletti, Riccardo; Brancatelli, Giuseppe; Tesauro, Magdala; Busetti, Martina; Braitenberg, Carla</t>
  </si>
  <si>
    <t>PALEOSTRIPv1.0-a user-friendly 3D backtracking software to reconstruct paleo-bathymetries</t>
  </si>
  <si>
    <t>SUBSIDENCE ANALYSIS; DYNAMIC TOPOGRAPHY; CONTINENTAL-MARGIN; CRUSTAL STRUCTURE; BASIN; EXTENSION; EVOLUTION; PLIOCENE; PROGRAM; BACK</t>
  </si>
  <si>
    <t>Paleo-bathymetric reconstructions provide boundary conditions to numerical models of ice sheet evolution and ocean circulation that are critical to understanding their evolution through time. The geological community lacks a complex open-source tool that allows for community implementations and strengthens research synergies. To fill this gap, we present PALEOSTRIPv1.0, a MATLAB open-source software designed to perform 1D, 2D, and 3D backtracking of paleo-bathymetries. PALEOSTRIP comes with a graphical user interface (GUI) to facilitate computation of sensitivity tests and to allow the users to switch all the different processes on and off and thus separate the various aspects of backtracking. As such, all physical parameters can be modified from the GUI. It includes 3D flexural isostasy, 1D thermal subsidence, and possibilities to correct for prescribed sea level and dynamical topography changes. In the following, we detail the physics embedded within PALEOS TRIP, and we show its application using a drilling site (1D), a transect (2D), and a map (3D), taking the Ross Sea (Antarctica) as a case study. PALEOSTRIP has been designed to be modular and to allow users to insert their own implementations.</t>
  </si>
  <si>
    <t>[Colleoni, Florence; De Santis, Laura; Pochini, Enrico; Forlin, Edy; Geletti, Riccardo; Brancatelli, Giuseppe; Busetti, Martina] Natl Inst Oceanog &amp; Appl Geophys OGS, Borgo Grotta Gigante 42-C, I-34010 Sgonico, TS, Italy; [Pochini, Enrico; Tesauro, Magdala; Braitenberg, Carla] Univ Trieste, Dept Math &amp; Geosci, Piazzale Europa 1, I-34127 Trieste, Italy; [Tesauro, Magdala] Univ Utrecht, Dept Geosci, Utrecht, Netherlands</t>
  </si>
  <si>
    <t>Istituto Nazionale di Oceanografia e di Geofisica Sperimentale; University of Trieste; Utrecht University</t>
  </si>
  <si>
    <t>Colleoni, F (corresponding author), Natl Inst Oceanog &amp; Appl Geophys OGS, Borgo Grotta Gigante 42-C, I-34010 Sgonico, TS, Italy.</t>
  </si>
  <si>
    <t>fcolleoni@inogs.it</t>
  </si>
  <si>
    <t>Braitenberg, Carla/B-5882-2013; Colleoni, Florence/JMQ-7847-2023; Busetti, Martina/L-5185-2014</t>
  </si>
  <si>
    <t>Colleoni, Florence/0000-0003-4582-812X; Busetti, Martina/0000-0001-7039-3282; Forlin, Edy/0000-0002-6756-7277; Geletti, Riccardo/0000-0002-6574-011X; Brancatelli, Giuseppe/0000-0003-0301-7804; Braitenberg, Carla/0000-0001-7277-816X; De Santis, Laura/0000-0002-7752-7754</t>
  </si>
  <si>
    <t>PNRA national Italian projects [PNRA18_00002, PNRA16_00016]; MAE bilateral Italy-US project [US16GR04]</t>
  </si>
  <si>
    <t>PNRA national Italian projects; MAE bilateral Italy-US project</t>
  </si>
  <si>
    <t>This work is supported by the PNRA national Italian projects: PNRA18_00002, Onset of Antarctic Ice Sheet Vulnerability to Oceanic conditions (ANTIPODE), and PNRA16_00016, West Antarctic Ice Sheet History from Slope Processes-Eastern Ross Sea (WHISPERS). It is also supported by the MAE bilateral Italy-US project US16GR04, Global Sea Level rise and Antarctic Ice Sheet Stability predictions: guessing future by learning from past (GLSAISS).</t>
  </si>
  <si>
    <t>10.5194/gmd-14-5285-2021</t>
  </si>
  <si>
    <t>UE7PS</t>
  </si>
  <si>
    <t>WOS:000688076300001</t>
  </si>
  <si>
    <t>Paine, ER; Schmid, M; Boyd, PW; Diaz-Pulido, G; Hurd, CL</t>
  </si>
  <si>
    <t>Paine, Ellie R.; Schmid, Matthias; Boyd, Philip W.; Diaz-Pulido, Guillermo; Hurd, Catriona L.</t>
  </si>
  <si>
    <t>Rate and fate of dissolved organic carbon release by seaweeds: A missing link in the coastal ocean carbon cycle</t>
  </si>
  <si>
    <t>carbon sequestration; dissolved organic carbon; exudation; ocean carbon biogeochemical cycle; primary production; seaweeds</t>
  </si>
  <si>
    <t>KELP ECKLONIA-MAXIMA; INORGANIC CARBON; MATTER RELEASE; CLIMATE-CHANGE; WEST-COAST; HETEROTROPHIC UTILIZATION; INCREASED TEMPERATURE; LAMINARIA-HYPERBOREA; INTERTIDAL SEAWEEDS; NUTRIENT PHYSIOLOGY</t>
  </si>
  <si>
    <t>Dissolved organic carbon (DOC) release by seaweeds (marine macroalgae) is a critical component of the coastal ocean biogeochemical carbon cycle but is an aspect of seaweed carbon physiology that we know relatively little about. Seaweed-derived DOC is found throughout coastal ecosystems and supports multiple food web linkages. Here, we discuss the mechanisms of DOC release by seaweeds and group them into passive (leakage, requires no energy) and active release (exudation, requires energy) with particular focus on the photosynthetic overflow hypothesis. The release of DOC from seaweeds was first studied in the 1960s, but subsequent studies use a range of units hindering evaluation: we convert published values to a common unit (mu mol C center dot g DW-1 center dot h(-1)) allowing comparisons between seaweed phyla, functional groups, biogeographic region, and an assessment of the environmental regulation of DOC production. The range of DOC release rates by seaweeds from each phylum under ambient environmental conditions was 0-266.44 mu mol C center dot g DW-1 center dot h(-1) (Chlorophyta), 0-89.92 mu mol C center dot g DW-1 center dot h(-1) (Ochrophyta), and 0-41.28 mu mol C center dot g DW-1 center dot h(-1) (Rhodophyta). DOC release rates increased under environmental factors such as desiccation, high irradiance, non-optimal temperatures, altered salinity, and elevated dissolved carbon dioxide (CO2) concentrations. Importantly, DOC release was highest by seaweeds that were desiccated (&lt;90 times greater DOC release compared to ambient). We discuss the impact of future ocean scenarios (ocean acidification, seawater warming, altered irradiance) on DOC release rates by seaweeds, the role of seaweed-derived DOC in carbon sequestration models, and how they inform future research directions.</t>
  </si>
  <si>
    <t>[Paine, Ellie R.; Schmid, Matthias; Boyd, Philip W.; Hurd, Catriona L.] Univ Tasmania, Inst Marine &amp; Antarctic Studies, Hobart, Tas 7001, Australia; [Diaz-Pulido, Guillermo] Griffith Univ, Griffith Sch Environm, Australian Rivers Inst Coast &amp; Estuaries, Nathan Campus, Brisbane, Qld 4111, Australia</t>
  </si>
  <si>
    <t>University of Tasmania; Griffith University</t>
  </si>
  <si>
    <t>Paine, ER (corresponding author), Univ Tasmania, Inst Marine &amp; Antarctic Studies, Hobart, Tas 7001, Australia.</t>
  </si>
  <si>
    <t>ellie.paine@utas.edu.au</t>
  </si>
  <si>
    <t>Diaz-Pulido, Guillermo/B-3648-2013; Boyd, Philip W/J-7624-2014; Hurd, Catriona/J-2411-2013</t>
  </si>
  <si>
    <t>Diaz-Pulido, Guillermo/0000-0002-0901-3727; Hurd, Catriona/0000-0001-9965-4917; Paine, Ellie/0000-0003-2816-9521</t>
  </si>
  <si>
    <t>ARC [DP200101467, DP160103071]; Deutsche Forschungsgemeinschaft [SCHM 3335/1-1]; Australian Research Council [DP200101467] Funding Source: Australian Research Council</t>
  </si>
  <si>
    <t>ARC(Australian Research Council); Deutsche Forschungsgemeinschaft(German Research Foundation (DFG)); Australian Research Council(Australian Research Council)</t>
  </si>
  <si>
    <t>We thank Damon Britton for his insight into meta-analyses and literature reviews. We also wish to thank the anonymous reviewers of this manuscript who provided insightful, helpful feedback. ARC DP160103071 funding to GD-P and CLH, and ARC DP200101467 to CLH.; MS was funded through Deutsche Forschungsgemeinschaft grant SCHM 3335/1-1.</t>
  </si>
  <si>
    <t>10.1111/jpy.13198</t>
  </si>
  <si>
    <t>WI1JT</t>
  </si>
  <si>
    <t>WOS:000687129900001</t>
  </si>
  <si>
    <t>Zambri, B; Solomon, S; Thompson, DWJ; Fu, Q</t>
  </si>
  <si>
    <t>Zambri, Brian; Solomon, Susan; Thompson, David W. J.; Fu, Qiang</t>
  </si>
  <si>
    <t>Emergence of Southern Hemisphere stratospheric circulation changes in response to ozone recovery</t>
  </si>
  <si>
    <t>EARTH SYSTEM MODEL; INTERNAL VARIABILITY; CLIMATE; UNCERTAINTY; SIMULATION; EMISSIONS; DEPLETION; TRENDS; EESC</t>
  </si>
  <si>
    <t>Depletion of stratospheric ozone in the Southern Hemisphere (SH) during the late twentieth century cooled local air temperature, which resulted in stronger stratospheric westerly winds near 60 degrees S and altered SH surface climate. However, Antarctic ozone has been recovering since around 2001 thanks to the implementation of the Montreal Protocol, which banned production and consumption of ozone-depleting substances. Here we show that the post-2001 increase in ozone has resulted in significant changes to trends in SH temperature and circulation. The trends are generally of opposite sign to those that resulted from stratospheric ozone losses, including a warming of the SH polar lower stratosphere and a weakening of the SH stratospheric polar vortex. Observed post-2001 trends of temperature and circulation in the stratosphere are about 50-75% smaller in magnitude than the trends during the ozone depletion era. The response is broadly consistent with expectations based on modelled depletion-era trends and variability of both ozone and reactive chlorine. The differences in observed stratospheric trends between the recovery and depletion periods are statistically significant (P &lt; 0.05), providing evidence for the emergence of dynamical impacts of the healing of the Antarctic ozone hole. Antarctic ozone-hole recovery has caused significant changes in Southern Hemisphere stratospheric circulation, according to atmospheric reanalysis and global climate modelling.</t>
  </si>
  <si>
    <t>[Zambri, Brian; Solomon, Susan] MIT, Dept Earth Atmospher &amp; Planetary Sci, Cambridge, MA 02139 USA; [Thompson, David W. J.] Colorado State Univ, Dept Atmospher Sci, Ft Collins, CO 80523 USA; [Fu, Qiang] Univ Washington, Dept Atmospher Sci, Seattle, WA 98195 USA</t>
  </si>
  <si>
    <t>Massachusetts Institute of Technology (MIT); Colorado State University; University of Washington; University of Washington Seattle</t>
  </si>
  <si>
    <t>Zambri, B (corresponding author), MIT, Dept Earth Atmospher &amp; Planetary Sci, Cambridge, MA 02139 USA.</t>
  </si>
  <si>
    <t>bzambri@mit.edu</t>
  </si>
  <si>
    <t>Thompson, David/C-3520-2008; Thompson, David W J/F-9627-2012; Fu, Qiang/W-5836-2019</t>
  </si>
  <si>
    <t>Thompson, David W J/0000-0002-5413-4376;</t>
  </si>
  <si>
    <t>National Science Foundation [NSF 1539972, 1848863, AGS-1848785, AGS-1821437]; Directorate For Geosciences; Div Atmospheric &amp; Geospace Sciences [1848863] Funding Source: National Science Foundation</t>
  </si>
  <si>
    <t>National Science Foundation(National Science Foundation (NSF)); Directorate For Geosciences; Div Atmospheric &amp; Geospace Sciences(National Science Foundation (NSF)NSF - Directorate for Geosciences (GEO))</t>
  </si>
  <si>
    <t>Helpful discussion and comments by D. Kim are gratefully acknowledged. B.Z. and S.S. were supported by grants from the National Science Foundation NSF 1539972 and 1848863, and a gift to MIT from an anonymous donor. D.W.J.T. is supported by NSF AGS-1848785. Q.F. is supported by NSF AGS-1821437. We would like to acknowledge high-performance computing support from Cheyenne (https://doi.org/10.5065/D6RX99HX) provided by NCAR's Computational and Information Systems Laboratory, sponsored by the National Science Foundation.</t>
  </si>
  <si>
    <t>10.1038/s41561-021-00803-3</t>
  </si>
  <si>
    <t>UN8KN</t>
  </si>
  <si>
    <t>WOS:000687514300002</t>
  </si>
  <si>
    <t>Martin-Nielsen, J</t>
  </si>
  <si>
    <t>Martin-Nielsen, Janet</t>
  </si>
  <si>
    <t>Undecided dreams: France in the Antarctic, 1840-2021</t>
  </si>
  <si>
    <t>Antarctica; France; Sovereignty; Environment; Science</t>
  </si>
  <si>
    <t>This paper traces France's role in the Antarctic from 1840, when explorer Jules Dumont d'Urville discovered the slice of the white continent he named Terre Adelie, to the present day. Since World War II, Terre Adelie has been the site of a host of performances of sovereignty: the French have built bases, drawn maps, conducted scientific investigations and erected plaques. But France's commitment to Terre Adelie has been tested and has fallen into crisis several times. The history of France in Antarctica is a tale of ambition, ambivalence, trade-offs and political strategy. This paper aims to elucidate this story, focusing on the concept of sovereignty and the nexus of scientific and political interests. I argue that France's relationship with the Antarctic has been characterised by continual tension, by peaks and troughs and by brinkmanship on the part of actors with their own stakes. While there is broad agreement that Terre Adelie serves a fundamental national interest, I show that France's ambitions on the white continent are far from decided. With its focus on France, which has largely been left out of the growing body of literature on the Antarctic, this paper contributes to building a robust historical understanding of Antarctic claims.</t>
  </si>
  <si>
    <t>[Martin-Nielsen, Janet] KTH Stockholm, GRETPOL Project Greening Poles Sci Environm &amp; Cre, Div Hist Sci Technol &amp; Environm, Stockholm, Sweden</t>
  </si>
  <si>
    <t>Royal Institute of Technology</t>
  </si>
  <si>
    <t>Martin-Nielsen, J (corresponding author), KTH Stockholm, GRETPOL Project Greening Poles Sci Environm &amp; Cre, Div Hist Sci Technol &amp; Environm, Stockholm, Sweden.</t>
  </si>
  <si>
    <t>janet.nielsen@alum.utoronto.ca</t>
  </si>
  <si>
    <t>European Research Council (ERC) under the European Union's Horizon 2020 research and innovation programme [716211 - GRETPOL]</t>
  </si>
  <si>
    <t>This project has received funding from the European Research Council (ERC) under the European Union's Horizon 2020 research and innovation programme (grant agreement No. [716211 -GRETPOL]).</t>
  </si>
  <si>
    <t>e32</t>
  </si>
  <si>
    <t>10.1017/S0032247421000140</t>
  </si>
  <si>
    <t>UD4NN</t>
  </si>
  <si>
    <t>WOS:000687184700001</t>
  </si>
  <si>
    <t>Hogg, OT; Downie, AL; Vieira, RP; Darby, C</t>
  </si>
  <si>
    <t>Hogg, Oliver T.; Downie, Anna-Leena; Vieira, Rui P.; Darby, Chris</t>
  </si>
  <si>
    <t>Macrobenthic Assessment of the South Sandwich Islands Reveals a Biogeographically Distinct Polar Archipelago</t>
  </si>
  <si>
    <t>benthic ecology; marine conservation; marine spatial planning; Southern Ocean; bioregionalisation; habitat mapping; functional trait analysis</t>
  </si>
  <si>
    <t>SCOTIA ARC; OCEAN; BIODIVERSITY; MARINE; SEA; GEORGIA; ATLANTIC; PATTERNS; SHELF; PHYTOPLANKTON</t>
  </si>
  <si>
    <t>The sub-Antarctic South Sandwich Islands forms part of one of the largest marine protected areas (MPAs) in the world. Whilst the neighbouring island of South Georgia is known to be a biodiversity hotspot, very little was known about the benthic biodiversity or biogeography of the South Sandwich Islands. Here we present findings from the first biophysical assessment of this polar archipelago. Using open-access datasets, alongside results from a recent UK Government-funder Blue Belt expedition to the region, we assess how the island's biodiversity is structured spatially and taxonomically and how this is driven by environmental factors. The South Sandwich Islands are shown to be both biologically rich, and biogeographically distinct from their neighbouring provinces. A gradient forest approach was used to map the archipelago's benthic habitats which, based on the functional composition of benthic fauna and environmental characterisation of the benthic environment, demonstrated a distinct biogeographical north-south divide. This faunal and environmental discontinuity between the South Sandwich Islands and the rest of the MPA and between the different islands of the archipelago itself, highlights the importance of the zoned protection across the South Georgia and South Sandwich Islands Marine Protected Area.</t>
  </si>
  <si>
    <t>[Hogg, Oliver T.; Downie, Anna-Leena; Vieira, Rui P.; Darby, Chris] Ctr Environm Fisheries &amp; Aquaculture Sci CEFAS, Lowestoft, Suffolk, England</t>
  </si>
  <si>
    <t>Centre for Environment Fisheries &amp; Aquaculture Science</t>
  </si>
  <si>
    <t>Hogg, OT (corresponding author), Ctr Environm Fisheries &amp; Aquaculture Sci CEFAS, Lowestoft, Suffolk, England.</t>
  </si>
  <si>
    <t>oliver.hogg@cefas.co.uk</t>
  </si>
  <si>
    <t>Hogg, Oliver/0000-0003-1146-0590</t>
  </si>
  <si>
    <t>UK Government through the Blue Belt Programme; Darwin Plus Award [DPLUS089]</t>
  </si>
  <si>
    <t>UK Government through the Blue Belt Programme; Darwin Plus Award</t>
  </si>
  <si>
    <t>This work was funded by the UK Government through the Blue Belt Programme (https://www.gov.uk/government/publications/the-blue-belt-programme). RV was supported by a Darwin Plus Award (DPLUS089).</t>
  </si>
  <si>
    <t>10.3389/fmars.2021.650241</t>
  </si>
  <si>
    <t>UN3KM</t>
  </si>
  <si>
    <t>WOS:000693916500001</t>
  </si>
  <si>
    <t>Li, SZ; Zhong, YS; Zhou, M; Wu, H; Zhang, ZR; Li, B; Gao, YH</t>
  </si>
  <si>
    <t>Li, Shuangzhao; Zhong, Yisen; Zhou, Meng; Wu, Hui; Zhang, Zhaoru; Li, Bo; Gao, Yonghui</t>
  </si>
  <si>
    <t>Mixed layer water mass analysis on the East China Sea inner shelf</t>
  </si>
  <si>
    <t>ESTUARINE COASTAL AND SHELF SCIENCE</t>
  </si>
  <si>
    <t>Mixed layer; Water mass analysis; East China Sea; Changjiang river; Kuroshio subsurface water; Taiwan Strait warm water</t>
  </si>
  <si>
    <t>ANTARCTIC MODE WATER; TAIWAN STRAIT; KUROSHIO; THERMOCLINE; EXCHANGE; WINTER</t>
  </si>
  <si>
    <t>We present a new extension of the traditional mixing triangle water mass analysis that is adapted for the mixed layer (ML) by including the atmospheric effects as a correction term in the original equations. The ML water mass analysis is then employed to determine the water mass contributions in the Changjiang river plume area based on observed hydrographic data in winter, summer and autumn of 2018. The comparison with the traditional method shows remarkable difference in the ratio between the Taiwan Strait Warm Water (TSWW) and the Kuroshio Subsurface Water (KSSW). In winter, a non-neglectable portion of TSWW is found east of 123. E, possibly due to the relaxation of the northeastern monsoon in March. In summer, both methods show that the upper ML water is mostly originated from TSWW and the lower layer from KSSW. The percentage of TSWW is however smaller with the new method. A second experiment using the Kuroshio Surface Water (KSW) in place of the KSSW reveals that the KSW intrusion is not evident in this region. During autumn, TSWW accounts for a major portion of the intrusion, and the cold and salty KSSW is only observed in the bottom layer below 50 m. The subsequent error analysis and sensitivity tests regarding to the relevant input parameters demonstrate the reliability and robustness of this new ML water mass analysis, but dynamic studies are still needed to fully understand the seasonal characteristics of the intrusion into the East China Sea shelf.</t>
  </si>
  <si>
    <t>[Li, Shuangzhao; Zhong, Yisen; Zhou, Meng; Zhang, Zhaoru; Gao, Yonghui] Shanghai Jiao Tong Univ, Sch Oceanog, Shanghai, Peoples R China; [Wu, Hui] East China Normal Univ, State Key Lab Estuarine &amp; Coastal Res, Shanghai, Peoples R China; [Wu, Hui] East China Normal Univ, Sch Marine Sci, Shanghai, Peoples R China; [Li, Bo] Zhejiang Ocean Univ, Dept Oceanog, Zhoushan, Zhejiang, Peoples R China</t>
  </si>
  <si>
    <t>Shanghai Jiao Tong University; East China Normal University; East China Normal University; Zhejiang Ocean University</t>
  </si>
  <si>
    <t>Zhong, YS (corresponding author), Shanghai Jiao Tong Univ, Sch Oceanog, Shanghai, Peoples R China.</t>
  </si>
  <si>
    <t>yisen.zhong@sjtu.edu.cn</t>
  </si>
  <si>
    <t>LIU, JIALIN/JXN-8034-2024</t>
  </si>
  <si>
    <t>National Natural Science Foundation of China [41530960, 41776101, 41606102]; Shanghai Jiao Tong University foundation of prospective study; NSFC Shiptime Sharing Project [41706022]</t>
  </si>
  <si>
    <t>National Natural Science Foundation of China(National Natural Science Foundation of China (NSFC)); Shanghai Jiao Tong University foundation of prospective study; NSFC Shiptime Sharing Project</t>
  </si>
  <si>
    <t>We sincerely thank Johannes Karstensen and two anonymous reviewers for their valuable discussion and comments on this work. This study is supported by National Natural Science Foundation of China (Grant No. 41530960 to Y. Zhong, M. Zhou and Z. Zhang, Grant No. 41776101 to H. Wu, Grant No. 41606102 to Y. Gao) and Shanghai Jiao Tong University foundation of prospective study. Data and samples were collected onboard of R/V Kexue III and Chuangxin II implementing the open research cruise NORC2018-03 supported by NSFC Shiptime Sharing Project (Grant No. 41706022). The ERA5 heat fluxes are available at https://www.ecmwf.int/en/forecasts/datasets/reanalysi s-datasets/era5. The World Ocean Atlas (2013) dataset can be downloaded from https://www.nodc.noaa.gov/OC5/woa13/.</t>
  </si>
  <si>
    <t>0272-7714</t>
  </si>
  <si>
    <t>1096-0015</t>
  </si>
  <si>
    <t>ESTUAR COAST SHELF S</t>
  </si>
  <si>
    <t>Estuar. Coast. Shelf Sci.</t>
  </si>
  <si>
    <t>OCT 31</t>
  </si>
  <si>
    <t>10.1016/j.ecss.2021.107561</t>
  </si>
  <si>
    <t>WD1VX</t>
  </si>
  <si>
    <t>WOS:000704738300003</t>
  </si>
  <si>
    <t>Burns, ES; Wolfe, BW; Armstrong, J; Tang, D; Sakamoto, K; Lowe, CG</t>
  </si>
  <si>
    <t>Burns, Echelle S.; Wolfe, Barrett W.; Armstrong, Jeff; Tang, Danny; Sakamoto, Ken; Lowe, Christopher G.</t>
  </si>
  <si>
    <t>Using acoustic telemetry to quantify potential contaminant exposure of Vermilion Rockfish (Sebastes miniatus), Hornyhead Turbot (Pleuronichthys verticalis), and White Croaker (Genyonemus lineatus) at wastewater outfalls in southern California</t>
  </si>
  <si>
    <t>Fish movement; Fish behavior; Contaminant exposure model; Kernel density estimate; VPS; Publicly owned treatment works</t>
  </si>
  <si>
    <t>MOVEMENT PATTERNS; SITE FIDELITY; HABITAT USE; ORGANIC CONTAMINANTS; LOS-ANGELES; SEDIMENT; BIOACCUMULATION; ACCUMULATION; PLATFORMS</t>
  </si>
  <si>
    <t>Contaminant Exposure Models (CEMs) were developed to predict population-level tissue contaminant concentrations in fishes by pairing sediment-bound contaminant concentrations (DDTs, PCBs) and fine-scale acoustic telemetry data from a habitat-associated species (Vermilion Rockfish, Sebastes miniatus), nomadic flatfish species (Hornyhead Turbot, Pleuronichthys verticalis), and nomadic benthic/midwater schooling species (White Croaker, Genyonemus lineatus) tagged near wastewater outfalls in southern California. Model results were compared to contaminant concentrations in tissue samples. The CEMs developed require further refinement before implementation into management efforts but may act as steppingstones to help shift primary monitoring methods away from the regular field collection of fish for tissue contaminant analyses and towards behavioral modeling and habitat mapping. We also developed Kernel Density Estimates that can be used by managers immediately to identify regions that contribute most to contaminant exposure in species of concern. Prioritizing remediation efforts in these areas are likely to be most effective at improving fish health.</t>
  </si>
  <si>
    <t>[Burns, Echelle S.; Lowe, Christopher G.] Calif State Univ Long Beach, 1250 Bellflower Blvd, Long Beach, CA 90840 USA; [Wolfe, Barrett W.] Univ Tasmania, Inst Marine &amp; Antarctic Studies, Hobart, Tas, Australia; [Armstrong, Jeff; Tang, Danny; Sakamoto, Ken] Orange Cty Sanitat Dist, 10844 Ellis Ave, Orange, CA USA</t>
  </si>
  <si>
    <t>California State University System; California State University Long Beach; University of Tasmania</t>
  </si>
  <si>
    <t>Burns, ES (corresponding author), Calif State Univ Long Beach, 1250 Bellflower Blvd, Long Beach, CA 90840 USA.</t>
  </si>
  <si>
    <t>echelle.burns@gmail.com</t>
  </si>
  <si>
    <t>Wolfe, Barrett/W-3509-2019; Burns, Echelle/HSH-0140-2023</t>
  </si>
  <si>
    <t>Wolfe, Barrett/0000-0002-9406-0578; Burns, Echelle/0000-0002-3902-1410</t>
  </si>
  <si>
    <t>Orange County Sanitation District (OC San), Fountain Valley, CA; SCTC Marine Biology Scholarship Foundation, Long Beach, CA; California State University, Long Beach, CA</t>
  </si>
  <si>
    <t>This work was financially supported by the Orange County Sanitation District (OC San), Fountain Valley, CA; SCTC Marine Biology Scholarship Foundation, Long Beach, CA (awarded in 2017); and the Dr. Donald Reish Research Grant in Marine Biology from the California State University, Long Beach, CA (awarded in 2017).</t>
  </si>
  <si>
    <t>10.1016/j.marenvres.2021.105452</t>
  </si>
  <si>
    <t>UJ8WA</t>
  </si>
  <si>
    <t>WOS:000691558700003</t>
  </si>
  <si>
    <t>Liang, YZ; Jiang, PQ; Yao, BQ; Jiao, YB; Li, J</t>
  </si>
  <si>
    <t>Liang, Yuzi; Jiang, Peiqiang; Yao, Boqing; Jiao, Yabin; Li, Jing</t>
  </si>
  <si>
    <t>Lacisediminihabitans changchengi sp. nov., an actinobacterium isolated from Antarctic swamplands mud</t>
  </si>
  <si>
    <t>ARCHIVES OF MICROBIOLOGY</t>
  </si>
  <si>
    <t>Lacisediminihabitans changchengi; Swamplands mud; Antarctic; Taxonomy</t>
  </si>
  <si>
    <t>MAXIMUM-LIKELIHOOD; SEQUENCES; DNA; INFERENCE; NUMBER; TREES</t>
  </si>
  <si>
    <t>A Gram-staining-positive, heterotrophic, non-spore-forming, non-motile, short rod-shaped, strain G11-30(T) belonging to the genus Lacisediminihabitans was isolated from a swampland mud in Antarctica. The strain was identified using a polyphasic taxonomic approach. The strain grew well on R2A agar media and formed no aerial mycelia and no diffusible pigments on any media tested. The chemotaxonomic results showed 2, 4-diaminobutyric acid (DAB) is the diagnostic diamino acid of the peptidoglycan. MK-10 was the predominant respiratory menaquinone. The major phospholipids were phosphatidylglycerol (PG), diphosphatidylglycerol (DPG), unidentified lipid (L) and unidentified glycolipid (GL). The major fatty acids were anteiso-C15:0 (64.5%) and iso-C15:0 (18.7%). A phylogenetic tree based on 16S rRNA gene sequences showed that strain G11-30(T) formed a lineage in the genus Lacisediminihabitans with the closest phylogenetic Lacisediminihabitans profunda CHu50b-6-2(T) and Glaciihabitans tibetensis MP203(T) (97.9%, 97.5% 16S rRNA gene sequence similarity). A phylogenomic tree based on genome sequence of G11-30(T), conferred by Type Strain Genome Server (TYGS), separated it from L. profunda CHu50b-6-2(T). Strain G11-30(T) has a complete genome size of 2.59 Mb, with a G + C content of 66.2 mol%. The digital DNA-DNA hybridization (dDDH) score between strain G11-30(T) and reference strains L. profunda CHu50b-6-2(T) and G. tibetensis MP203(T) were 20.1 and 20.3%, respectively. Concurrently, Average Nucleotide Identity (ANI) score between strain G11-30( T) against. profunda CHu50b-6-2(T) and G. tibetensis MP203(T) were 76.2 and72.5%, respectively. Based on phenotypic, phylogenetic and genotypic data, a novel species, Lacisediminihabitans changchengi sp. nov. is proposed. The type strain is G11-30(T) (= CCTCC AA 2019080(T) = KCTC49359(T)).</t>
  </si>
  <si>
    <t>[Liang, Yuzi; Jiang, Peiqiang; Yao, Boqing; Jiao, Yabin; Li, Jing] Ocean Univ China, Coll Marine Life Sci, Qingdao 266003, Shandong, Peoples R China</t>
  </si>
  <si>
    <t>Ocean University of China</t>
  </si>
  <si>
    <t>Li, J (corresponding author), Ocean Univ China, Coll Marine Life Sci, Qingdao 266003, Shandong, Peoples R China.</t>
  </si>
  <si>
    <t>lijing313@ouc.edu.cn</t>
  </si>
  <si>
    <t>Li, Jing/0000-0003-4601-3440</t>
  </si>
  <si>
    <t>National Key R&amp;D Program of China [2018YFC1406705]</t>
  </si>
  <si>
    <t>This work was supported by the National Key R&amp;D Program of China (grants 2018YFC1406705).</t>
  </si>
  <si>
    <t>0302-8933</t>
  </si>
  <si>
    <t>1432-072X</t>
  </si>
  <si>
    <t>ARCH MICROBIOL</t>
  </si>
  <si>
    <t>Arch. Microbiol.</t>
  </si>
  <si>
    <t>10.1007/s00203-021-02531-z</t>
  </si>
  <si>
    <t>WE4NT</t>
  </si>
  <si>
    <t>WOS:000687094000001</t>
  </si>
  <si>
    <t>Ashique, AM; Atake, OJ; Ovens, K; Guo, RY; Pratt, IV; Detrich, HW; Cooper, DML; Desvignes, T; Postlethwait, JH; Eames, BF</t>
  </si>
  <si>
    <t>Ashique, Amir M.; Atake, Oghenevwogaga J.; Ovens, Katie; Guo, Ruiyi; Pratt, Isaac, V; Detrich, H. William, III; Cooper, David M. L.; Desvignes, Thomas; Postlethwait, John H.; Eames, B. Frank</t>
  </si>
  <si>
    <t>Bone microstructure and bone mineral density are not systemically different in Antarctic icefishes and related Antarctic notothenioids</t>
  </si>
  <si>
    <t>JOURNAL OF ANATOMY</t>
  </si>
  <si>
    <t>Antarctic icefish; bone microstructure; bone mineral density; comparative anatomy; micro-CT; notothenioid; skeletal evolution</t>
  </si>
  <si>
    <t>BUOYANCY; TISSUE</t>
  </si>
  <si>
    <t>Ancestors of the Antarctic icefishes (family Channichthyidae) were benthic and had no swim bladder, making it energetically expensive to rise from the ocean floor. To exploit the water column, benthopelagic icefishes were hypothesized to have evolved a skeleton with reduced bone, which gross anatomical data supported. Here, we tested the hypothesis that changes to icefish bones also occurred below the level of gross anatomy. Histology and micro-CT imaging of representative craniofacial bones (i.e., ceratohyal, frontal, dentary, and articular) of extant Antarctic fish species specifically evaluated two features that might cause the appearance of reduced bone: bone microstructure (e.g., bone volume fraction and structure linear density) and bone mineral density (BMD, or mass of mineral per volume of bone). Measures of bone microstructure were not consistently different in bones from the icefishes Chaenocephalus aceratus and Champsocephalus gunnari, compared to the related benthic notothenioids Notothenia coriiceps and Gobionotothen gibberifrons. Some quantitative measures, such as bone volume fraction and structure linear density, were significantly increased in some icefish bones compared to homologous bones of non-icefish. However, such differences were rare, and no microstructural measures were consistently different in icefishes across all bones and species analyzed. Furthermore, BMD was similar among homologous bones of icefish and non-icefish Antarctic notothenioids. In summary, reduced bone in icefishes was not due to systemic changes in bone microstructure or BMD, raising the prospect that reduced bone in icefish occurs only at the gross anatomic level (i.e., smaller or fewer bones). Given that icefishes exhibit delayed skeletal development compared to non-icefish Antarctic fishes, combining these phenotypic data with genomic data might clarify genetic changes driving skeletal heterochrony.</t>
  </si>
  <si>
    <t>[Ashique, Amir M.; Atake, Oghenevwogaga J.; Guo, Ruiyi; Pratt, Isaac, V; Cooper, David M. L.; Eames, B. Frank] Univ Saskatchewan, Anat Physiol &amp; Pharmacol, 2D01-107 Wiggins Rd, Saskatoon, SK S7N 5E5, Canada; [Ovens, Katie] McGill Univ, Augmented Intelligence &amp; Precis Hlth Lab AIPHL, Montreal, PQ, Canada; [Detrich, H. William, III] Northeastern Univ, Ctr Marine Sci, Marine &amp; Environm Sci, Nahant, MA 01908 USA; [Desvignes, Thomas; Postlethwait, John H.] Univ Oregon, Inst Neurosci, Eugene, OR 97403 USA</t>
  </si>
  <si>
    <t>University of Saskatchewan; McGill University; Northeastern University; University of Oregon</t>
  </si>
  <si>
    <t>Eames, BF (corresponding author), Univ Saskatchewan, Anat Physiol &amp; Pharmacol, 2D01-107 Wiggins Rd, Saskatoon, SK S7N 5E5, Canada.</t>
  </si>
  <si>
    <t>b.frank@usask.ca</t>
  </si>
  <si>
    <t>Cooper, David/0000-0002-3175-9170; eames, brian/0000-0002-8200-3760; Pratt, Isaac/0000-0001-7839-3922</t>
  </si>
  <si>
    <t>NSERC [RGPIN 435655-201, RGPIN 2014-05563]; US National Science Foundation [ANT-0944517, OPP-1955368, OPP-1947040, OPP-1543383]; National Institute of Health [R01AG031922]</t>
  </si>
  <si>
    <t>NSERC(Natural Sciences and Engineering Research Council of Canada (NSERC)); US National Science Foundation(National Science Foundation (NSF)); National Institute of Health(United States Department of Health &amp; Human ServicesNational Institutes of Health (NIH) - USA)</t>
  </si>
  <si>
    <t>Authors have no conflicts of interest to declare; data are available in supplemental material. This work was supported by NSERC grants RGPIN 435655-201 and RGPIN 2014-05563 to BFE; US National Science Foundation grants ANT-0944517 and OPP-1955368 to HWD, OPP-1947040 to JHP, and OPP-1543383 to JHP, TD, and HWD; and National Institute of Health grant R01AG031922 to JHP and HWD. This is contribution #419 from the Marine Science Center at Northeastern University. Special thanks go to the crew of the ARSV Laurence M Gould and ebullient colleagues of Palmer Station.</t>
  </si>
  <si>
    <t>0021-8782</t>
  </si>
  <si>
    <t>1469-7580</t>
  </si>
  <si>
    <t>J ANAT</t>
  </si>
  <si>
    <t>J. Anat.</t>
  </si>
  <si>
    <t>10.1111/joa.13537</t>
  </si>
  <si>
    <t>Anatomy &amp; Morphology</t>
  </si>
  <si>
    <t>XL5AP</t>
  </si>
  <si>
    <t>WOS:000687063000001</t>
  </si>
  <si>
    <t>Martínez, C; Jaramillo, C; Martínez-Murcia, J; Crepet, W; Cárdenas, A; Escobar, J; Moreno, F; Pardo-Trujillo, A; Caballero-Rodríguez, D</t>
  </si>
  <si>
    <t>Martinez, Camila; Jaramillo, Carlos; Martinez-Murcia, Jhonatan; Crepet, William; Cardenas, Andres; Escobar, Jaime; Moreno, Federico; Pardo-Trujillo, Andres; Caballero-Rodriguez, Dayenari</t>
  </si>
  <si>
    <t>Paleoclimatic and paleoecological reconstruction of a middle to late Eocene South American tropical dry forest</t>
  </si>
  <si>
    <t>Colombia; Esmeraldas Formation; Neotropics; Paleobotany; Palynology; Precipitation</t>
  </si>
  <si>
    <t>MAGDALENA VALLEY BASIN; PLANT DIVERSITY; NORTHERN ANDES; FOSSIL LEAVES; CLIMATE; COLOMBIA; MIOCENE; FRUITS; UPLIFT; ANACARDIACEAE</t>
  </si>
  <si>
    <t>Movement toward our current climate state began in the middle Eocene to early Oligocene interval when the global temperature cooled and the first Antarctic ice sheet appeared. This dramatic climate change caused a significant global turnover in both marine and terrestrial biotas. The biotic response to this event at low latitudes remains mostly unexplored. Here, we studied a recently discovered Eocene fossil macro-and palynoflora from Esmeraldas Formation (Colombia). The Esmeraldas Flora consists of more than seven hundred macrofossil specimens found in two localities, including 45 morphotypes of leaves, seeds, cuticles, fruits, and flowers and &gt; 5000 palynomorphs, that include 210 morphospecies. The Esmeraldas Formation is dominated by meandering river floodplain deposition, and was dated, using palynology and isotopic stratigraphy, as middle to late Eocene (-47.3 to-33.9 Ma). Quantitative paleoclimatic calculations based on leaf physiognomy and coexistence an-alyses indicate a warm temperature and a seasonal precipitation within the range of modern tropical dry forests. Furthermore, the floristic composition that includes the presence of macrofossils of the Pterocarpus clade (Fabaceae), and pollen records of the subfamily Bombacoideae (Malvaceae), and Euphorbiaceae, could be indicative of a tropical dry forest. The overall paleobotanical record suggests that the Esmeraldas flora represents one of the earliest records of a tropical dry forest from low latitudes.</t>
  </si>
  <si>
    <t>[Martinez, Camila; Crepet, William] Cornell Univ, Sch Integrat Plant Sci, Plant Biol Sect, Ithaca, NY 14853 USA; [Martinez, Camila; Jaramillo, Carlos; Martinez-Murcia, Jhonatan; Escobar, Jaime; Moreno, Federico; Caballero-Rodriguez, Dayenari] Ancon, Smithsonian Trop Res Inst, Panama City, Panama; [Martinez, Camila; Cardenas, Andres] Univ EAFIT, Escuela Ciencias, Medellin, Colombia; [Jaramillo, Carlos] Univ Montpellier, CNRS, EPHE, ISEM,IRD, Montpellier, France; [Jaramillo, Carlos] Univ Salamanca, Dept Geol, Salamanca, Spain; [Martinez-Murcia, Jhonatan; Pardo-Trujillo, Andres] Univ Caldas, Fac Ciencias Exactas &amp; Nat, Dept Ciencias Geol, Manizales, Colombia; [Escobar, Jaime] Univ Norte, Dept Ingn Civil, Barranquilla, Colombia; [Moreno, Federico] Univ Rochester, Earth &amp; Environm Sci, Rochester, NY USA</t>
  </si>
  <si>
    <t>Cornell University; Smithsonian Institution; Smithsonian Tropical Research Institute; Universidad EAFIT; Centre National de la Recherche Scientifique (CNRS); Institut de Recherche pour le Developpement (IRD); Universite de Montpellier; Universite PSL; Ecole Pratique des Hautes Etudes (EPHE); University of Salamanca; Universidad de Caldas; Universidad del Norte Colombia; University of Rochester</t>
  </si>
  <si>
    <t>Martínez, C (corresponding author), Cornell Univ, Sch Integrat Plant Sci, Plant Biol Sect, Ithaca, NY 14853 USA.</t>
  </si>
  <si>
    <t>cmartinez2@eafit.edu.co; dayenarix@gmail.com</t>
  </si>
  <si>
    <t>Escobar, Jaime/HSE-4459-2023</t>
  </si>
  <si>
    <t>Martinez, Camila/0000-0001-5832-0451; jaramillo, carlos/0000-0002-2616-5079</t>
  </si>
  <si>
    <t>Howard T. Corrigan Fund of the Asociacion Colombiana de Geologos y Geofisicos del Petroleo; Harold E. Moore Jr. Memorial and Endowment Funds from Cornell University; Latin American Studies Association; Einaudi Center from Cornell University; Smithsonian Tropical Research Institute; Anders Foundation; ISAGEN; Servicio Geologico Colombiano; Fulbright-Colciencias; Plant Biology Section, School of Integrative Plant Science, Cornell University</t>
  </si>
  <si>
    <t>Howard T. Corrigan Fund of the Asociacion Colombiana de Geologos y Geofisicos del Petroleo; Harold E. Moore Jr. Memorial and Endowment Funds from Cornell University; Latin American Studies Association; Einaudi Center from Cornell University; Smithsonian Tropical Research Institute(Smithsonian InstitutionSmithsonian Tropical Research Institute); Anders Foundation; ISAGEN; Servicio Geologico Colombiano; Fulbright-Colciencias; Plant Biology Section, School of Integrative Plant Science, Cornell University</t>
  </si>
  <si>
    <t>We thank M. A. Gandolfo and T. Jordan, for guidance throughout the project; M. Carvalho and N. Jud for support and advice at different stages of the project. L. Espitia, C. Monje, H. Garcia, L. Bueno, A. Zuniga, K. Jimenez, J. Luque and C. Rosero for valuable help in the field; S. Gomez for help with a stratigraphic analysis C. Montes and the Geo-science Department of the Universidad de los Andes, Colombia for providing workspace; the Bailey Hortorium Herbarium for access to plant material; and the Mapuka Museum of the Universidad del Norte, Colombia for providing storage space for part of the collection. This project was supported by the Howard T. Corrigan Fund of the Asociacion Colombiana de Geologos y Geofisicos del Petroleo, Harold E. Moore Jr. Memorial and Endowment Funds from Cornell University, Latin American Studies Association and the Einaudi Center from Cornell University, the Smithsonian Tropical Research Institute, the Anders Foundation, 1923 Fund and Gregory D. and Jennifer Walston Johnson, ISAGEN, and the Servicio Geologico Colombiano, and ISAGEN. The doctoral fellowship Fulbright-Colciencias and the Plant Biology Section, School of Integrative Plant Science, Cornell University.</t>
  </si>
  <si>
    <t>10.1016/j.gloplacha.2021.103617</t>
  </si>
  <si>
    <t>UL3LN</t>
  </si>
  <si>
    <t>WOS:000692556900001</t>
  </si>
  <si>
    <t>Nunes, CI; Massini, JLG; Escapa, IH; Guido, DM; Campbell, KA</t>
  </si>
  <si>
    <t>Nunes, Cristina I.; Garcia Massini, Juan L.; Escapa, Ignacio H.; Guido, Diego M.; Campbell, Kathleen A.</t>
  </si>
  <si>
    <t>Sooty molds from the Jurassic of Patagonia, Argentina</t>
  </si>
  <si>
    <t>AMERICAN JOURNAL OF BOTANY</t>
  </si>
  <si>
    <t>Capnodiales; Chaetothyriales; epiphyllous fungi; hot spring deposits; Pezizomycotina; Podocarpaceae</t>
  </si>
  <si>
    <t>HOT-SPRING ENVIRONMENTS; SP. NOV.; ANTARCTIC PENINSULA; DESEADO MASSIF; SAN AGUSTIN; FUNGI; AMBER; FOSSIL; GENUS; DEPOSITS</t>
  </si>
  <si>
    <t>Premise The sooty molds are a globally distributed ecological group of ascomycetes with epiphyllous, saprotrophic habit, comprising several phylogenetically distant taxa (i.e., members of the classes Dothideomycetes and Eurotiomycetes). Their fossil record extends almost continuously back to the early Cretaceous; however, they are hypothesized to have originated in the early Mesozoic. Here, we describe new specimens of sooty molds associated with conifer leaves from Jurassic hot spring deposits of Patagonia, Argentina. Methods Thin sections of chert samples from the La Matilde Formation, Deseado Massif (Santa Cruz, Argentina) were observed using light microscopy. Results The fungi occur on the surface and axils of leafy twigs with podocarpaceous affinities, forming dense subicula comprised by opaque moniliform hyphae. Additionally, several asexual and sexual reproductive structures are observed. On the basis of vegetative (i.e., dense subicula composed of moniliform hyphae; hyphae composed of opaque cells deeply constricted at the septa) and reproductive characters (i.e., poroconidial and sympodioconidial asexual stages and diverse spores), two morphotypes were identified with affinities within lineages of the subphylum Pezizomycotina that encompass the ecological group of sooty molds, and a third morphotype was within the phylum Ascomycota. Conclusions This finding extends the fossil record of sooty molds to the Jurassic and their geographic fossil range to the South American continent. In particular, their association with podocarpaceous conifers is shown to be ancient, dating back to the Jurassic. This new record provides an additional reference point on the diversity of interactions that characterized Jurassic forests in Patagonia.</t>
  </si>
  <si>
    <t>[Nunes, Cristina I.; Escapa, Ignacio H.] CONICET Museo Paleontol Egidio Feruglio, Ave Fontana 140, RA-9100 Trelew, Chubut, Argentina; [Garcia Massini, Juan L.] Ctr Reg Invest &amp; Transferencia Tecnol La Rioja CO, Entre Rios &amp; Mendoza S-N, RA-5301 Anillaco, La Rioja, Argentina; [Guido, Diego M.] Univ Nacl La Plata, CONICET Fac Ciencias Nat &amp; Museo, Inst Recursos Minerales INREMI, Calle 64 &amp; 120, RA-1900 La Plata, Argentina; [Campbell, Kathleen A.] Univ Auckland, Geol Programme, Sch Environm, Private Bag 92019, Auckland 1142, New Zealand</t>
  </si>
  <si>
    <t>Consejo Nacional de Investigaciones Cientificas y Tecnicas (CONICET); National University of La Plata; University of Auckland</t>
  </si>
  <si>
    <t>Nunes, CI (corresponding author), CONICET Museo Paleontol Egidio Feruglio, Ave Fontana 140, RA-9100 Trelew, Chubut, Argentina.</t>
  </si>
  <si>
    <t>cnunes@mef.org.ar</t>
  </si>
  <si>
    <t>Guido, Diego/0000-0003-4696-5644</t>
  </si>
  <si>
    <t>CONICET [D. 2318, P. 202, 173]; ANPCyT [PICT 2014-3496]</t>
  </si>
  <si>
    <t>CONICET(Consejo Nacional de Investigaciones Cientificas y Tecnicas (CONICET)); ANPCyT(ANPCyT)</t>
  </si>
  <si>
    <t>We thank the Associate Editor and the reviewers for their valuable suggestions and comments that helped to improve this manuscript. We thank technicians Sergio De la Vega (CRILAR) and Mariano Caffa (MEF) for fossil preparation assistance. C.I.N. thanks all the MEF-CONICET fellows for their kind support, and Andres Elgorriaga, Ana Andruchow Colombo, and Facundo De Benedetti for their support and the insightful discussions. We also thank the Culture Bureau of Santa Cruz Province for granting research permits to study the geothermal deposits in the Deseado Massif and local people and workers of Patagonian Gold for the logistic support. This contribution was founded by CONICET (RES. D. 2318, P. 202 &amp; 173 to J.L.G.M.) and ANPCyT (PICT 2014-3496 to J.L.G.M. and D.G.).</t>
  </si>
  <si>
    <t>0002-9122</t>
  </si>
  <si>
    <t>1537-2197</t>
  </si>
  <si>
    <t>AM J BOT</t>
  </si>
  <si>
    <t>Am. J. Bot.</t>
  </si>
  <si>
    <t>10.1002/ajb2.1712</t>
  </si>
  <si>
    <t>UK1FX</t>
  </si>
  <si>
    <t>WOS:000686933000001</t>
  </si>
  <si>
    <t>Jeon, M; Iriarte, JL; Yang, EJ; Kang, SH; Lee, Y; Joo, HM; Ahn, IY; Park, J; Min, GS; Park, SJ</t>
  </si>
  <si>
    <t>Jeon, Misa; Iriarte, Jose Luis; Yang, Eun Jin; Kang, Sung-Ho; Lee, Youngju; Joo, Hyoung Min; Ahn, In-Young; Park, Jisoo; Min, Gi-Sik; Park, Sang-Jong</t>
  </si>
  <si>
    <t>Phytoplankton succession during a massive coastal diatom bloom at Marian Cove, King George Island, Antarctica</t>
  </si>
  <si>
    <t>Phytoplankton blooms; Marian Cove; Sympagic diatom; Benthic diatom; 2010 summer bloom</t>
  </si>
  <si>
    <t>SEA-ICE; ADMIRALTY BAY; CLIMATE-CHANGE; SEASONAL-VARIATION; LIGHT-MICROSCOPY; SOUTH SHETLAND; PENINSULA; DYNAMICS; VARIABILITY; SUMMER</t>
  </si>
  <si>
    <t>To understand the community structure and the functional dynamics of phytoplankton over the long term, it is essential to identify rapid changes in the properties of Antarctic phytoplankton communities in relation to ongoing changes in environmental factors due to climate change. This study investigated short-term variability in the phytoplankton biomass and its composition over the summer of 2010 when the sea surface temperature was lowest and chlorophyll-a (chl-a) concentrations were the highest, relative to a 15-year monitoring period (1996-2011). We assessed the intraseasonal variability of the phytoplankton assemblage structure and its synchrony with changes in the main environmental variables in Marian Cove of King George Island, Antarctica. Chlorophyll-a concentrations in summer 2010 (January-February) were significantly higher (up to 24 mu g L-1) when the high phytoplankton carbon biomass (603 mu g C L-1) was dominated by the sympagic diatom Navicula glaciei, the benthic diatoms Licmophora belgicae and Fragilaria striatula, the planktonic diatoms Thalassiosira antarctica and Thalassiosira spp. (cell size &lt;10 mu m), and the Haptophyceae nanoplanktonic cells of Phaeocystis antarctica. Intraseasonal processes such as easterly winds direction on Maxwell Bay appeared to be the main factors affecting the advection of cold, nutrient-rich waters, and water stability that enhanced phytoplankton growth in Marian Cove.</t>
  </si>
  <si>
    <t>[Jeon, Misa; Yang, Eun Jin; Kang, Sung-Ho; Lee, Youngju; Joo, Hyoung Min; Ahn, In-Young; Park, Jisoo] Korea Polar Res Inst, Div Polar Ocean Sci, 26 Songdo Dong, Incheon 21990, South Korea; [Iriarte, Jose Luis] Univ Austral Chile, Inst Acuicultura, Res Ctr FONDAP IDEAL, Puerto Montt Punta Arena, Chile; [Min, Gi-Sik] Inha Univ, Dept Biol Sci &amp; Bioengn, Incheon 22212, South Korea; [Park, Sang-Jong] Korea Polar Res Inst, Div Polar Climate Sci, 26 Songdo Dong, Incheon 21990, South Korea</t>
  </si>
  <si>
    <t>Korea Polar Research Institute (KOPRI); Universidad Austral de Chile; Inha University; Korea Polar Research Institute (KOPRI)</t>
  </si>
  <si>
    <t>Yang, EJ; Kang, SH (corresponding author), Korea Polar Res Inst, Div Polar Ocean Sci, 26 Songdo Dong, Incheon 21990, South Korea.</t>
  </si>
  <si>
    <t>ejyang@kopri.re.kr; shkang@kopri.re.kr</t>
  </si>
  <si>
    <t>Park, Sang-Jong/B-7049-2011</t>
  </si>
  <si>
    <t>Yang, Eun Jin/0000-0002-8639-5968</t>
  </si>
  <si>
    <t>Korea Polar Research Institute poject (KOPRI) [PE 21110, PE21170]; program FONDAP-IDEAL [15150003]</t>
  </si>
  <si>
    <t>Korea Polar Research Institute poject (KOPRI)(Korea Polar Research Institute of Marine Research Placement (KOPRI)); program FONDAP-IDEAL</t>
  </si>
  <si>
    <t>This work was supported by the Korea Polar Research Institute poject (KOPRI; PE 21110 &amp; PE21170). J.L. Iriarte was partially supported by program FONDAP-IDEAL 15150003. We thank to Dr. Maria Vernet and two anonymous reviewers for providing constructive comments and suggestions that improved substantially the original version of the manuscript.</t>
  </si>
  <si>
    <t>10.1007/s00300-021-02933-1</t>
  </si>
  <si>
    <t>WOS:000687014000001</t>
  </si>
  <si>
    <t>Shiganova, TA; Abyzova, GA</t>
  </si>
  <si>
    <t>Shiganova, Tamara A.; Abyzova, Galina A.</t>
  </si>
  <si>
    <t>Revision of Beroidae (Ctenophora) in the southern seas of Europe: systematics and distribution based on genetics and morphology</t>
  </si>
  <si>
    <t>Black Sea; DNA barcoding; European southern seas; internal transcribed spacer; invasive species; Mediterranean Sea</t>
  </si>
  <si>
    <t>BEROE-OVATA MAYER; IN-SITU OBSERVATIONS; GELATINOUS ZOOPLANKTON; MNEMIOPSIS-LEIDYI; COASTAL WATERS; PLEUROBRACHIA-PILEUS; INVASIVE CTENOPHORES; MEDITERRANEAN COAST; 1ST OCCURRENCE; ARCTIC-OCEAN</t>
  </si>
  <si>
    <t>Genetic and morphological analyses were used to revise historical controversies in identities of Beroe species in the southern seas of Europe. DNA analyses with ITS sequences were used to explore their phylogenetic relationships. Three species of Beroe were initially listed as occurring in the Mediterranean Sea. Recently, the specimens were often re-identified using genetic analyses, causing confusions of identity. In 1997, a non-native Beroe was introduced into the Black Sea, which established there and spread to the adjacent seas, adding more controversy and confusion to species identification in this group of comb jellies. Our revisions suggest the following systematic changes: (1) re-naming of the species from what was initially labelled as Beroe ovata, and later as B. cucumis (sensu), to Beroe pseudocucumis sp. nov.. (2) Beroe mitrata but not Beroe 'anatoliensis' inhabits the Aegean Sea, as was reported previously. (3) Beroe ovata is the only species of Beroidae that became invasive and should be used with the authority of , but not in the sense of . (4) Beroe forskalii appears to be represented by two species in the Mediterranean and in the Antarctic, but further justification is needed. (5) Beroe cucumis is a species of bipolar occurrence, inhabiting both subpolar areas and its recent definition as Beroe 'norvegica' is incorrect.</t>
  </si>
  <si>
    <t>[Shiganova, Tamara A.; Abyzova, Galina A.] Russian Acad Sci, Shirshov Inst Oceanol, Nakhimovskyi Pr 36, Moscow, Russia</t>
  </si>
  <si>
    <t>Shiganova, TA (corresponding author), Russian Acad Sci, Shirshov Inst Oceanol, Nakhimovskyi Pr 36, Moscow, Russia.</t>
  </si>
  <si>
    <t>shiganov@ocean.ru</t>
  </si>
  <si>
    <t>Abyzova, Galina/J-4968-2018</t>
  </si>
  <si>
    <t>Ministry of Education and Science of the Russian Federation [0149-2019-0010]</t>
  </si>
  <si>
    <t>Ministry of Education and Science of the Russian Federation(Ministry of Education and Science, Russian Federation)</t>
  </si>
  <si>
    <t>This research was performed in the framework of State assignment of the Ministry of Education and Science of the Russian Federation (theme No. 0149-2019-0010).</t>
  </si>
  <si>
    <t>10.1093/zoolinnean/zlab021</t>
  </si>
  <si>
    <t>XX2AN</t>
  </si>
  <si>
    <t>WOS:000736105600012</t>
  </si>
  <si>
    <t>Yang, ZK; Zhang, YA; Xie, ZQ; Wang, J; Li, ZL; Li, YQ; Du, JL; Sun, LG</t>
  </si>
  <si>
    <t>Yang, Zhongkang; Zhang, Youai; Xie, Zhouqing; Wang, Jun; Li, Zhaolei; Li, Yanqiang; Du, Jinlong; Sun, Liguang</t>
  </si>
  <si>
    <t>Potential influence of rapid climate change on elemental geochemistry distributions in lacustrine sediments-A case study at a high Arctic site in Ny-Alesund, Svalbard</t>
  </si>
  <si>
    <t>Arctic; Rapid climate change; Vegetation; Elemental geochemistry distributions; Lacustrine sediments</t>
  </si>
  <si>
    <t>RECENT ENVIRONMENTAL-CHANGE; URSUS-MARITIMUS; HEAVY-METALS; TRACE-METALS; LAKE; PRODUCTIVITY; HYDROCARBONS; VARIABILITY; MERCURY; RECORDS</t>
  </si>
  <si>
    <t>Metal contamination has become an increasingly severe environmental issue due to intense anthropogenic activities in recent decades. Many studies have reported a rapidly increasing trend of heavy metal contents in sedimentary records. In this study, two lacustrine sediment cores (LDL and YL) far away from scientific research stations were collected in Ny-Alesund and analyzed for the vertical distributions of 17 elemental concentrations (Cu, Zn, Pb, Co, Ni, Cr, Sr, Ba, Mn, P, Ti, K2O, Na2O, CaO, MgO, Fe2O3, Al2O3), CIA and TOC contents. The results indicated that only the proxies Pb, P, CaO, TOC, and CIA showed an increasing trend in the upper 7 cm section of the sediment cores, while most of the elements' concentrations decreased towards the surface. The rapid increase of TOC contents is likely related to the climate warming over the past 200 years, which promotes the prosperity of vegetation and thus leads to more input of organic matter into the lakes. Moreover, a large number of seabirds live around the sampling position and the seabird guano contains high concentrations of P, which could be regarded as an important nutrient source for vegetation. Additionally, the rapid climate warming could accelerate the chemical weathering rates, and thus lead to increased CaO contents in the sediment profiles according to its geological background. Therefore, the concentrations of other elements are very likely diluted by the high contents of organic matter and CaO in the upper part of the sediment cores. It is noteworthy that the rapidly increasing trend of Pb contents are related to the gas-oil powered generators in Ny-Alesund and long-range atmospheric transport from Europe. This study highlighted the nonnegligible influence of climate warming on the inorganic elemental geochemistry distributions in remote lakes. (C) 2021 Elsevier B.V. All rights reserved.</t>
  </si>
  <si>
    <t>[Yang, Zhongkang; Zhang, Youai; Wang, Jun; Li, Zhaolei; Li, Yanqiang] Shandong Agr Univ, Key Lab Agr Environm Univ Shandong, Coll Resources &amp; Environm, Natl Engn Lab Efficient Utilizat Soil &amp; Fertilize, Tai An 271000, Shandong, Peoples R China; [Yang, Zhongkang; Xie, Zhouqing; Sun, Liguang] Univ Sci &amp; Technol China, Inst Polar Environm, Hefei 230026, Peoples R China; [Yang, Zhongkang; Xie, Zhouqing; Sun, Liguang] Univ Sci &amp; Technol China, Anhui Key Lab Polar Environm &amp; Global Change, Dept Environm Sci &amp; Engn, Hefei 230026, Peoples R China; [Du, Jinlong] Gansu Agr Univ, Coll Resources &amp; Environm Sci, Lanzhou 730070, Peoples R China</t>
  </si>
  <si>
    <t>Shandong Agricultural University; Chinese Academy of Sciences; University of Science &amp; Technology of China, CAS; Chinese Academy of Sciences; University of Science &amp; Technology of China, CAS; Gansu Agricultural University</t>
  </si>
  <si>
    <t>Yang, ZK; Wang, J (corresponding author), Shandong Agr Univ, Key Lab Agr Environm Univ Shandong, Coll Resources &amp; Environm, Natl Engn Lab Efficient Utilizat Soil &amp; Fertilize, Tai An 271000, Shandong, Peoples R China.;Yang, ZK; Sun, LG (corresponding author), Univ Sci &amp; Technol China, Inst Polar Environm, Hefei 230026, Peoples R China.;Yang, ZK; Sun, LG (corresponding author), Univ Sci &amp; Technol China, Anhui Key Lab Polar Environm &amp; Global Change, Dept Environm Sci &amp; Engn, Hefei 230026, Peoples R China.</t>
  </si>
  <si>
    <t>zkyang@sdau.edu.cn; jwang@sdau.edu.cn; slg@ustc.edu.cn</t>
  </si>
  <si>
    <t>The researchwas supported by Natural Science Foundation of China (NSFC) (42006054) and Chinese Polar Environment Comprehensive Investigation &amp; Assessment Programmes (CHINARE2017-02-01, CHINARE2017-04-04). We thank Dr. Luyao Tu (University of Bern) for her helpful grammatical revisions to improve the manuscript. Samples were provided by the Polar Sediment Repository of Polar Research Institute of China (PRIC). Samples Information and Data were issued by the Resource-sharing Platform of Polar Samples (http://birds.chinare.org.cn) maintained by Polar Research Institute of China (PRIC) and Chinese National Arctic &amp; Antarctic Data Center (CN-NADC). We thank the Chinese Arctic and Antarctic Administration and PRIC for logistical support in field. Wealso thank the Governor of Svalbard for permission to carry out fieldwork.</t>
  </si>
  <si>
    <t>10.1016/j.scitotenv.2021.149784</t>
  </si>
  <si>
    <t>WC6VJ</t>
  </si>
  <si>
    <t>WOS:000704393400008</t>
  </si>
  <si>
    <t>Mascioni, M; Almandoz, GO; Ekern, L; Pan, BJ; Vernet, M</t>
  </si>
  <si>
    <t>Mascioni, Martina; Almandoz, Gaston O.; Ekern, Lindsey; Pan, B. Jack; Vernet, Maria</t>
  </si>
  <si>
    <t>Microplanktonic diatom assemblages dominated the primary production but not the biomass in an Antarctic fjord</t>
  </si>
  <si>
    <t>Cryptophytes; Odontella weissflogii; Phytoplankton assemblages; Carbon-to-chlorophyll a ratio; Peridinin-lacking dinoflagellates</t>
  </si>
  <si>
    <t>PHYTOPLANKTON COMMUNITY COMPOSITION; KING-GEORGE ISLAND; ICE-ZONE WEST; BRANSFIELD STRAITS; GROWTH-RATES; PELAGIC ECOSYSTEMS; AUSTRAL SUMMER; SEA-ICE; PENINSULA; WATERS</t>
  </si>
  <si>
    <t>The western Antarctic Peninsula (WAP) fjords, currently threatened by climate change, are known as high krill congregation areas, however, the primary productivity in relation to phytoplankton groups in these coastal areas remains uncertain. To test this, we studied the specific composition, diversity and cellular carbon content of phytoplankton communities in relation to primary production (PP) and growth rates in Andvord Bay, its connection to Gerlache Strait and a near station on the continental shelf during spring (2015) and autumn (2016). Based on the microscopic determination of the relative biomass of the different microalgal taxa we determined three main phytoplankton assemblages that differ in their composition, PP, growth, and spatial and temporal distribution: (1) an assemblage dominated by cryptophytes, with high biomass (59.2 +/- 28.2 mu gC L-1), intermediate PP (63.1 +/- 32 mgC m(-3)d(-1)), and low growth (0.2 +/- 1.1 d(-1)) present in the inner part of the fjord during spring, and related to higher surface water temperatures; (2) an assemblage dominated by microplanktonic diatoms (mainly Odontella weissflogii) with intermediate biomass (40.1 +/- 17.2 mu gC L-1), high PP (151.2 +/- 62.5 mgC m(-3)d(-1)), and high growth (0.9 +/- 1 d(-1)) present from the fjord mouth to the Gerlache Strait waters during spring and in shelf waters during autumn, related to high irradiance and microzooplankton biomass; and (3) an assemblage dominated by dinoflagellates, mainly small gymnodinioids (&lt; 15 mu m long), with low biomass (3.5 +/- 3.5 mu gC L-1), low PP (6.9 +/- 5.1 mgC m(-3)d(-1)), and intermediate growth (0.5 +/- 0.6 d(-1)) present in the whole fjord and the Gerlache Strait during autumn and infrequently during spring, related to high meltwater fraction. During both seasons, the highest phytoplankton biomass, richness and productivity in Andvord Bay was located in a frontal area at the fjord's mouth. Overall, the results of this study support the notion that WAP fjords are highly productive, highlighting the role of microplanktonic diatom as the main organic carbon producers, even when they occur in low abundances, due to their photosynthetic potential and higher Carbon-to-Chlorophyll a ratio. Our results, together with previous phytoplankton growth rates measured in the WAP nearshore waters from King George Island to Marguerite Bay, are higher than those measured on the WAP shelf and in the Ross Sea suggesting micro- and macronutrient enrichment from glacial melt maintains high productivity throughout the growth season in fjords. Our results support the hypothesis that climate change could highly affect the coastal WAP ecosystems by changing the balance between more productive phytoplankton assemblages (diatoms) to considerably less productive phytoplankton assemblages (cryptophytes).</t>
  </si>
  <si>
    <t>[Mascioni, Martina; Almandoz, Gaston O.] Univ Nacl La Plata, Fac Ciencias Nat &amp; Museo, Div Ficol, Paseo Bosque S-N, RA-1900 La Plata, Argentina; [Mascioni, Martina; Almandoz, Gaston O.] Consejo Nacl Invest Cient &amp; Tecn, Godoy Cruz 2290,C1425FQB, Buenos Aires, DF, Argentina; [Ekern, Lindsey; Pan, B. Jack; Vernet, Maria] Univ Calif San Diego, Scripps Inst Oceanog, Integrat Oceanog Div, La Jolla, CA 92093 USA</t>
  </si>
  <si>
    <t>National University of La Plata; Museo La Plata; Consejo Nacional de Investigaciones Cientificas y Tecnicas (CONICET); University of California System; University of California San Diego; Scripps Institution of Oceanography</t>
  </si>
  <si>
    <t>Mascioni, M (corresponding author), Univ Nacl La Plata, Fac Ciencias Nat &amp; Museo, Div Ficol, Paseo Bosque S-N, RA-1900 La Plata, Argentina.</t>
  </si>
  <si>
    <t>marmascioni@gmail.com</t>
  </si>
  <si>
    <t>Mascioni, Martina/0000-0002-4994-5289</t>
  </si>
  <si>
    <t>Consejo Nacional de Investigaciones Cientificas y Tecnicas (CONICET, Argentina) [PIP 0122]; Agencia Nacional de Promocion Cientifica y Tecnologica (ANPCyT, Argentina) [PICT 02719]; CONICET; National Science Foundation [PLR-1443705]</t>
  </si>
  <si>
    <t>Consejo Nacional de Investigaciones Cientificas y Tecnicas (CONICET, Argentina)(Consejo Nacional de Investigaciones Cientificas y Tecnicas (CONICET)); Agencia Nacional de Promocion Cientifica y Tecnologica (ANPCyT, Argentina)(ANPCyT); CONICET(Consejo Nacional de Investigaciones Cientificas y Tecnicas (CONICET)); National Science Foundation(National Science Foundation (NSF))</t>
  </si>
  <si>
    <t>The authors would like to thank all participating principle in-vestigators and their affiliates during the NSF FjordEco project, Dr. Craig Smith, Dr. Mark Merrifield, and Dr. Brian Powell from University of Hawai'i at Manoa, Dr. Martin Truffer from University of Alaska at Fairbanks, and Dr. Peter Winsor from World Wildlife Fund Arctic. The authors would also like to thank the students, volunteers and technicians that helped during sampling, the captain and crew of R/V Lawrence M. Gould and RVIB Nathaniel B. Palmer and United States Antarctic Pro-gram contractors. We also thank comments from anonymous reviewers that substantially improved our manuscript. This study was supported by Grants PIP 0122 from Consejo Nacional de Investigaciones Cientificas y Tecnicas (CONICET, Argentina) and PICT 02719 from Agencia Nacional de Promocion Cientifica y Tecnologica (ANPCyT, Argentina) to G.O.A, a doctoral fellowship from CONICET to M.M., and funding from the National Science Foundation award (PLR-1443705) to M.V.</t>
  </si>
  <si>
    <t>10.1016/j.jmarsys.2021.103624</t>
  </si>
  <si>
    <t>UR8ZY</t>
  </si>
  <si>
    <t>WOS:000697031300001</t>
  </si>
  <si>
    <t>Vallelonga, P; Maffezzoli, N; Saiz-Lopez, A; Scoto, F; Kjær, HA; Spolaor, A</t>
  </si>
  <si>
    <t>Vallelonga, Paul; Maffezzoli, Niccolo; Saiz-Lopez, Alfonso; Scoto, Federico; Kjaer, Helle Astrid; Spolaor, Andrea</t>
  </si>
  <si>
    <t>Sea-ice reconstructions from bromine and iodine in ice cores</t>
  </si>
  <si>
    <t>Halogen; Ice core; Bromine; Iodine; Sea-ice; Sea-ice extent; Sea-ice reconstruction; Antarctica; Southern ocean; Greenland; Svalbard; Severnaya Zemlya; Nordic seas</t>
  </si>
  <si>
    <t>ATMOSPHERIC BOUNDARY-LAYER; ABRUPT CLIMATE-CHANGE; SOUTHERN-OCEAN; LAW DOME; METHANESULFONIC-ACID; SNOW ACCUMULATION; TALOS DOME; AEROSOL COMPOSITION; VOLCANIC-ERUPTIONS; HALOGEN DEPOSITION</t>
  </si>
  <si>
    <t>As the intricacies of paleoclimate dynamics are explored, it is becoming understood that sea-ice variability can instigate, or contribute to, climate change instabilities commonly described as tipping points. Compared to ice sheets and circulating ocean currents, sea-ice is ephemeral and continentalscale changes to sea ice cover occur seasonally. Sea-ice greatly influences polar albedo, atmosphere-ocean gas exchange and vertical mixing of polar ocean masses. Major changes in sea ice distribution and thickness have been invoked as drivers of deglaciations as well as stadial climate variability described in Greenland climate records as Dansgaard-Oeschger cycles and described in Antarctic climate records as Antarctic Isotopic Maxima. The role of halogens in polar atmospheric chemistry has been studied intensively over the past few decades. This research has been driven by the role of bromine, primarily as gas-phase bromine monoxide (BrO), which exerts a key control on polar tropospheric ozone concentrations. Initial findings led to the discovery of boundary-layer self-catalyzing heterogeneous bromine reactions fed by sunlight and ozone, known as bromine explosions. First-year sea-ice and blowing snow have been identified as key components for this heterogeneous bromine recycling in the polar boundary layer. This understanding of polar halogen chemistry - supported by an expanding body of observations and modeling - has formed the basis for investigating quantitative links between halogen concentrations in the polar atmospheric boundary layer and sea-ice presence and/or extent. Despite the clear importance of sea-ice in paleoclimate research, the ice core community lacks a conservative and quantitative proxy for sea-ice extent. The most commonly applied proxy, methanesulphonic acid (MSA), is volatile and has not been demonstrated reliably for ice core records extending beyond the last few centuries. Sodium has also been applied to reconstruct sea-ice extent in a semi-quantitative manner although the effects of meteorological transport noise are significant. Contrary to a priori expectations, the halogens bromine and iodine appear to be stable in polar snow and ice over millennial timescales, addressing the temporal limitations of MSA records. Unfortunately, transport and meteorological variability influence sodium deposition as well as the deposition of halogens and the many other ionic impurities found in ice cores. The atmospheric chemistry of halogens is more complex than those of sodium or MSA due to the mixed-phase (gas and aerosol) nature of halogen photochemistry. Thus the application of halogen records in ice cores to sea-ice reconstruction overcomes some challenges posed by existing proxies, but also opens new challenges specific to halogens. Challenges common to all sea-ice proxies include the deconvolution of changes in emission source locations and changes in transport efficacy, particularly those occurring during climate transitions combining changes in sea-ice and atmospheric circulation, such as stadial/interstadial or glacial/interglacial climate variability. In this review, we describe the rationale and available evidence for linking the halogens bromine and iodine found in polar snow and ice to sea-ice extent. Reported measurements of bromine and iodine in polar snow and ice samples are critically discussed. We also consider aspects of halogen transport and retention in polar snow and ice that are still poorly understood. Overall, there is a growing body of evidence supporting the application of bromine to sea-ice reconstructions, and the use of iodine to reconstruct marine biological activity mediated in part by sea-ice extent. These halogens complement existing sea-ice proxies but most crucially, offer the capacity to greatly extend the temporal and spatial coverage of ice core-based sea-ice reconstructions. We identify knowledge gaps existing in the current understanding of spatial and temporal variability of halogen distributions in the polar regions. We suggest areas where polar halogen chemistry can contribute to a better understanding of the halogen records recovered from ice cores. Finally, we propose future steps for establishing reliable and constructive sea-ice reconstructions based on bromine and iodine as observed in snow and ice cores. (C) 2021 The Authors. Published by Elsevier Ltd.</t>
  </si>
  <si>
    <t>[Vallelonga, Paul; Maffezzoli, Niccolo; Kjaer, Helle Astrid] Univ Copenhagen, Niels Bohr Inst, Phys Ice Climate &amp; Earth PICE, Tagensvej 16, DK-2200 Copenhagen N, Denmark; [Vallelonga, Paul] Univ Western Australia, Oceans Grad Sch, M470, Perth, WA 6009, Australia; [Maffezzoli, Niccolo; Spolaor, Andrea] Univ Ca Foscari Venice, Dept Environm Sci Informat &amp; Stat, Via Torino 155, I-30172 Venice, Italy; [Maffezzoli, Niccolo; Spolaor, Andrea] Natl Res Council Italy, Inst Polar Sci, Via Torino 155, I-30172 Venice, Italy; [Saiz-Lopez, Alfonso] CSIC, Dept Atmospher Chem &amp; Climate, Inst Phys Chem Rocasolano, Serrano 119, Madrid 28006, Spain; [Scoto, Federico] Natl Res Council Italy, Inst Atmospher Sci &amp; Climate, SPLecce Monteroni Km 1-2, I-73100 Lecce, Italy</t>
  </si>
  <si>
    <t>University of Copenhagen; Niels Bohr Institute; University of Western Australia; Universita Ca Foscari Venezia; Consiglio Nazionale delle Ricerche (CNR); Consejo Superior de Investigaciones Cientificas (CSIC); CSIC - Instituto de Quimica Fisica Rocasolano (IQFR); Consiglio Nazionale delle Ricerche (CNR); Istituto di Scienze dell'Atmosfera e del Clima (ISAC-CNR)</t>
  </si>
  <si>
    <t>Vallelonga, P (corresponding author), Univ Copenhagen, Niels Bohr Inst, Phys Ice Climate &amp; Earth PICE, Tagensvej 16, DK-2200 Copenhagen N, Denmark.</t>
  </si>
  <si>
    <t>vallelonga@nbi.ku.dk</t>
  </si>
  <si>
    <t>Kjær, Helle Astrid/HGC-7941-2022; Saiz-Lopez, Alfonso/B-3759-2015; Vallelonga, Paul/I-9650-2016</t>
  </si>
  <si>
    <t>Kjær, Helle Astrid/0000-0002-3781-9509; Saiz-Lopez, Alfonso/0000-0002-0060-1581; Spolaor, Andrea/0000-0001-8635-9193; Maffezzoli, Niccolo/0000-0002-8649-9185; Vallelonga, Paul/0000-0003-1055-7235; Scoto, Federico/0000-0003-2498-3227</t>
  </si>
  <si>
    <t>European Research Council under the European Community's Seventh Framework Programme (FP7/2007-2013)/ERC grant as part of the ice2ice project [610055]; MIUR (Italian Ministry of University and Research) - PNRA (Italian Antarctic Research Programme) program through the IPICS-2kyr-It project (International Partnership for Ice Core Science, reconstructing the climate variability for the last 2kyr, the Italia; KOPRI (Korea Polar Research Institute) [PE15010]; Programma Nazionale per la Ricerca in Antartide (PNRA) [2013/AC3.03 PEA 2013-2015, PNRA0016_295]</t>
  </si>
  <si>
    <t>European Research Council under the European Community's Seventh Framework Programme (FP7/2007-2013)/ERC grant as part of the ice2ice project; MIUR (Italian Ministry of University and Research) - PNRA (Italian Antarctic Research Programme) program through the IPICS-2kyr-It project (International Partnership for Ice Core Science, reconstructing the climate variability for the last 2kyr, the Italia; KOPRI (Korea Polar Research Institute); Programma Nazionale per la Ricerca in Antartide (PNRA)</t>
  </si>
  <si>
    <t>This research has received funding from the European Research Council under the European Community's Seventh Framework Programme (FP7/2007e2013)/ERC grant agreement 610055 as part of the ice2ice project. We thank the following for providing polar ice and snow data: Olivia Maselli (Summit), Joe McConnell (Antarctic array), Chuanjin Li and Shichang Kang (Dome A traverse), Mark Curran (Law Dome) and Mirko Severi (TALDICE). We thank Andreas Richter (IUP-Bremen) for providing BrO and IO satellite data product. We also thank colleagues Carlo Barbante, Sarah Berben, Pablo Corella, Giulio Cozzi, Carlos A. Cuevas, Tobias Erhardt, Peter Neff, Jason Roberts, Anders Svensson, Marius Simonsen and Clara Turetta. We would like to acknowledge the essential contribution of the Inuit Windsled Project, consisting of Ross Edwards, Hermenegildo Moreno, Jens Jacob Simonsen and Ramon Larramendi, in providing snow samples collecting during the 2017 Kangerlussuaq-EGRIP traverse.; The GV7 surface sampling was support by the MIUR (Italian Ministry of University and Research) -PNRA (Italian Antarctic Research Programme) program through the IPICS-2kyr-It project (International Partnership for Ice Core Science, reconstructing the climate variability for the last 2kyr, the Italian contribution). The IPICS-2kyr-It project is carried out in cooperation with KOPRI (Korea Polar Research Institute, grant No. PE15010). The Dome C surface snow sampling was supported by the Programma Nazionale per la Ricerca in Antartide (PNRA, project 650 number 2013/AC3.03 PEA 2013e2015, PI Warren Cairns). The Talos Dome-Dome C traverse and associated analyses was supported by the Programma Nazionale per la Ricerca in Antartide (PNRA), project A2 number PNRA0016_295 Bromine and mercury, cycles and transport processes on the Antarctic plateau. We thank the CNR Dirigibile Italia Arctic station and the Department of Earth systems science and environmental technologies for logistical support in Svalbard.</t>
  </si>
  <si>
    <t>10.1016/j.quascirev.2021.107133</t>
  </si>
  <si>
    <t>UO8WL</t>
  </si>
  <si>
    <t>WOS:000694971400006</t>
  </si>
  <si>
    <t>Christiansen, H; Heindler, FM; Hellemans, B; Jossart, Q; Pasotti, F; Robert, H; Verheye, M; Danis, B; Kochzius, M; Leliaert, F; Moreau, C; Patel, T; Van de Putte, AP; Vanreusel, A; Volckaert, FAM; Schön, I</t>
  </si>
  <si>
    <t>Christiansen, Henrik; Heindler, Franz M.; Hellemans, Bart; Jossart, Quentin; Pasotti, Francesca; Robert, Henri; Verheye, Marie; Danis, Bruno; Kochzius, Marc; Leliaert, Frederik; Moreau, Camille; Patel, Tasnim; Van de Putte, Anton P.; Vanreusel, Ann; Volckaert, Filip A. M.; Schon, Isa</t>
  </si>
  <si>
    <t>Facilitating population genomics of non-model organisms through optimized experimental design for reduced representation sequencing</t>
  </si>
  <si>
    <t>Biodiversity; Genome scan; Genotyping by sequencing; In silico digestion; RADseq; Southern Ocean</t>
  </si>
  <si>
    <t>SOUTHERN-OCEAN; ECOLOGICAL GENOMICS; CLIMATE-CHANGE; DNA CONTENT; RAD; MARKERS; CAPTURE; SIZE; SNP; CONSERVATION</t>
  </si>
  <si>
    <t>Background Genome-wide data are invaluable to characterize differentiation and adaptation of natural populations. Reduced representation sequencing (RRS) subsamples a genome repeatedly across many individuals. However, RRS requires careful optimization and fine-tuning to deliver high marker density while being cost-efficient. The number of genomic fragments created through restriction enzyme digestion and the sequencing library setup must match to achieve sufficient sequencing coverage per locus. Here, we present a workflow based on published information and computational and experimental procedures to investigate and streamline the applicability of RRS. Results In an iterative process genome size estimates, restriction enzymes and size selection windows were tested and scaled in six classes of Antarctic animals (Ostracoda, Malacostraca, Bivalvia, Asteroidea, Actinopterygii, Aves). Achieving high marker density would be expensive in amphipods, the malacostracan target taxon, due to the large genome size. We propose alternative approaches such as mitogenome or target capture sequencing for this group. Pilot libraries were sequenced for all other target taxa. Ostracods, bivalves, sea stars, and fish showed overall good coverage and marker numbers for downstream population genomic analyses. In contrast, the bird test library produced low coverage and few polymorphic loci, likely due to degraded DNA. Conclusions Prior testing and optimization are important to identify which groups are amenable for RRS and where alternative methods may currently offer better cost-benefit ratios. The steps outlined here are easy to follow for other non-model taxa with little genomic resources, thus stimulating efficient resource use for the many pressing research questions in molecular ecology.</t>
  </si>
  <si>
    <t>[Christiansen, Henrik; Heindler, Franz M.; Hellemans, Bart; Van de Putte, Anton P.; Volckaert, Filip A. M.] Katholieke Univ Leuven, Lab Biodivers &amp; Evolutionary Genom, Leuven, Belgium; [Jossart, Quentin; Kochzius, Marc] Vrije Univ Brussel VUB, Marine Biol Grp, Brussels, Belgium; [Pasotti, Francesca; Leliaert, Frederik; Vanreusel, Ann] Univ Ghent, Marine Biol Res Grp, Ghent, Belgium; [Robert, Henri; Verheye, Marie; Patel, Tasnim; Van de Putte, Anton P.; Schon, Isa] Royal Belgian Inst Nat Sci, OD Nat, Brussels, Belgium; [Danis, Bruno; Moreau, Camille; Van de Putte, Anton P.] Univ Libre Bruxelles ULB, Marine Biol Lab, Brussels, Belgium; [Leliaert, Frederik] Meise Bot Garden, Meise, Belgium; [Moreau, Camille] Univ Bourgogne Franche Comte UBFC, UMR CNRS Biogeosci 6282, Dijon, France</t>
  </si>
  <si>
    <t>KU Leuven; Vrije Universiteit Brussel; Ghent University; Royal Belgian Institute of Natural Sciences; Universite Libre de Bruxelles; Universite de Bourgogne</t>
  </si>
  <si>
    <t>Christiansen, H (corresponding author), Katholieke Univ Leuven, Lab Biodivers &amp; Evolutionary Genom, Leuven, Belgium.</t>
  </si>
  <si>
    <t>henrik.christiansen@kuleuven.be</t>
  </si>
  <si>
    <t>Heindler, Franz Maximilian/C-2365-2018; Leliaert, Frederik/A-9162-2009; Christiansen, Henrik/GXG-6057-2022</t>
  </si>
  <si>
    <t>Leliaert, Frederik/0000-0002-4627-7318; Christiansen, Henrik/0000-0001-7114-5854; Kochzius, Marc/0000-0001-8953-4719; Jossart, Quentin/0000-0002-2280-243X; Moreau, Camille/0000-0002-0981-7442; Van de Putte, Anton/0000-0003-1336-5554</t>
  </si>
  <si>
    <t>Belgian Science Policy Office (BELSPO) [BR/132/A1/vERSO, BR/154/A1/RECTO]; Scientific Research Network Eco-evolutionary dynamics in natural and anthropogenic communities - Research Foundation -Flanders (FWO) [W0.037.10 N]; European Marine Biological Resource Center (EMBRC) Belgium - Research Foundation -Flanders (FWO); Flanders Innovation &amp; Entrepreneurship (VLAIO) [141328]</t>
  </si>
  <si>
    <t>Belgian Science Policy Office (BELSPO)(Belgian Federal Science Policy Office); Scientific Research Network Eco-evolutionary dynamics in natural and anthropogenic communities - Research Foundation -Flanders (FWO)(FWO); European Marine Biological Resource Center (EMBRC) Belgium - Research Foundation -Flanders (FWO); Flanders Innovation &amp; Entrepreneurship (VLAIO)</t>
  </si>
  <si>
    <t>This is contribution no. 35 of the vERSO project, funded by the Belgian Science Policy Office (BELSPO, Contract no. BR/132/A1/vERSO) and contribution no. 8 of the RECTO project (BELSPO, Contract no. BR/154/A1/RECTO). TP thanks BELSPO for funding JPIO Mining Impact. Research was also supported by the Scientific Research Network Eco-evolutionary dynamics in natural and anthropogenic communities (grant W0.037.10 N), and the European Marine Biological Resource Center (EMBRC) Belgium, both funded by the Research Foundation -Flanders (FWO). The first author was supported by an individual grant from the former Flemish Agency for Innovation by Science and Technology, now managed through Flanders Innovation &amp; Entrepreneurship (VLAIO, grant no. 141328). The funding bodies had no role in the design of the study and collection, analysis, and interpretation of data and in writing the manuscript.</t>
  </si>
  <si>
    <t>AUG 21</t>
  </si>
  <si>
    <t>10.1186/s12864-021-07917-3</t>
  </si>
  <si>
    <t>UD3ZU</t>
  </si>
  <si>
    <t>Green Published, gold, Green Submitted</t>
  </si>
  <si>
    <t>WOS:000687149000001</t>
  </si>
  <si>
    <t>Morales, P; Roscales, JL; Muñoz-Arnanz, J; Barbosa, A; Jiménez, B</t>
  </si>
  <si>
    <t>Morales, Patricia; Roscales, Jose L.; Munoz-Arnanz, Juan; Barbosa, Andres; Jimenez, Begona</t>
  </si>
  <si>
    <t>Evaluation of PCDD/Fs, PCBs and PBDEs in two penguin species from Antarctica</t>
  </si>
  <si>
    <t>Persistent organic pollutants (POPs); Polar birds; LRAT; Pygoscelis antarticus; Pygoscelis papua; TEQ</t>
  </si>
  <si>
    <t>PERSISTENT ORGANIC POLLUTANTS; POLYBROMINATED DIPHENYL ETHERS; DIBENZO-P-DIOXINS; SOUTH SHETLAND ISLANDS; LONG-RANGE TRANSPORT; POLYCHLORINATED-BIPHENYLS; ORGANOCHLORINE CONTAMINANTS; PYGOSCELIS PENGUINS; MARINE-ENVIRONMENT; SEABIRDS</t>
  </si>
  <si>
    <t>Persistent Organic Pollutants (POPs) are a global threat, but impacts of these chemicals upon remote areas such as Antarctica remain unclear. Penguins can be useful species to assess the occurrence of POPs in Antarctic food webs. This work's aim was the evaluation of polychlorodibenzo-p-dioxins and furans (PCDD/Fs), polychlorinated biphenyls (PCBs) and polybrominated diphenyl ethers (PBDEs) in eggs of two penguin species, chinstrap (Pygoscelis antarticus) and gentoo penguins (Pygoscelis papua), breeding in the South Shetland Islands. Results showed a common pattern in POP levels regardless of the species, characterized by a major abundance of PCBs (98 %), followed by PBDEs (1-2%) and PCDD/Fs (&lt;1 %). Concentrations of POPs in chinstrap and gentoo penguin eggs were 482 and 3250 pg/g l.w., respectively. PCBs, PBDEs and PCDD/Fs were found at higher concentrations in chinstrap penguin eggs, being these differences significant for PBDEs. Interspecies differences in POP levels agree well with potential trophic position differences among species due to changes in prey composition and foraging areas. POP profiles were dominated by congeners with a low degree of halogenation. Our results therefore suggest similar sources of POPs in the food webs exploited by both species and in both cases attributable to the long-range transportation rather than to the presence of local sources of POPs. TEQs were found between 1.38 and 7.33 pg/g l.w. and followed the pattern non-ortho dl-PCBs &gt; PCDFs &gt; PCDDs &gt; mono-ortho dl-PCBs. TEQ values were lower than the threshold level for harmful effects in birds of 210 pg/g WHO-TEQ/g l.w.</t>
  </si>
  <si>
    <t>[Morales, Patricia; Roscales, Jose L.; Munoz-Arnanz, Juan; Jimenez, Begona] CSIC, Inst Organ Chem, Dept Instrumental Anal &amp; Environm Chem, Juan Cierva 3, Madrid 28006, Spain; [Morales, Patricia] Univ Complutense Madrid, Dept Biodivers Ecol &amp; Evolut, Jose Antonio Novais 12, Madrid 28040, Spain; [Barbosa, Andres] CSIC, Natl Museum Nat Sci Madrid, Dept Evolutionary Ecol, Jose Gutierrez Abascal 2, Madrid 28006, Spain</t>
  </si>
  <si>
    <t>Consejo Superior de Investigaciones Cientificas (CSIC); CSIC - Instituto de Quimica Organica General (IQOG); Complutense University of Madrid; Consejo Superior de Investigaciones Cientificas (CSIC)</t>
  </si>
  <si>
    <t>Jiménez, B (corresponding author), CSIC, Inst Organ Chem, Dept Instrumental Anal &amp; Environm Chem, Juan Cierva 3, Madrid 28006, Spain.</t>
  </si>
  <si>
    <t>bjimenez@iqog.csic.es</t>
  </si>
  <si>
    <t>Muñoz-Arnanz, Juan/M-6638-2019; Roscales, Jose/H-6716-2015</t>
  </si>
  <si>
    <t>Muñoz-Arnanz, Juan/0000-0002-6329-7003; Roscales, Jose/0000-0002-0446-6911; Jimenez, Begona/0000-0002-2401-4648</t>
  </si>
  <si>
    <t>Spanish Ministry of Economy and Competitiveness (MINECO) [CTM2015-70535-P, CTM2015-64720]; CSIC; MAGRAMA [15CAES004, 17CAES004]</t>
  </si>
  <si>
    <t>Spanish Ministry of Economy and Competitiveness (MINECO)(Spanish Government); CSIC; MAGRAMA</t>
  </si>
  <si>
    <t>The Spanish Ministry of Economy and Competitiveness (MINECO) supported the projects SENTINEL CTM2015-70535-P and PINGUFOR CTM2015-64720). This research is part of POLARCSIC activities. P.M. acknowledges CSIC for its JAE Intro scholarship. J.L.R. and J.M.A. thank CSIC and MAGRAMA for their contracts under Projects 15CAES004 and 17CAES004. Special thanks to TERNUA for their nonprofit collaboration by sponsoring with technical eco-friendly clothing and gear equipment for Antarctic campaigns. We thank the Spanish Antarctic Station Gabriel de Castilla and the Marine Technology Unit (CSIC) for their hospitality and the Spanish polar ships Hesperides and Sarmiento de Gamboa for transportation. Egg collection was carried out under permission by the Spanish Polar Committee.</t>
  </si>
  <si>
    <t>10.1016/j.chemosphere.2021.131871</t>
  </si>
  <si>
    <t>WD1YY</t>
  </si>
  <si>
    <t>WOS:000704746200003</t>
  </si>
  <si>
    <t>Pnyushkov, AV; Polyakov, IV; Alekseev, GV; Ashik, IM; Baumann, TM; Carmack, EC; Ivanov, VV; Rember, R</t>
  </si>
  <si>
    <t>Pnyushkov, A., V; Polyakov, I., V; Alekseev, G., V; Ashik, I. M.; Baumann, T. M.; Carmack, E. C.; Ivanov, V. V.; Rember, R.</t>
  </si>
  <si>
    <t>A Steady Regime of Volume and Heat Transports in the Eastern Arctic Ocean in the Early 21st Century</t>
  </si>
  <si>
    <t>transports; Arctic Ocean; moorings; boundary current; oceanographic observations</t>
  </si>
  <si>
    <t>WATER BOUNDARY CURRENT; EURASIAN BASIN; NANSEN BASIN; HALOCLINE; VARIABILITY; FLUXES; NORTH; SLOPE</t>
  </si>
  <si>
    <t>Mooring observations in the eastern Eurasian Basin of the Arctic Ocean showed that mean 2013-2018 along-slope volume and heat (calculated relative to the freezing temperature) transports in the upper 800 m were 4.8 +/- 0.1 Sv (1 Sv = 10(6) m(3)/s) and 34.8 +/- 0.6 TW, respectively. Volume and heat transports within the Atlantic Water (AW) layer (similar to 150-800 m) in 2013-2018 lacked significant temporal shifts at annual and longer time scales: averaged over the two periods of mooring deployment in 2013-2015 and 2015-2018, volume transports were 3.1 +/- 0.1 Sv, while AW heat transports were 31.3 +/- 1.0 TW and 34.8 +/- 0.8 TW. Moreover, the reconstructed AW volume transports over longer, 2003-2018, period of time showed strong interannual variations but lacked a statistically significant trend. However, we found a weak positive trend of 0.08 +/- 0.07 Sv/year in the barotropic AW volume transport estimated using dynamic ocean topography (DOT) measurements in 2003-2014 - the longest period spanned by the DOT dataset. Vertical coherence of 2013-2018 transports in the halocline (70-140 m) and AW (similar to 150-800 m) layers was high, suggesting the essential role of the barotropic forcing in constraining along-slope transports. Quantitative estimates of transports and their variability discussed in this study help identify the role of atlantification in critical changes of the eastern Arctic Ocean.</t>
  </si>
  <si>
    <t>[Pnyushkov, A., V; Polyakov, I., V; Rember, R.] Univ Alaska, Int Arctic Res Ctr, Fairbanks, AK 99701 USA; [Polyakov, I., V] Univ Alaska, Coll Nat Sci &amp; Math, Fairbanks, AK 99701 USA; [Polyakov, I., V] Finnish Meteorol Inst, Helsinki, Finland; [Alekseev, G., V; Ashik, I. M.; Ivanov, V. V.] Arctic &amp; Antarctic Res Inst, St Petersburg, Russia; [Baumann, T. M.] Univ Bergen, Geophys Inst, Bergen, Norway; [Baumann, T. M.] Bjerknes Ctr Climate Res, Bergen, Norway; [Carmack, E. C.] Fisheries &amp; Oceans Canada, Inst Ocean Sci, Sidney, BC, Canada; [Ivanov, V. V.] Lomonosov Moscow State Univ, Moscow, Russia</t>
  </si>
  <si>
    <t>University of Alaska System; University of Alaska Fairbanks; University of Alaska System; University of Alaska Fairbanks; Finnish Meteorological Institute; Arctic &amp; Antarctic Research Institute; University of Bergen; Bjerknes Centre for Climate Research; Fisheries &amp; Oceans Canada; Lomonosov Moscow State University</t>
  </si>
  <si>
    <t>Pnyushkov, AV (corresponding author), Univ Alaska, Int Arctic Res Ctr, Fairbanks, AK 99701 USA.</t>
  </si>
  <si>
    <t>avpnyushkov@alaska.edu</t>
  </si>
  <si>
    <t>Ivanov, Vladimir/J-5979-2014; Pnyushkov, Andrey/M-3156-2019; Bloshkina, Ekaterina/I-6901-2015</t>
  </si>
  <si>
    <t>Ivanov, Vladimir/0000-0003-2569-6027; Pnyushkov, Andrey/0000-0001-9112-6458; Bloshkina, Ekaterina/0000-0002-2078-7459</t>
  </si>
  <si>
    <t>United States NSF [AON-1203473, AON-1338948, 1708427]; RFBR [18-05-60107]; Russian Science Foundation [19-17-00110]; Russian Science Foundation [19-17-00110] Funding Source: Russian Science Foundation</t>
  </si>
  <si>
    <t>United States NSF; RFBR(Russian Foundation for Basic Research (RFBR)); Russian Science Foundation(Russian Science Foundation (RSF)); Russian Science Foundation(Russian Science Foundation (RSF))</t>
  </si>
  <si>
    <t>The oceanographic observations and data analysis were supported by United States NSF (grants AON-1203473, AON-1338948, and 1708427). GA was supported by RFBR grant 18-05-60107. VI was supported by the Russian Science Foundation, grant 19-17-00110.</t>
  </si>
  <si>
    <t>AUG 20</t>
  </si>
  <si>
    <t>10.3389/fmars.2021.705608</t>
  </si>
  <si>
    <t>UR2IB</t>
  </si>
  <si>
    <t>WOS:000696576700001</t>
  </si>
  <si>
    <t>Hahn, LC; Armour, KC; Zelinka, MD; Bitz, CM; Donohoe, A</t>
  </si>
  <si>
    <t>Hahn, L. C.; Armour, K. C.; Zelinka, M. D.; Bitz, C. M.; Donohoe, A.</t>
  </si>
  <si>
    <t>Contributions to Polar Amplification in CMIP5 and CMIP6 Models</t>
  </si>
  <si>
    <t>CMIP6; CMIP5; polar amplification; climate feedbacks; Arctic; Antarctic</t>
  </si>
  <si>
    <t>ARCTIC SEA-ICE; MIXED-PHASE CLOUDS; CLIMATE FEEDBACKS; TEMPERATURE FEEDBACKS; HEAT-TRANSPORT; COUPLED MODEL; SURFACE; THERMODYNAMICS; SENSITIVITY; REANALYSES</t>
  </si>
  <si>
    <t>As a step towards understanding the fundamental drivers of polar climate change, we evaluate contributions to polar warming and its seasonal and hemispheric asymmetries in Coupled Model Intercomparison Project phase 6 (CMIP6) as compared with CMIP5. CMIP6 models broadly capture the observed pattern of surface- and winter-dominated Arctic warming that has outpaced both tropical and Antarctic warming in recent decades. For both CMIP5 and CMIP6, CO2 quadrupling experiments reveal that the lapse-rate and surface albedo feedbacks contribute most to stronger warming in the Arctic than the tropics or Antarctic. The relative strength of the polar surface albedo feedback in comparison to the lapse-rate feedback is sensitive to the choice of radiative kernel, and the albedo feedback contributes most to intermodel spread in polar warming at both poles. By separately calculating moist and dry atmospheric heat transport, we show that increased poleward moisture transport is another important driver of Arctic amplification and the largest contributor to projected Antarctic warming. Seasonal ocean heat storage and winter-amplified temperature feedbacks contribute most to the winter peak in warming in the Arctic and a weaker winter peak in the Antarctic. In comparison with CMIP5, stronger polar warming in CMIP6 results from a larger surface albedo feedback at both poles, combined with less-negative cloud feedbacks in the Arctic and increased poleward moisture transport in the Antarctic. However, normalizing by the global-mean surface warming yields a similar degree of Arctic amplification and only slightly increased Antarctic amplification in CMIP6 compared to CMIP5.</t>
  </si>
  <si>
    <t>[Hahn, L. C.; Armour, K. C.; Bitz, C. M.] Univ Washington, Dept Atmospher Sci, Seattle, WA 98195 USA; [Armour, K. C.] Univ Washington, Sch Oceanog, Seattle, WA 98195 USA; [Zelinka, M. D.] Lawrence Livermore Natl Lab, Livermore, CA USA; [Donohoe, A.] Univ Washington, Appl Phys Lab, Polar Sci Ctr, Seattle, WA 98105 USA</t>
  </si>
  <si>
    <t>University of Washington; University of Washington Seattle; University of Washington; University of Washington Seattle; United States Department of Energy (DOE); Lawrence Livermore National Laboratory; University of Washington; University of Washington Seattle</t>
  </si>
  <si>
    <t>Hahn, LC (corresponding author), Univ Washington, Dept Atmospher Sci, Seattle, WA 98195 USA.</t>
  </si>
  <si>
    <t>lchahn@uw.edu</t>
  </si>
  <si>
    <t>Bitz, Cecilia M/S-8423-2016; Zelinka, Mark/C-4627-2011</t>
  </si>
  <si>
    <t>Zelinka, Mark/0000-0002-6570-5445; Hahn, Lily/0000-0002-0573-5183; Bitz, Cecilia/0000-0002-9477-7499</t>
  </si>
  <si>
    <t>National Science Foundation (NSF) Graduate Research Fellowship [DGE-1762114]; ARCS Foundation Fellowship; National Science Foundation [AGS-1752796, OCE-1850900]; Alfred P. Sloan Research Fellowship; Regional and Global Model Analysis Program of the Office of Science at the U.S. Department of Energy; NOAA MAPP [A127135, NA18OAR4310274]; NSF Antarctic Program [PLR-1643436]</t>
  </si>
  <si>
    <t>National Science Foundation (NSF) Graduate Research Fellowship(National Science Foundation (NSF)); ARCS Foundation Fellowship; National Science Foundation(National Science Foundation (NSF)); Alfred P. Sloan Research Fellowship(Alfred P. Sloan Foundation); Regional and Global Model Analysis Program of the Office of Science at the U.S. Department of Energy; NOAA MAPP(National Oceanic Atmospheric Admin (NOAA) - USA); NSF Antarctic Program</t>
  </si>
  <si>
    <t>LH was supported by the National Science Foundation (NSF) Graduate Research Fellowship Grant DGE-1762114 and the ARCS Foundation Fellowship. KA was supported by National Science Foundation Grants AGS-1752796 and OCE-1850900 and an Alfred P. Sloan Research Fellowship. MZ was supported by the Regional and Global Model Analysis Program of the Office of Science at the U.S. Department of Energy. CB was supported by NOAA MAPP NA18OAR4310274. AD was supported by the NSF Antarctic Program Grant PLR-1643436 and NOAA MAPP Grant eGC1#A127135.</t>
  </si>
  <si>
    <t>10.3389/feart.2021.710036</t>
  </si>
  <si>
    <t>UM9SE</t>
  </si>
  <si>
    <t>WOS:000693663400001</t>
  </si>
  <si>
    <t>Riley, TR; Burton-Johnson, A; Leat, PT; Hogan, KA; Halton, AM</t>
  </si>
  <si>
    <t>Riley, Teal R.; Burton-Johnson, Alex; Leat, Philip T.; Hogan, Kelly A.; Halton, Alison M.</t>
  </si>
  <si>
    <t>Geochronology and geochemistry of the South Scotia Ridge: Miocene island arc volcanism of the Scotia Sea</t>
  </si>
  <si>
    <t>Scotia Sea; Antarctica; Island arc; Geochemistry; Drake Passage</t>
  </si>
  <si>
    <t>ANTARCTICA PLATE BOUNDARY; BASIN; EVOLUTION; MANTLE; FLOW; AGE; PALEOCEANOGRAPHY; TECTONICS; BENEATH</t>
  </si>
  <si>
    <t>The ancestral South Sandwich arc (ASSA) records evidence of Oligocene - Miocene intra-oceanic island arc volcanism in the central Scotia Sea and potentially formed an important topographic barrier to deep ocean currents during the early development of the Antarctic Circumpolar Current. New geochemistry and geochronology of dredged basaltic samples from multiple sites across Discovery Bank, in the southern part of the ASSA, provide key information about this poorly understood volcanic arc in the Scotia Sea. Two new 40Ar/39Ar ages confirm volcanism was active in the Discovery Bank segment from 14 to 10 Ma, overlapping with the initial phase of spreading along the East Scotia Ridge. These ages are younger than previously determined for the ASSA and the island arc chain would have influenced deep ocean pathways in the southern Scotia Sea during the midMiocene. Geochemical analysis indicates that magmatism was derived from a depleted asthenospheric source, modified by subduction, akin to the present day South Sandwich island arc. Evidence from across Discovery Bank suggests that arc volcanism developed on pre-existing basaltic crust potentially related to Weddell Sea subduction, although the submerged bank is dominated by Miocene arc volcanic rocks. Evidence for an intra-oceanic island arc setting is also provided by the identification and imaging of a linear chain of rear-arc seamounts, characteristic of several volcanic centres in the present day South sandwich island arc. Mafic volcanic rocks, including ultramafic lithologies, from the neighbouring Bruce Bank topographic high have also been investigated and are demonstrated to have been generated in a different tectonic setting to the volcanic rocks of Discovery Bank. They are interpreted to be associated with the opening of Scan Basin during the Late Eocene, or potentially distal evidence of the gabbroic Pacific Margin Anomaly.</t>
  </si>
  <si>
    <t>[Riley, Teal R.; Burton-Johnson, Alex; Leat, Philip T.; Hogan, Kelly A.] British Antarctic Survey, Madingley Rd, Cambridge CB3 0ET, England; [Leat, Philip T.] Univ Leicester, Sch Geog Geol &amp; Environm, Univ Rd, Leicester LE1 7RH, Leics, England; [Halton, Alison M.] Open Univ, Sch Phys Sci, Walton Hall, Milton Keynes MK7 6AA, Bucks, England</t>
  </si>
  <si>
    <t>UK Research &amp; Innovation (UKRI); Natural Environment Research Council (NERC); NERC British Antarctic Survey; University of Leicester; Open University - UK</t>
  </si>
  <si>
    <t>Riley, TR (corresponding author), British Antarctic Survey, Madingley Rd, Cambridge CB3 0ET, England.</t>
  </si>
  <si>
    <t>trr@bas.ac.uk</t>
  </si>
  <si>
    <t>Riley, Teal/0000-0002-3333-5021</t>
  </si>
  <si>
    <t>Natural Environmental Research Council</t>
  </si>
  <si>
    <t>Natural Environmental Research Council(UK Research &amp; Innovation (UKRI)Natural Environment Research Council (NERC))</t>
  </si>
  <si>
    <t>This study is part of the British Antarctic Survey Polar Science for Planet Earth programme, funded by the Natural Environmental Research Council. The Officers and Crew of the RRS Discovery are thanked for their support. Nik Odling at the University of Edinburgh performed the XRF analyses and Chris Ottley at the University of Durham performed the ICP-MS analyses. The authors acknowledge the helpful comments of Liviu Matenco (editor), Ian Dalziel and an anonymous referee.</t>
  </si>
  <si>
    <t>10.1016/j.gloplacha.2021.103615</t>
  </si>
  <si>
    <t>UM3UF</t>
  </si>
  <si>
    <t>WOS:000693258200003</t>
  </si>
  <si>
    <t>Schleinkofer, N; Evans, D; Wisshak, M; Büscher, JV; Fiebig, J; Freiwald, A; Härter, S; Marschall, HR; Voigt, S; Raddatz, J</t>
  </si>
  <si>
    <t>Schleinkofer, Nicolai; Evans, David; Wisshak, Max; Buscher, Janina Vanessa; Fiebig, Jens; Freiwald, Andre; Harter, Sven; Marschall, Horst R.; Voigt, Silke; Raddatz, Jacek</t>
  </si>
  <si>
    <t>Host-influenced geochemical signature in the parasitic foraminifera Hyrrokkin sarcophaga</t>
  </si>
  <si>
    <t>AMORPHOUS CALCIUM-CARBONATE; ARAGONITIC BIVALVE SHELLS; CRYSTAL-GROWTH RATE; BENTHIC FORAMINIFERA; CALCIFICATION RATE; STABLE-ISOTOPES; STRONTIUM COMPOSITIONS; MANGANESE DEPOSITION; BIOLOGICAL-CONTROLS; ANTARCTIC SCALLOP</t>
  </si>
  <si>
    <t>Hyrrokkin sarcophaga is a parasitic foraminifera that is commonly found in cold-water coral reefs where it infests the file clam Acesta excavata and the scleractinian coral Desmophyllum pertusum (formerly known as Lophelia pertusa). Here, we present measurements of the trace element and isotopic composition of these parasitic foraminifera, analyzed by inductively coupled optical emission spectrometry (ICP-OES), electron probe microanalysis (EPMA) and mass spectrometry (gas-source MS and inductively-coupledplasma MS). Our results reveal that the geochemical signature of H. sarcophaga depends on the host organism it infests. Sr / Ca ratios are 1.1 mmol mol 1 higher in H. sarcophaga that infest D. pertusum, which could be an indication that dissolved host carbonate material is utilized in shell calcification, given that the aragonite of D. pertusum has a naturally higher Sr concentration compared to the calcite of A. excavata. Similarly, we measure 3.1 parts per thousand lower delta C-13 and 0.25 parts per thousand lower delta O-18 values in H. sarcophaga that lived on D. pertusum, which might be caused by the direct uptake of the host's carbonate material with a more negative isotopic composition or different pH regimes in these foraminifera (pH can exert a control on the extent of CO2 hydration/hydroxylation) due to the uptake of body fluids of the host. We also observe higher Mn / Ca ratios in foraminifera that lived on A. excavata but did not penetrate the host shell compared to specimen that penetrated the shell, which could be interpreted as a change in food source, changes in the calcification rate, Rayleigh fractionation or changing oxygen conditions. While our measurements provide an interesting insight into the calcification process of this unusual foraminifera, these data also indicate that the geochemistry of this parasitic foraminifera is unlikely to be a reliable indicator of paleoenvironmental conditions using Sr / Ca, Mn / Ca, delta O-18 or delta C-13 unless the host organism is known and its geochemical composition can be accounted for.</t>
  </si>
  <si>
    <t>[Schleinkofer, Nicolai; Evans, David; Fiebig, Jens; Harter, Sven; Marschall, Horst R.; Voigt, Silke; Raddatz, Jacek] Goethe Univ Frankfurt, Inst Geowissensch, Frankfurt, Germany; [Schleinkofer, Nicolai; Evans, David; Fiebig, Jens; Marschall, Horst R.; Voigt, Silke; Raddatz, Jacek] Goethe Univ Frankfurt, Frankfurt Isotope &amp; Element Res Ctr FIERCE, Frankfurt, Germany; [Wisshak, Max; Freiwald, Andre] Senckenberg Meer, Marine Res Dept, Wilhelmshaven, Germany; [Buscher, Janina Vanessa] Natl Univ Ireland Galway, Dept Earth &amp; Ocean Sci, Galway, Ireland; [Buscher, Janina Vanessa] GEOMAR Helmholtz Ctr Ocean Res Kid, Dept Biol Oceanog, Kiel, Germany</t>
  </si>
  <si>
    <t>Goethe University Frankfurt; Goethe University Frankfurt; Senckenberg Gesellschaft fur Naturforschung (SGN); Ollscoil na Gaillimhe-University of Galway; Helmholtz Association; GEOMAR Helmholtz Center for Ocean Research Kiel</t>
  </si>
  <si>
    <t>Schleinkofer, N (corresponding author), Goethe Univ Frankfurt, Inst Geowissensch, Frankfurt, Germany.;Schleinkofer, N (corresponding author), Goethe Univ Frankfurt, Frankfurt Isotope &amp; Element Res Ctr FIERCE, Frankfurt, Germany.</t>
  </si>
  <si>
    <t>schleinkofer@em.uni-frankfurt.de</t>
  </si>
  <si>
    <t>Marschall, Horst/E-1661-2011; Buescher, Janina Vanessa/GQB-4689-2022; Wisshak, Max/A-3418-2011; Voigt, Silke/G-7270-2017</t>
  </si>
  <si>
    <t>Marschall, Horst/0000-0002-0609-682X; Buescher, Janina Vanessa/0000-0003-2399-4020; Wisshak, Max/0000-0001-7531-3317; Schleinkofer, Nicolai/0000-0001-5561-899X; Evans, David/0000-0002-8685-671X; Voigt, Silke/0000-0002-2560-5933; Raddatz, Jacek/0000-0002-5713-9682</t>
  </si>
  <si>
    <t>Deutsche Forschungsgemeinschaft [RA 2156-5/1]</t>
  </si>
  <si>
    <t>Deutsche Forschungsgemeinschaft(German Research Foundation (DFG))</t>
  </si>
  <si>
    <t>This research has been supported by the Deutsche Forschungsgemeinschaft (grant no. RA 2156-5/1).</t>
  </si>
  <si>
    <t>10.5194/bg-18-4733-2021</t>
  </si>
  <si>
    <t>UE1IH</t>
  </si>
  <si>
    <t>WOS:000687649400001</t>
  </si>
  <si>
    <t>Krumpen, T; von Albedyll, L; Goessling, HF; Hendricks, S; Juhls, B; Spreen, G; Willmes, S; Belter, HJ; Dethloff, K; Haas, C; Kaleschke, L; Katlein, C; Tian-Kunze, X; Ricker, R; Rostosky, P; Rückert, J; Singha, S; Sokolova, J</t>
  </si>
  <si>
    <t>Krumpen, Thomas; von Albedyll, Luisa; Goessling, Helge F.; Hendricks, Stefan; Juhls, Bennet; Spreen, Gunnar; Willmes, Sascha; Belter, H. Jakob; Dethloff, Klaus; Haas, Christian; Kaleschke, Lars; Katlein, Christian; Tian-Kunze, Xiangshan; Ricker, Robert; Rostosky, Philip; Rueckert, Janna; Singha, Suman; Sokolova, Julia</t>
  </si>
  <si>
    <t>MOSAiC drift expedition from October 2019 to July 2020: sea ice conditions from space and comparison with previous years</t>
  </si>
  <si>
    <t>SNOW DEPTH; THICKNESS; RETRIEVAL; VARIABILITY; RADIOMETER; ALGORITHM; CRYOSAT-2; SURFACE; MOTION</t>
  </si>
  <si>
    <t>We combine satellite data products to provide a first and general overview of the physical sea ice conditions along the drift of the international Multidisciplinary drifting Observatory for the Study of Arctic Climate (MOSAiC) expedition and a comparison with previous years (2005-2006 to 2018-2019). We find that the MOSAiC drift was around 20% faster than the climatological mean drift, as a consequence of large-scale low-pressure anomalies prevailing around the Barents-Kara-Laptev sea region between January and March. In winter (October-April), satellite observations show that the sea ice in the vicinity of the Central Observatory (CO; 50 km radius) was rather thin compared to the previous years along the same trajectory. Unlike ice thickness, satellite-derived sea ice concentration, lead frequency and snow thickness during winter months were close to the long-term mean with little variability. With the onset of spring and decreasing distance to the Fram Strait, variability in ice concentration and lead activity increased. In addition, the frequency and strength of deformation events (divergence, convergence and shear) were higher during summer than during winter. Overall, we find that sea ice conditions observed within 5 km distance of the CO are representative for the wider (50 and 100 km) surroundings. An exception is the ice thickness; here we find that sea ice within 50 km radius of the CO was thinner than sea ice within a 100 km radius by a small but consistent factor (4 %) for successive monthly averages. Moreover, satellite acquisitions indicate that the formation of large melt ponds began earlier on the MOSAiC floe than on neighbouring floes.</t>
  </si>
  <si>
    <t>[Krumpen, Thomas; von Albedyll, Luisa; Goessling, Helge F.; Hendricks, Stefan; Juhls, Bennet; Belter, H. Jakob; Dethloff, Klaus; Haas, Christian; Kaleschke, Lars; Katlein, Christian; Tian-Kunze, Xiangshan; Ricker, Robert] Alfred Wegener Inst, Helmholtz Ctr Polar &amp; Marine Res, Handelshafen 12, D-27570 Bremerhaven, Germany; [Spreen, Gunnar; Rostosky, Philip; Rueckert, Janna] Univ Bremen, Inst Environm Phys, Otto Hahn Allee 1, D-28359 Bremen, Germany; [Willmes, Sascha] Univ Trier, Environm Meteorol, Univ Ring 15, D-54296 Trier, Germany; [Singha, Suman] German Aerosp Ctr, Remote Sensing Technol Inst, Fallturm 9, D-28359 Bremen, Germany; [Sokolova, Julia] Arctic &amp; Antarctic Res Inst, Ctr Ice &amp; Hydrometeorol Informat, Ulitsa Beringa 38, St Petersburg 199397, Russia</t>
  </si>
  <si>
    <t>Helmholtz Association; Alfred Wegener Institute, Helmholtz Centre for Polar &amp; Marine Research; University of Bremen; Universitat Trier; Helmholtz Association; German Aerospace Centre (DLR); Arctic &amp; Antarctic Research Institute</t>
  </si>
  <si>
    <t>Krumpen, T (corresponding author), Alfred Wegener Inst, Helmholtz Ctr Polar &amp; Marine Res, Handelshafen 12, D-27570 Bremerhaven, Germany.</t>
  </si>
  <si>
    <t>tkrumpen@awi.de</t>
  </si>
  <si>
    <t>Willmes, Sascha/J-5796-2012; Haas, Christian/L-5279-2016; Spreen, Gunnar/A-4533-2010; Ricker, Robert/Z-4214-2019; Hendricks, Stefan/D-5168-2011; amplification, ³ - Arctic/AAU-6640-2020; Krumpen, Thomas/D-5163-2011</t>
  </si>
  <si>
    <t>Haas, Christian/0000-0002-7674-3500; Spreen, Gunnar/0000-0003-0165-8448; Ricker, Robert/0000-0001-6928-7757; Hendricks, Stefan/0000-0002-1412-3146; Krumpen, Thomas/0000-0001-6234-8756; Goessling, Helge/0000-0001-9018-1383; von Albedyll, Luisa/0000-0002-6768-0368; Tian-Kunze, Xiangshan/0000-0001-8270-1924; Juhls, Bennet/0000-0002-5844-6318; Bunger, H. Jakob/0000-0001-9383-911X</t>
  </si>
  <si>
    <t>Bundesministerium fur Bildung und Forschung [03F0777A, 03F0831C, MOSAiC20192020, 03F0866B, 03F0866A, 01LN1701A]; Deutsche Forschungsgemeinschaft [268020496-TRR 172]; Horizon 2020 (SPICES) [640161]; European Space Agency [AO/1-6772/11/I-AM]; H2020 - Industrial Leadership [640161] Funding Source: H2020 - Industrial Leadership</t>
  </si>
  <si>
    <t>Bundesministerium fur Bildung und Forschung(Federal Ministry of Education &amp; Research (BMBF)); Deutsche Forschungsgemeinschaft(German Research Foundation (DFG)); Horizon 2020 (SPICES); European Space Agency(European Space Agency); H2020 - Industrial Leadership(European Union (EU)H2020 - Industrial Leadership)</t>
  </si>
  <si>
    <t>This research has been supported by the Bundesministerium fur Bildung und Forschung (grant nos. 03F0777A, 03F0831C, MOSAiC20192020, 03F0866B, 03F0866A and 01LN1701A), the Deutsche Forschungsgemeinschaft (grant no. 268020496-TRR 172), Horizon 2020 (SPICES; grant no. 640161) and the European Space Agency (grant no. AO/1-6772/11/I-AM).</t>
  </si>
  <si>
    <t>10.5194/tc-15-3897-2021</t>
  </si>
  <si>
    <t>UE1KW</t>
  </si>
  <si>
    <t>WOS:000687656100002</t>
  </si>
  <si>
    <t>Baker, DJ; Dickson, CR; Bergstrom, DM; Whinam, J; Maclean, IMD; McGeoch, MA</t>
  </si>
  <si>
    <t>Baker, David J.; Dickson, Catherine R.; Bergstrom, Dana M.; Whinam, Jennie; Maclean, Ilya M. D.; McGeoch, Melodie A.</t>
  </si>
  <si>
    <t>Evaluating models for predicting microclimates across sparsely vegetated and topographically diverse ecosystems</t>
  </si>
  <si>
    <t>biogeography; islands; microclima; microrefugia; NicheMapR; polar; threatened ecosystem</t>
  </si>
  <si>
    <t>CLIMATE-CHANGE; FUTURE CLIMATE; R PACKAGE; IMPACTS; REFUGIA</t>
  </si>
  <si>
    <t>Aim Microclimate information is often crucial for understanding ecological patterns and processes, including under climate change, but is typically absent from ecological and biogeographic studies owing to difficulties in obtaining microclimate data. Recent advances in microclimate modelling, however, suggest that microclimate conditions can now be predicted anywhere at any time using hybrid physically and empirically based models. Here, we test these methods across a sparsely vegetated and topographically diverse sub-Antarctic island ecosystem (Macquarie Island). Innovation Microclimate predictions were generated at a height of 4 cm above the surface on a 100 x 100 m elevation grid across the island for the snow-free season (Oct-Mar), with models driven by either climate reanalysis data (CRA) or CRA data augmented with meteorological observations from the island's automatic weather station (AWS+CRA). These models were compared with predictions from a simple lapse rate model (LR), where an elevational adjustment was applied to hourly temperature measurements from the AWS. Prediction errors tended to be lower for AWS+CRA-driven models, particularly when compared to the CRA-driven models. The AWS+CRA and LR models had similar prediction errors averaged across the season for T-min and T-mean, but prediction errors for T-max were much smaller for the former. The within-site correlation between observed and predicted daily T-mean was on average &gt;0.8 in all months for AWS+CRA predictions and &gt;0.7 in all months for LR predictions, but consistently lower for CRA predictions. Main conclusions Prediction of microclimate conditions at ecologically relevant spatial and temporal scales is now possible using hybrid models, and these often provide added value over lapse rate models, particularly for daily extremes and when driven by in situ meteorological observations. These advances will help add the microclimate dimension to ecological and biogeographic studies and aid delivery of climate change-resilient conservation planning in climate change-exposed ecosystems.</t>
  </si>
  <si>
    <t>[Baker, David J.; Maclean, Ilya M. D.] Univ Exeter, Environm &amp; Sustainabil Inst, Penryn, Cornwall, England; [Baker, David J.; Dickson, Catherine R.; McGeoch, Melodie A.] Monash Univ, Sch Biol Sci, Clayton, Vic, Australia; [Bergstrom, Dana M.] Australian Antarctic Div, Dept Agr Water &amp; Environm Kingston, Kingston, Tas, Australia; [Whinam, Jennie] Univ Tasmania, Sch Geog &amp; Spatial Sci, Hobart, Tas, Australia; [McGeoch, Melodie A.] La Trobe Univ, Dept Ecol Environm &amp; Evolut, Melbourne, Vic, Australia</t>
  </si>
  <si>
    <t>University of Exeter; Monash University; Australian Antarctic Division; University of Tasmania; Melbourne Genomics Health Alliance; La Trobe University</t>
  </si>
  <si>
    <t>Baker, DJ (corresponding author), Univ Exeter, Environm &amp; Sustainabil Inst, Penryn, Cornwall, England.</t>
  </si>
  <si>
    <t>d.baker2@exeter.ac.uk</t>
  </si>
  <si>
    <t>Maclean, Ilya M D/C-4014-2009; Bergstrom, Dana/AAC-2837-2022; Dickson, Catherine/J-5698-2016; McGeoch, Melodie/F-8353-2011</t>
  </si>
  <si>
    <t>Maclean, Ilya M D/0000-0001-8030-9136; Bergstrom, Dana/0000-0001-8484-8954; Dickson, Catherine/0000-0002-9701-346X; McGeoch, Melodie/0000-0003-3388-2241; Baker, David/0000-0002-0466-8222</t>
  </si>
  <si>
    <t>Australian Antarctic Division; Australian Government [4312]; Australian Government Research Training Program (RTP) Scholarship; SPF [NE/V007726/1] Funding Source: UKRI</t>
  </si>
  <si>
    <t>Australian Antarctic Division; Australian Government(Australian Government); Australian Government Research Training Program (RTP) Scholarship(Australian GovernmentDepartment of Industry, Innovation and Science); SPF</t>
  </si>
  <si>
    <t>We thank Aleks Terauds, Ben Raymond and Justine Shaw for discussion and logistical advice. Kate Kiefer provided logistical and field support. John Burgess, Rowena Hannaford and the 69th and 70th Macquarie Island Australian Antarctic Program teams helped establish and retrieve the data loggers. We are grateful to the editor and two anonymous reviewers for comments on an earlier version of this work. This research was funded by the Australian Antarctic Division and the Australian Government under an Australian Antarctic Science Program Grant #4312, and support to CRD from an Australian Government Research Training Program (RTP) Scholarship.</t>
  </si>
  <si>
    <t>10.1111/ddi.13398</t>
  </si>
  <si>
    <t>WOS:000686498500001</t>
  </si>
  <si>
    <t>O'Shaughnessy, KA; Perkol-Finkel, S; Strain, EMA; Bishop, MJ; Hawkins, SJ; Hanley, ME; Lunt, P; Thompson, RC; Hadary, T; Shirazi, R; Yunnie, ALE; Amstutz, A; Milliet, L; Yong, CLX; Firth, LB</t>
  </si>
  <si>
    <t>O'Shaughnessy, Kathryn A.; Perkol-Finkel, Shimrit; Strain, Elisabeth M. A.; Bishop, Melanie J.; Hawkins, Stephen J.; Hanley, Mick E.; Lunt, Paul; Thompson, Richard C.; Hadary, Tomer; Shirazi, Raviv; Yunnie, Anna L. E.; Amstutz, Axelle; Milliet, Laura; Yong, Clara L. X.; Firth, Louise B.</t>
  </si>
  <si>
    <t>Spatially Variable Effects of Artificially-Created Physical Complexity on Subtidal Benthos</t>
  </si>
  <si>
    <t>urbanization; ocean sprawl; biodiversity; seeding; mussels; artificial structures; eco-engineering; ecological engineering</t>
  </si>
  <si>
    <t>COASTAL DEFENSE STRUCTURES; MANAGEMENT TOOLS; MYTILUS-EDULIS; WATER-QUALITY; OCEAN SPRAWL; MARINE; HABITAT; REEFS; BIODIVERSITY; INFRASTRUCTURE</t>
  </si>
  <si>
    <t>In response to the environmental damage caused by urbanization, Nature-based Solutions (NbS) are being implemented to enhance biodiversity and ecosystem processes with mutual benefits for society and nature. Although the field of NbS is flourishing, experiments in different geographic locations and environmental contexts have produced variable results, with knowledge particularly lacking for the subtidal zone. This study tested the effects of physical complexity on colonizing communities in subtidal habitats in two urban locations: (1) Plymouth, United Kingdom (northeast Atlantic) and (2) Tel Aviv, Israel (eastern Mediterranean) for 15- and 12-months, respectively. At each location, physical complexity was manipulated using experimental tiles that were either flat or had 2.5 or 5.0 cm ridges. In Plymouth, biological complexity was also manipulated through seeding tiles with habitat-forming mussels. The effects of the manipulations on taxon and functional richness, and community composition were assessed at both locations, and in Plymouth the survival and size of seeded mussels and abundance and size of recruited mussels were also assessed. Effects of physical complexity differed between locations. Physical complexity did not influence richness or community composition in Plymouth, while in Tel Aviv, there were effects of complexity on community composition. In Plymouth, effects of biological complexity were found with mussel seeding reducing taxon richness, supporting larger recruited mussels, and influencing community composition. Our results suggest that outcomes of NbS experiments are context-dependent and highlight the risk of extrapolating the findings outside of the context in which they were tested.</t>
  </si>
  <si>
    <t>[O'Shaughnessy, Kathryn A.; Lunt, Paul] Univ Plymouth, Sch Geog Earth &amp; Environm Sci, Plymouth, Devon, England; [O'Shaughnessy, Kathryn A.] APEM Ltd, Stockport, Lancs, England; [Perkol-Finkel, Shimrit; Hadary, Tomer; Shirazi, Raviv] ECOncrete Tech Ltd, Tel Aviv, Israel; [Strain, Elisabeth M. A.] Univ Tasmania, Inst Marine &amp; Antarctic Sci, Hobart, Tas, Australia; [Strain, Elisabeth M. A.; Bishop, Melanie J.] Sydney Inst Marine Sci, Mosman, NSW, Australia; [Bishop, Melanie J.] Macquarie Univ, Dept Biol Sci, Sydney, NSW, Australia; [Hawkins, Stephen J.] Univ Southampton, Natl Oceanog Ctr Southampton, Ocean &amp; Earth Sci, Southampton, Hants, England; [Hawkins, Stephen J.] Marine Biol Assoc UK, Citadel Hill, Plymouth, Devon, England; [Hawkins, Stephen J.; Hanley, Mick E.; Thompson, Richard C.; Amstutz, Axelle; Firth, Louise B.] Univ Plymouth, Sch Biol &amp; Marine Sci, Plymouth, Devon, England; [Yunnie, Anna L. E.] PML Applicat Ltd, Plymouth, Devon, England; [Milliet, Laura] Toulouse Sch Management, Toulouse, France; [Milliet, Laura] Univ Toulouse, Purpan Sch Engn, Toulouse, France; [Yong, Clara L. X.] Natl Univ Singapore, Dept Biol Sci, Singapore, Singapore</t>
  </si>
  <si>
    <t>University of Plymouth; University of Tasmania; Sydney Institute of Marine Science; Macquarie University; NERC National Oceanography Centre; University of Southampton; Marine Biological Association United Kingdom; University of Plymouth; Universite de Toulouse; National University of Singapore</t>
  </si>
  <si>
    <t>O'Shaughnessy, KA (corresponding author), Univ Plymouth, Sch Geog Earth &amp; Environm Sci, Plymouth, Devon, England.;O'Shaughnessy, KA (corresponding author), APEM Ltd, Stockport, Lancs, England.</t>
  </si>
  <si>
    <t>oshaug3@gmail.com</t>
  </si>
  <si>
    <t>Strain, Elisabeth/U-3520-2017; Bishop, Melanie/AGA-7862-2022; Thompson, Richard C/J-8879-2014; Yong, Clara Lei Xin/JBJ-3685-2023</t>
  </si>
  <si>
    <t>Yong, Clara Lei Xin/0000-0002-4391-6647; Thompson, Richard/0000-0003-2262-6621; Bishop, Melanie/0000-0001-8210-6500</t>
  </si>
  <si>
    <t>10.3389/fevo.2021.690413</t>
  </si>
  <si>
    <t>XM5EA</t>
  </si>
  <si>
    <t>WOS:000728849000001</t>
  </si>
  <si>
    <t>Prater, I; Hrbacek, F; Braun, C; Vidal, A; Meier, LA; Nyvlt, D; Mueller, CW</t>
  </si>
  <si>
    <t>Prater, Isabel; Hrbacek, Filip; Braun, Christina; Vidal, Alix; Meier, Lars Arne; Nyvlt, Daniel; Mueller, Carsten W.</t>
  </si>
  <si>
    <t>How vegetation patches drive soil development and organic matter formation on polar islands</t>
  </si>
  <si>
    <t>GEODERMA REGIONAL</t>
  </si>
  <si>
    <t>Antarctic Peninsula; King George Island; James Ross Island; Vegetation-soil interaction; Particulate organic matter; Mineral-associated organic matter; C-13 NMR spectroscopy</t>
  </si>
  <si>
    <t>JAMES-ROSS-ISLAND; KING GEORGE ISLAND; ANTARCTIC VASCULAR PLANTS; STATE C-13 NMR; DESCHAMPSIA-ANTARCTICA; XANES SPECTROSCOPY; SEAL CARCASSES; SALT TOLERANCE; ULU PENINSULA; CARBON STOCKS</t>
  </si>
  <si>
    <t>As Antarctica is strongly affected by climate change and global warming, the factors that mainly determine soil development might also shift from the dominance of physical to biochemical processes. Vegetation is restricted to the margins of the Antarctic continent with the Antarctic Peninsula being a region of patchily distributed vegetation. While on James Ross Island in the Weddell Sea only cryptogams can be found, on King George Island in the Southern Ocean also vascular plants are present. As rates of soil development and the build-up of soil organic matter are very low in these polar conditions, it can be hypothesized that vegetation patches comprise hot spots for biogeochemical soil processes. To analyze the effect of vegetation on soils in maritime Antarctica, we investigated vegetated and vegetation-free soils from both islands. On both islands, we found clearly higher carbon and nitrogen contents in vegetated soils. Using physical fractionation, we could demonstrate that the amount of free and occluded particulate organic matter is also higher in soils under vegetation, but at the same time, that clay-sized mineral-associated organic matter contributes most to carbon storage in all soils. The dominance of aromatic compounds in vegetation-free soils was disclosed by 13C NMR spectroscopy as well as a larger proportion of compounds with a lower molecular weight in vegetated soils. Thus, vegetation patches lead to soil organic matter containing higher amounts of bioavailable substrates that can be assumed to foster microbial activity and thus drive further soil development in a warmer future. However, in the cold arid environments a propagation of aridity might result in vegetation dieback and thus in a ceasing of biological soil activity driving a slowing of soil development.</t>
  </si>
  <si>
    <t>[Prater, Isabel; Vidal, Alix; Mueller, Carsten W.] Tech Univ Munich, Res Dept Ecol &amp; Ecosyst Management, Chair Soil Sci, D-85354 Freising Weihenstephan, Germany; [Hrbacek, Filip; Nyvlt, Daniel] Masaryk Univ, Dept Geog, PolarGeoLab, Brno 60177, Czech Republic; [Braun, Christina] Friedrich Schiller Univ, Inst Ecol &amp; Evolut, D-07743 Jena, Germany; [Meier, Lars Arne] Univ Tubingen, Dept Geosci, D-72070 Tubingen, Germany; [Mueller, Carsten W.] Univ Copenhagen, Dept Geosci &amp; Nat Resource Management, DK-1350 Copenhagen K, Denmark</t>
  </si>
  <si>
    <t>Technical University of Munich; Masaryk University Brno; Friedrich Schiller University of Jena; Eberhard Karls University of Tubingen; University of Copenhagen</t>
  </si>
  <si>
    <t>Prater, I (corresponding author), Tech Univ Munich, Chair Soil Sci, Emil Ramann Str 2, D-85354 Freising Weihenstephan, Germany.</t>
  </si>
  <si>
    <t>i.prater@tum.de</t>
  </si>
  <si>
    <t>Vidal, Alix/JCD-9400-2023; Hrbacek, Filip/ABG-4319-2020; Prater, Isabel/JCP-4941-2023; Vidal, Alix/AAG-1980-2019; Nyvlt, Daniel/D-5708-2011</t>
  </si>
  <si>
    <t>Hrbacek, Filip/0000-0001-5032-9216; Vidal, Alix/0000-0002-5645-2730; Mueller, Carsten W./0000-0003-4119-0544; Nyvlt, Daniel/0000-0002-6876-490X; Prater, Isabel/0000-0001-8195-3150</t>
  </si>
  <si>
    <t>DFG [MU 3021/8-1]; Ministry of Education, Youth and Sports of the Czech Republic [LM2015078, CZ.02.1.01/0.0/0.0/16_013/0001708]; German Federal Environment Agency (UBA) [UFOPLAN 371519 213 0]</t>
  </si>
  <si>
    <t>DFG(German Research Foundation (DFG)); Ministry of Education, Youth and Sports of the Czech Republic(Ministry of Education, Youth &amp; Sports - Czech Republic); German Federal Environment Agency (UBA)(University of Buenos Aires)</t>
  </si>
  <si>
    <t>We are grateful for the funding within the DFG Priority Programme 1158 Antarctic Research with Comparable Investigations in Arctic Sea Ice Areas (MU 3021/8-1). The work of FH and DN has been supported by the Ministry of Education, Youth and Sports of the Czech Republic projects no. LM2015078 (Czech Polar Research Infrastructure), and CZ.02.1.01/0.0/0.0/16_013/0001708 (Ecopolaris). The work of CB in the field season 2016/2017 has been supported by the German Federal Environment Agency (UBA) under the grant agreement UFOPLAN 3715 19 213 0, logistics support was provided by Russian Antarctic Expedition, Aerovias DAP and Antarctica XXI. We thank Maria Greiner for her assistance with physical soil fractionation and elemental analyses.</t>
  </si>
  <si>
    <t>2352-0094</t>
  </si>
  <si>
    <t>GEODERMA REG</t>
  </si>
  <si>
    <t>Geoderma Reg.</t>
  </si>
  <si>
    <t>e00429</t>
  </si>
  <si>
    <t>10.1016/j.geodrs.2021.e00429</t>
  </si>
  <si>
    <t>UZ0ZW</t>
  </si>
  <si>
    <t>WOS:000701943100002</t>
  </si>
  <si>
    <t>Di Franco, A; Calò, A; De Benedetto, GE; Ghigliotti, L; Pennetta, A; Renard, MDM; Pisano, E; Vacchi, M; Guidetti, P</t>
  </si>
  <si>
    <t>Di Franco, Antonio; Calo, Antonio; De Benedetto, Giuseppe Egidio; Ghigliotti, Laura; Pennetta, Antonio; Renard, Mathieu D. M.; Pisano, Eva; Vacchi, Marino; Guidetti, Paolo</t>
  </si>
  <si>
    <t>Otolith chemical composition suggests local populations of Antarctic silverfish Pleuragramma antarctica (Boulenger, 1902) around Antarctica are exposed to similar environmental conditions at early life stages</t>
  </si>
  <si>
    <t>Otoliths; Antarctic silverfish; Early life stages; Natal origins</t>
  </si>
  <si>
    <t>TERRA-NOVA BAY; HISTORY CONNECTIVITY; SPATIAL-DISTRIBUTION; ROSS SEA; CHEMISTRY; FISH; SIGNATURES; DISPERSAL; ELEMENTS; LARVAL</t>
  </si>
  <si>
    <t>The Antarctic silverfish Pleuragramma antarctica is a key species in the Southern Ocean ecosystem, and it is potentially threatened by the climate change affecting Antarctic ecosystems. Assessing the possible exposure to similar or different environmental conditions at early life stages and gathering information about connectivity or segregation between local populations of P. antarctica can be key for planning sound management strategies for this species. By using Laser Ablation Inductively Coupled Plasma Mass Spectrometry, we characterized the otolith chemical composition of 163 adult Antarctic silverfish collected from three areas located thousands of kilometers apart from each other: Cape Hallett, Adelie Land, and Joinville Island. Otoliths were analyzed for chemical composition of both the edge (reflecting the exposure of individuals to environmental conditions at the site where they were sampled) and the core (reflecting exposure to environmental conditions during early life periods after the egg fertilization). We found that the chemical composition along otolith edges was heterogeneous between samples collected at Joinville Island and those collected at the other two sampling areas. In contrast, the chemical composition of otolith cores was homogenous. Our study suggests that adult Antarctic silverfish inhabiting areas very distant from each other have been exposed to similar environmental conditions at early life stages, and could have experienced similar growth rates and physiological processes. This would imply that environmental drivers probably do not play a role in determining potential spatial variability in individual fitness at early life stages, and should not have a major impact on population replenishment.</t>
  </si>
  <si>
    <t>[Di Franco, Antonio] Stazione Zoolog Anton Dohrn, Cristoforo Colombo Complesso Roosevelt, Dept Integrat Marine Ecol, Sicily, I-90149 Palermo, Italy; [Di Franco, Antonio; Calo, Antonio; Renard, Mathieu D. M.; Guidetti, Paolo] Univ Cote Azur, CNRS, UMR 7035 ECOSEAS, Parc Valrose, Ave Valrose, F-06108 Nice, France; [Di Franco, Antonio; Guidetti, Paolo] Consorzio Interuniversitario Scienze Mare, CoNISMa, Piazzale Flaminio 9, I-00196 Rome, Italy; [Calo, Antonio] Univ Palermo, Dipartimento Scienze Terra Mare DiSTeM, Via Archirafi 20, I-90123 Palermo, Italy; [De Benedetto, Giuseppe Egidio; Pennetta, Antonio] Univ Salento, Dept Beni Culturali, Lab Spettrometria Massa Analit Isotop, Lecce, Italy; [Ghigliotti, Laura; Pisano, Eva; Vacchi, Marino; Guidetti, Paolo] Natl Res Council Italy, IAS, Via Marini 6, I-16149 Genoa, Italy; [Renard, Mathieu D. M.] Max Planck Inst Brain Res, Frankfurt, Germany; [Guidetti, Paolo] Stazione Zoolog Anton Dohrn Natl Inst Marine Biol, Dept Integrat Marine Ecol, Ecol &amp; Biotechnol, Villa Comunale, I-80121 Naples, Italy</t>
  </si>
  <si>
    <t>Universite Cote d'Azur; Centre National de la Recherche Scientifique (CNRS); CoNISMa; University of Palermo; University of Salento; Consiglio Nazionale delle Ricerche (CNR); Max Planck Society</t>
  </si>
  <si>
    <t>Di Franco, A (corresponding author), Stazione Zoolog Anton Dohrn, Cristoforo Colombo Complesso Roosevelt, Dept Integrat Marine Ecol, Sicily, I-90149 Palermo, Italy.;Di Franco, A (corresponding author), Univ Cote Azur, CNRS, UMR 7035 ECOSEAS, Parc Valrose, Ave Valrose, F-06108 Nice, France.;Di Franco, A (corresponding author), Consorzio Interuniversitario Scienze Mare, CoNISMa, Piazzale Flaminio 9, I-00196 Rome, Italy.</t>
  </si>
  <si>
    <t>antonio.difranco@szn.it</t>
  </si>
  <si>
    <t>Calò, Antonio/ABH-4727-2020; Ghigliotti, Laura/AAN-6843-2021; De Benedetto, Giuseppe Egidio/G-9470-2012; Di Franco, Antonio/A-8796-2010</t>
  </si>
  <si>
    <t>Ghigliotti, Laura/0000-0003-2139-1381; Pennetta, Antonio/0000-0002-6760-9393; De Benedetto, Giuseppe Egidio/0000-0002-0832-5470; Di Franco, Antonio/0000-0003-3411-7015; Calo, Antonio/0000-0001-6703-6751</t>
  </si>
  <si>
    <t>PNRA (Italian National Antarctic Research Program) [2013/ AZ1.18]</t>
  </si>
  <si>
    <t>PNRA (Italian National Antarctic Research Program)</t>
  </si>
  <si>
    <t>This study was financially supported by the PNRA (Italian National Antarctic Research Program) within the research project 2013/ AZ1.18 (RAISE-Integrated Research on AntarctIc Silverfish Ecology in the Ross Sea).</t>
  </si>
  <si>
    <t>10.1007/s00300-021-02932-2</t>
  </si>
  <si>
    <t>WOS:000686509300001</t>
  </si>
  <si>
    <t>Sarkar, A; Mishra, R; Bhaskar, PV; Anilkumar, N; Sabu, P; Soares, M</t>
  </si>
  <si>
    <t>Sarkar, Amit; Mishra, Rajanikant; Bhaskar, Parli V.; Anilkumar, N.; Sabu, Prabhakaran; Soares, Melena</t>
  </si>
  <si>
    <t>Potential Role of Major Phytoplankton Communities on pCO2 Modulation in the Indian Sector of Southern Ocean</t>
  </si>
  <si>
    <t>THALASSAS</t>
  </si>
  <si>
    <t>Southern Ocean fronts; Pigments; Phytoplankton; pCO(2)</t>
  </si>
  <si>
    <t>INORGANIC CARBON; MARINE-PHYTOPLANKTON; EMILIANIA-HUXLEYI; PIGMENT PATTERNS; NUTRIENT RATIOS; SURFACE WATERS; NORTH-ATLANTIC; FRESH-WATER; CO2 SINK; FRONTS</t>
  </si>
  <si>
    <t>Spatial variations in the phytoplankton community compositions, carbon dioxide system and ancillary water column properties, were monitored across various frontal systems in the Indian Sector of Southern Ocean (ISSO) during austral summer 2013. Four major frontal systems, namely, the Agulhas Return Front (ARF), Southern Subtropical Front (SSTF), Subantarctic Front (SAF) and Polar Front (PF) were identified along the study area. Major groups of phytoplankton were distinguished adopting single marker pigment approach. Statistical computations showed the distribution of diatoms were influenced by the availability of inorganic nutrients (primarily silicate and nitrate) and mixed layer depths (MLD). Haptophytes were strongly dependent on phosphate availability, whereas, picoplankton flourished in water where regenerated nutrient ammonium was present. The lowest surface pCO(2) (267.26-291.5 mu atm) along with in situ oxygen production (&gt; 10 mu M) was encountered at the two warmer fronts, ARF and SSTF, dominated by haptophytes and picoplankton. The colder Antarctic fronts, SAF and PF were dominated by diatoms where surface pCO(2) was relatively higher (&gt; 350 mu atm). Poor statistical correlation among temperature and total chlorophyll with pCO(2) revealed complex interplay of multiple factors. Contribution of major phytoplankton groups towards pCO(2) drawdown was computed using a one-dimensional model describing the relative contributions of biological activities. In ISSO, calcifying and photosynthesizing haptophytes were observed to play a crucial role in the biological pump of CO2 drawdown at ARF, SSTF and SAF, while the silicifying micro phytoplankton diatoms and picoplankton were more effective at PF.</t>
  </si>
  <si>
    <t>[Sarkar, Amit; Mishra, Rajanikant; Bhaskar, Parli V.; Anilkumar, N.; Sabu, Prabhakaran; Soares, Melena] ESSO Natl Ctr Polar &amp; Ocean Res NCPOR, Vasco Da Gama 403804, Goa, India; [Sarkar, Amit] Kuwait Inst Sci Res, POB 1638, Salmiya 22017, Kuwait</t>
  </si>
  <si>
    <t>Ministry of Earth Sciences (MoES) - India; National Centre for Polar and Ocean Research (NCPOR); Kuwait Institute for Scientific Research</t>
  </si>
  <si>
    <t>Sarkar, A (corresponding author), ESSO Natl Ctr Polar &amp; Ocean Res NCPOR, Vasco Da Gama 403804, Goa, India.;Sarkar, A (corresponding author), Kuwait Inst Sci Res, POB 1638, Salmiya 22017, Kuwait.</t>
  </si>
  <si>
    <t>amitsarkar81@gmail.com</t>
  </si>
  <si>
    <t>; Parli, Bhaskar/D-3652-2019</t>
  </si>
  <si>
    <t>Sarkar, Amit/0000-0002-9359-5247; Parli, Bhaskar/0000-0002-0654-7520</t>
  </si>
  <si>
    <t>Ministry of Earth Sciences, Government of India</t>
  </si>
  <si>
    <t>Ministry of Earth Sciences, Government of India(Ministry of Earth Science (MoES), Government of India)</t>
  </si>
  <si>
    <t>This work was carried out during India's 7th Expedition to Southern Ocean organized by ESSO-NCPOR, Goa and funded by Ministry of Earth Sciences, Government of India. Sincere thanks to Dr S. K. Baliarsingh, ESSO-INCOIS, Hyderabad for support with the statistical analysis. Dr. V. V. S. S. Sarma, NIO-RC Vizag, India is gratefully acknowledged for thoughtful discussion in using the Louanchi model. On behalf of all authors, the corresponding author states that there is no conflict of interest.</t>
  </si>
  <si>
    <t>SPRINGER INT PUBL AG</t>
  </si>
  <si>
    <t>CHAM</t>
  </si>
  <si>
    <t>GEWERBESTRASSE 11, CHAM, CH-6330, SWITZERLAND</t>
  </si>
  <si>
    <t>0212-5919</t>
  </si>
  <si>
    <t>2366-1674</t>
  </si>
  <si>
    <t>Thalassas</t>
  </si>
  <si>
    <t>10.1007/s41208-021-00323-2</t>
  </si>
  <si>
    <t>UY0RI</t>
  </si>
  <si>
    <t>WOS:000686502400002</t>
  </si>
  <si>
    <t>Mohanty, SP</t>
  </si>
  <si>
    <t>Mohanty, Sarada P.</t>
  </si>
  <si>
    <t>The Bastar Craton of Central India: Tectonostratigraphic evolution and implications in global correlations</t>
  </si>
  <si>
    <t>EARTH-SCIENCE REVIEWS</t>
  </si>
  <si>
    <t>Crustal evolution; Great Oxidation Event; Paleoproterozoic glaciation; ocean chemistry; atmospheric evolution; continental assembly</t>
  </si>
  <si>
    <t>EASTERN GHATS BELT; U-PB GEOCHRONOLOGY; MAFIC DYKE SWARMS; RB-SR AGES; AUSTRALIA-LAURENTIA CONNECTION; HF ISOTOPE SYSTEMATICS; NARRYER GNEISS COMPLEX; LARGE IGNEOUS PROVINCE; SINGHBHUM MOBILE BELT; ALBANY-FRASER OROGEN</t>
  </si>
  <si>
    <t>The Bastar Craton occupies a key position in the Peninsular India, being located between three cratonic nuclei of India, the Dharwar Craton in the southwest, the Singhbhum Craton in the northeast, and the Bundelkhand Craton in the northwest. The southeastern and the northern margins of the craton are bordered by the Proterozoic orogenic belts constituting the Eastern Ghats Mobile Belt and the Central Indian Tectonic Zone (the Satpura Mobile Belt), respectively. Analysis of the tectonostratigraphic evolution of the craton indicates the formation of the craton during Paleoarchean Era (-3582 Ma). The Archean evolution of the craton is marked by the development of granite-greenstone belts containing chemogenic sediments (Banded Iron Formations) and gold mineralisation. High-grade gneisses and granulites were developed during three orogenic episodes in the terrane (-2700 Ma Bailadila orogeny, -2900 Ma Bengpal orogeny and -3400 Ma Sukma orogeny). The Paleoproterozoic evolution of the craton is gleaned from the record of siliciclastic, volcaniclastics and chemogenic precipitates (carbonates, Banded Manganese Formation, and Banded Iron Formation) on the northern margin of the craton, which were deposited during the Great Oxidation Event (GOE; 2500-2300 Ma) and Paleoproterozoic glaciation (2400-2300 Ma) as well as immediately after the GOE (2050-1850 Ma). Effects of orogenic activities in the adjacent mobile belts are marked by the metamorphic and magmatic activities affecting the rocks at the margin of the craton. The Satpura orogenic event on the northern margin of the craton led to the amalgamation of the Bastar Craton with the Bundelkhand Craton at -2250 and -2100 Ma, forming the major part of the Peninsular India. Orogenic collapse (extension) developed basins transverse to the orogenic trend, where clastic, volcaniclastic and chemogenic sediments (Khairagarh and Chilpi Groups) were deposited. The southeastern margin of the craton has records of migmatisation and granite emplacement during the Eastern Ghats orogeny at -1700 Ma. A number of sedimentary basins, aligned along a line parallel to the Eastern Ghats Mobile Belt, were developed during the orogenic collapse of the Eastern Ghats. Later orogenic activities along the Eastern Ghats were responsible for the development of depositional hiatus/unconformity within these sedimentary basins of the craton. Mafic dykes of different generations (2400 Ma, 2100 Ma and 1890 Ma) cutting across the Archean basement complex provide suitable markers for paleomagnetic reconstructions of the craton. The Archean and early Paleoproterozoic rock assemblages and mineralisation patterns in the craton show a broad similarity with the Western Australian Craton, indicating near-neighbourhood positions of the two ancient cratonic blocks. Paleomagnetic studies have shown the separation of these two blocks at -2000 Ma, with the development of a paleo-ocean which closed subsequently during the amalgamation of the Bastar Craton with the East Antarctic Shield to form the Eastern Ghats Mobile Belt in three phases at -1700-1600 Ma, -1050-950 Ma and -500 Ma, with extensional phase between 1450 and 1100 Ma. The Bastar Craton preserves important clues regarding the evolution of the ocean and atmospheric conditions in the early Earth.</t>
  </si>
  <si>
    <t>[Mohanty, Sarada P.] Indian Sch Mines, Dept Appl Geol, Indian Inst Technol, Dhanbad 826004, Bihar, India</t>
  </si>
  <si>
    <t>Indian Institute of Technology System (IIT System); Indian Institute of Technology (Indian School of Mines) Dhanbad</t>
  </si>
  <si>
    <t>Mohanty, SP (corresponding author), Indian Sch Mines, Dept Appl Geol, Indian Inst Technol, Dhanbad 826004, Bihar, India.</t>
  </si>
  <si>
    <t>mohantysp@yahoo.com</t>
  </si>
  <si>
    <t>Mohanty, Sarada Prasad/E-5734-2019</t>
  </si>
  <si>
    <t>Mohanty, Sarada Prasad/0000-0003-0397-8744</t>
  </si>
  <si>
    <t>0012-8252</t>
  </si>
  <si>
    <t>1872-6828</t>
  </si>
  <si>
    <t>EARTH-SCI REV</t>
  </si>
  <si>
    <t>Earth-Sci. Rev.</t>
  </si>
  <si>
    <t>10.1016/j.earscirev.2021.103770</t>
  </si>
  <si>
    <t>WC8PB</t>
  </si>
  <si>
    <t>WOS:000704513400001</t>
  </si>
  <si>
    <t>Glencross, JS; Lavers, JL; Woehler, EJ</t>
  </si>
  <si>
    <t>Glencross, Jacqueline S.; Lavers, Jennifer L.; Woehler, Eric J.</t>
  </si>
  <si>
    <t>Breeding success of short-tailed shearwaters following extreme environmental conditions</t>
  </si>
  <si>
    <t>Ardenna tenuirostris; Mass mortality event; Migratory seabird; Phenology; Pacific marine heatwave; Short-tailed shearwater; Wreck</t>
  </si>
  <si>
    <t>LONG-LIVED SEABIRD; EASTERN BERING-SEA; REPRODUCTIVE-PERFORMANCE; PUFFINUS-TENUIROSTRIS; MASS-MORTALITY; INVESTIGATOR DISTURBANCE; POPULATION-DYNAMICS; BODY CONDITION; URIA AALGE; RECRUITMENT</t>
  </si>
  <si>
    <t>Extreme weather events are increasing in frequency, causing disruption to global ecosystems. Large-scale events, such as marine heatwaves, can impact the abundance of prey species, which consequently influences the behaviour of top-level predators such as seabirds. The short-tailed shearwater Ardenna tenuirostris is a trans-hemispheric migrant with typically a highly synchronous breeding phenology. Here, we document short-tailed shearwater colony occupancy for the period 2011-2020, with a focussed assessment of their breeding success in the 2019/20 season, which followed a marine heatwave that occurred predominantly in the nonbreeding areas in the North Pacific Ocean. The return of the birds to their breeding colonies in southeast Australia was delayed by approximately 2 wk in October 2019, and the subsequent breeding season ended with only 34% breeding success, with nest abandonment beginning in the incubation phase. A North Pacific marine heatwave in 2019, associated with a mass mortality event of over 9000 birds ('wreck' of beach-washed birds), led to reduced adult body condition and carry-over effects causing egg and chick failures during the subsequent breeding season. Localised weather events (i.e. flooding of burrows due to heavy rainfall) also influenced breeding outcomes of the 2019/20 season. The relationship between wreck events and seabird breeding ecology is an understudied area, partly due to the difficulties around quantifying the scale of wrecks. Our study is one of few that documents poor seabird breeding success following the extreme marine conditions which have persisted in the North Pacific Ocean since 2013.</t>
  </si>
  <si>
    <t>[Glencross, Jacqueline S.; Lavers, Jennifer L.] Univ Tasmania, Inst Marine &amp; Antarctic Studies, 20 Castray Esplanade, Battery Point, Tas 7004, Australia; [Woehler, Eric J.] BirdLife Tasmania, GPO Box 68, Hobart, Tas 7001, Australia</t>
  </si>
  <si>
    <t>Lavers, Jennifer/O-4831-2017; Glencross, Jacqueline/ABA-2343-2021; Lavers, Jennifer/IWM-5417-2023</t>
  </si>
  <si>
    <t>Lavers, Jennifer/0000-0001-7596-6588; Glencross, Jacqueline/0000-0001-8581-5417; Woehler, Eric/0000-0002-1125-0748</t>
  </si>
  <si>
    <t>Pacific Seabird Group; BirdLife Tasmania</t>
  </si>
  <si>
    <t>We thank Peter Vertigan for his excellent company in the field and for stimulating discussions on short-tailed shearwaters. We also thank Emma Nichols, who assisted in the field following a last-minute change of plans resulting from COVID-19 restrictions. All research was undertaken under the University of Tasmania Animal Ethics Permit (A0018194) and DPIPWE Scientific Research Permit (TFA 19193) to BirdLife Tasmania. We thank the Pacific Seabird Group and BirdLife Tasmania for funding support. Finally, our gratitude to the 3 anonymous reviewers for their feedback that improved an earlier draft.</t>
  </si>
  <si>
    <t>AUG 19</t>
  </si>
  <si>
    <t>10.3354/meps13791</t>
  </si>
  <si>
    <t>UJ5HK</t>
  </si>
  <si>
    <t>WOS:000691315800014</t>
  </si>
  <si>
    <t>Orr, A; Kirchgaessner, A; King, J; Phillips, T; Gilbert, E; Elvidge, A; Weeks, M; Gadian, A; Munneke, PK; van den Broeke, M; Webster, S; McGrath, D</t>
  </si>
  <si>
    <t>Orr, Andrew; Kirchgaessner, Amelie; King, John; Phillips, Tony; Gilbert, Ella; Elvidge, Andrew; Weeks, Mark; Gadian, Alan; Munneke, Peter Kuipers; van den Broeke, Michiel; Webster, Stuart; McGrath, Daniel</t>
  </si>
  <si>
    <t>Comparison of kilometre and sub-kilometre scale simulations of a foehn wind event over the Larsen C Ice Shelf, Antarctic Peninsula using the Met Office Unified Model (MetUM)</t>
  </si>
  <si>
    <t>QUARTERLY JOURNAL OF THE ROYAL METEOROLOGICAL SOCIETY</t>
  </si>
  <si>
    <t>Tools and methods: Dynamic/processes, regional and mesoscale modelling; Scale: Mesoscale; Physical phenomenon: Dynamics; Geophysical sphere: Atmosphere, orography (including valleys); Geographic/climatic zone: Polar; Application/context: Climate; boundary layer</t>
  </si>
  <si>
    <t>ATMOSPHERIC BOUNDARY-LAYERS; HEMISPHERE ANNULAR MODE; SURFACE MASS-BALANCE; STRATIFIED FLOW; FOHN WINDS; CLIMATE; MELT; RESOLUTION; JULES; IMPACT</t>
  </si>
  <si>
    <t>A foehn event on 27 January 2011 over the Larsen C Ice Shelf (LCIS), Antarctic Peninsula and its interaction with an exisiting ground-based cold-air pool is simulated using the MetUM atmospheric model at kilometre and sub-kilometre scale grid spacing. Atmospheric model simulations at kilometre grid scales are an important tool for understanding the detailed circulation and temperature structure over the LCIS, especially the occurrence of foehn-induced surface melting, erosion of cold-air pools, and low-level wind jets (so-called foehn jets). But whether there is an improvement/convergence in the model representation of these features at sub-kilometre grid scales has yet to be established. The foehn event was simulated at grid spacings of 4, 1.5 and 0.5 km, with the results compared to automatic weather station and radiosonde measurements. The features commonly associated with foehn, such as a leeside hydraulic jump and enhanced leeside warming, were comparatively insensitive to resolution in the 4 to 0.5 km range, although the 0.5 km simulation shows a slightly sharper and larger hydraulic jump. By contrast, during the event the simulation of fine-scale foehn jets above the cold-air pool showed considerable dependence on grid spacing, although no evidence of convergence at higher resolution. During the foehn event, the MetUM model is characterised by a nocturnal cold bias of around 8 degrees C and an underestimate of the near-surface stability of the cold-air pool, neither of which improved with increased resolution. This finding identifies a key model limitation, at both kilometre and sub-kilometre scales, to realistically capture the vertical mixing in the boundary layer and its impact on thermodynamics, through either daytime heating from below or the downward penetration of foehn jet winds from above. Detailed model-resolved foehn jet dynamics thus plays a crucial role in controlling the near-surface temperature structure over the LCIS, as well as sub-grid turbulent mixing.</t>
  </si>
  <si>
    <t>[Orr, Andrew; Kirchgaessner, Amelie; King, John; Phillips, Tony] British Antarctic Survey, Madingley Rd, Cambridge CB3 0FT, England; [Gilbert, Ella] Univ Reading, Reading, Berks, England; [Elvidge, Andrew] Univ East Anglia, Norwich, Norfolk, England; [Weeks, Mark; Webster, Stuart] Met Off, Exeter, Devon, England; [Gadian, Alan] Univ Leeds, Leeds, W Yorkshire, England; [Munneke, Peter Kuipers; van den Broeke, Michiel] Univ Utrecht, Utrecht, Netherlands; [McGrath, Daniel] Colorado State Univ, Ft Collins, CO 80523 USA</t>
  </si>
  <si>
    <t>UK Research &amp; Innovation (UKRI); Natural Environment Research Council (NERC); NERC British Antarctic Survey; University of Reading; University of East Anglia; Met Office - UK; University of Leeds; Utrecht University; Colorado State University</t>
  </si>
  <si>
    <t>Orr, A (corresponding author), British Antarctic Survey, Madingley Rd, Cambridge CB3 0FT, England.</t>
  </si>
  <si>
    <t>anmcr@bas.ac.uk</t>
  </si>
  <si>
    <t>Van den Broeke, Michiel R./F-7867-2011</t>
  </si>
  <si>
    <t>Van den Broeke, Michiel R./0000-0003-4662-7565; Elvidge, Andrew/0000-0002-7099-902X; Gilbert, Ella/0000-0001-5272-8894</t>
  </si>
  <si>
    <t>UK Natural Environment Research Council (NERC) [NE/G014124/1]; NERC [bas0100032] Funding Source: UKRI</t>
  </si>
  <si>
    <t>This study is dedicated to Konrad Steffen, who was a co-author on an earlier draft of this manuscript, but very sadly died in 2020. Konrad was the Director of the Swiss Federal Institute for Forest, Snow and Landscape Research (WSL), and former Director of the Cooperative Institute for Research in Environmental Sciences (CIRES), University of Colorado, who operated AWS 3, 4 and 5. We are grateful for the advice given by Adrian Lock on the model boundary-layer scheme and by Richard Essery on the surface scheme. This study was supported by the UK Natural Environment Research Council (NERC) under grant NE/G014124/1 Orographic Flows and the Climate of the Antarctic Peninsula (OFCAP). We are grateful for the expert comments by two anonymous referees on an earlier version of this article which significantly expanded its scope, in particular by suggesting that the interaction between the foehn event and the cold-air pool be examined in much more detail.</t>
  </si>
  <si>
    <t>0035-9009</t>
  </si>
  <si>
    <t>1477-870X</t>
  </si>
  <si>
    <t>Q J ROY METEOR SOC</t>
  </si>
  <si>
    <t>Q. J. R. Meteorol. Soc.</t>
  </si>
  <si>
    <t>10.1002/qj.4138</t>
  </si>
  <si>
    <t>UN5FY</t>
  </si>
  <si>
    <t>WOS:000687053300001</t>
  </si>
  <si>
    <t>Thompson, DR; Goetz, KT; Sagar, PM; Torres, LG; Kroeger, CE; Sztukowski, LA; Orben, RA; Hoskins, AJ; Phillips, RA</t>
  </si>
  <si>
    <t>Thompson, David R.; Goetz, Kimberly T.; Sagar, Paul M.; Torres, Leigh G.; Kroeger, Caitlin E.; Sztukowski, Lisa A.; Orben, Rachael A.; Hoskins, Andrew J.; Phillips, Richard A.</t>
  </si>
  <si>
    <t>The year-round distribution and habitat preferences of Campbell albatross (Thalassarche impavida)</t>
  </si>
  <si>
    <t>AQUATIC CONSERVATION-MARINE AND FRESHWATER ECOSYSTEMS</t>
  </si>
  <si>
    <t>fisheries overlap; geolocation; habitat use; New Zealand; seabird; subantarctic</t>
  </si>
  <si>
    <t>GREY-HEADED ALBATROSSES; BLACK-BROWED ALBATROSS; NEW-ZEALAND; SYMPATRIC ALBATROSSES; DIOMEDEA-MELANOPHRYS; POPULATION-STRUCTURE; D-CHRYSOSTOMA; TRACKING; ISLAND; PROVENANCE</t>
  </si>
  <si>
    <t>The use of miniaturized electronic tracking devices has illuminated our understanding of seabird distributions and habitat use, and how anthropogenic threats interact with seabirds in both space and time. To determine the year-round distribution of adult Campbell albatross (Thalassarche impavida), a single-island endemic, breeding only at Campbell Island in New Zealand's subantarctic, a total of 68 year-long location data sets were acquired from light-based geolocation data-logging tags deployed on breeding birds in 2009 and 2010. During the incubation and chick-guard phases of the breeding season, birds used cool (&lt;10 degrees C) waters over the Campbell Plateau, but also ranged over deeper, shelf-break and oceanic waters (4,000-5,500 m) beyond the Plateau. Later in the breeding season, during post-guard chick-rearing, Campbell albatrosses exploited generally deep waters (4,000-5,000 m) beyond the Campbell Plateau. During the non-breeding period, adults tended to move northwards into warmer (approximately 15 degrees C) waters and occupied areas beyond western Australia in the west to offshore from Chile in the east. Overall, about 30% of adults spent some of their non-breeding period in the central and eastern Pacific Ocean, substantially expanding the previously reported range for this species. One bird, that failed in its breeding attempt in October 2009, departed Campbell Island and circumnavigated the southern oceans before being recaptured back at Campbell Island in October 2010. This is the first example of an annually-breeding albatross species completing a circumnavigation between breeding attempts. Overlap with fishing effort, using data from the Global Fishing Watch database, was assessed on a monthly and seasonal basis. Generally, levels of overlap between Campbell albatross and fishing effort were relatively low during the breeding season but were approximately 60% higher during the non-breeding period, underlining the need for international initiatives to safeguard this species.</t>
  </si>
  <si>
    <t>[Thompson, David R.; Goetz, Kimberly T.] Natl Inst Water &amp; Atmospher Res Ltd, 301 Evans Bay Parade, Wellington 6021, New Zealand; [Goetz, Kimberly T.] NOAA, Marine Mammal Lab, Alaska Fisheries Sci Ctr, Natl Marine Fisheries Serv, Seattle, WA USA; [Sagar, Paul M.] Natl Inst Water &amp; Atmospher Res Ltd, Christchurch, New Zealand; [Torres, Leigh G.] Oregon State Univ, Dept Fisheries &amp; Wildlife, Marine Mammal Inst, Newport, OR USA; [Kroeger, Caitlin E.] Farallon Inst, Petaluma, CA USA; [Sztukowski, Lisa A.] Commonwealth Northern Mariana Isl Dept Lands &amp; Na, Saipan, CM USA; [Orben, Rachael A.] Oregon State Univ, Hatfield Marine Sci Ctr, Dept Fisheries &amp; Wildlife, Newport, OR USA; [Hoskins, Andrew J.] CSIRO, Hlth &amp; Biosecur, Townsville, Qld, Australia; [Phillips, Richard A.] NERC, British Antarctic Survey, Cambridge, England</t>
  </si>
  <si>
    <t>National Institute of Water &amp; Atmospheric Research (NIWA) - New Zealand; National Oceanic Atmospheric Admin (NOAA) - USA; National Institute of Water &amp; Atmospheric Research (NIWA) - New Zealand; Oregon State University; Oregon State University; Commonwealth Scientific &amp; Industrial Research Organisation (CSIRO); UK Research &amp; Innovation (UKRI); Natural Environment Research Council (NERC); NERC British Antarctic Survey</t>
  </si>
  <si>
    <t>Thompson, DR (corresponding author), Natl Inst Water &amp; Atmospher Res Ltd, 301 Evans Bay Parade, Wellington 6021, New Zealand.</t>
  </si>
  <si>
    <t>david.thompson@niwa.co.nz</t>
  </si>
  <si>
    <t>Orben, Rachael A./H-9460-2019; Goetz, Kimberly/AID-8232-2022</t>
  </si>
  <si>
    <t>Orben, Rachael A./0000-0002-0802-407X; Thompson, David/0000-0003-0635-5876; Hoskins, Andrew/0000-0001-8907-6682</t>
  </si>
  <si>
    <t>Innovation Fund of the Sustainable Seas national Science Challenge [CO1X1515]; Ministry for Business, Innovation and Employment [CO1X0905]; National Institute of Water and Atmospheric Research Ltd; NERC [bas0100035] Funding Source: UKRI</t>
  </si>
  <si>
    <t>Innovation Fund of the Sustainable Seas national Science Challenge; Ministry for Business, Innovation and Employment(New Zealand Ministry of Business, Innovation and Employment (MBIE)); National Institute of Water and Atmospheric Research Ltd; NERC(UK Research &amp; Innovation (UKRI)Natural Environment Research Council (NERC))</t>
  </si>
  <si>
    <t>Innovation Fund of the Sustainable Seas national Science Challenge, Grant/Award Numbers: Contract number CO1X1515, CO1X1515; Ministry for Business, Innovation and Employment, Grant/Award Numbers: Contract number CO1X0905, CO1X0905; National Institute of Water and Atmospheric Research Ltd</t>
  </si>
  <si>
    <t>1052-7613</t>
  </si>
  <si>
    <t>1099-0755</t>
  </si>
  <si>
    <t>AQUAT CONSERV</t>
  </si>
  <si>
    <t>Aquat. Conserv.-Mar. Freshw. Ecosyst.</t>
  </si>
  <si>
    <t>10.1002/aqc.3685</t>
  </si>
  <si>
    <t>Environmental Sciences; Marine &amp; Freshwater Biology; Water Resources</t>
  </si>
  <si>
    <t>Environmental Sciences &amp; Ecology; Marine &amp; Freshwater Biology; Water Resources</t>
  </si>
  <si>
    <t>WI8DW</t>
  </si>
  <si>
    <t>WOS:000686324500001</t>
  </si>
  <si>
    <t>Lockton, KG; Spencer, HG</t>
  </si>
  <si>
    <t>Lockton, Katherine G.; Spencer, Hamish G.</t>
  </si>
  <si>
    <t>Phylogeography of the intertidal marine bivalve Lasaea hinemoa (Mollusca: Bivalvia) in New Zealand</t>
  </si>
  <si>
    <t>MOLLUSCAN RESEARCH</t>
  </si>
  <si>
    <t>Dispersal; genetic markers; biogeography; rocky shore</t>
  </si>
  <si>
    <t>MITOCHONDRIAL-DNA; CLAM LASAEA; DISPERSAL MECHANISMS; GENETIC-STRUCTURE; SOFTWARE; EVOLUTION; NUMBER; POLYMORPHISM; PERFORMANCE; INFERENCE</t>
  </si>
  <si>
    <t>Genetic investigations of members of the bivalve genus Lasaea have revealed unexpected diversity in the genus, as well as close affiliations between geographically distant populations. Here we investigate the phylogeography of the New Zealand species L. hinemoa using mitochondrial and nuclear gene sequences (cytochrome c oxidase subunit III and Internal Transcribed Spacer 2, respectively) from populations around the country. Additionally, we designed novel microsatellite markers, which enabled us to check the specific species status implied by the two single-gene markers. Lasaea hinemoa individuals fell into four clades. Clades I and III were numerically dominant, with a suggestion of some biogeographic structure around the coasts of mainland New Zealand, and we argue they represent separate cryptic species. Samples from the subantarctic Antipodes Island contained individuals from two clades (I and II). The latter clade is close to populations from the Kerguelen Islands, which suggests possible transoceanic dispersal via the Antarctic Circumpolar Current. Clade IV, represented by small numbers of individuals from Picton and Mahia, appears to be the result of transoceanic dispersal by yet another Lasaea species.</t>
  </si>
  <si>
    <t>[Lockton, Katherine G.; Spencer, Hamish G.] Univ Otago, Dept Zool, 340 Great King St, Dunedin 9016, New Zealand</t>
  </si>
  <si>
    <t>Lockton, KG (corresponding author), Univ Otago, Dept Zool, 340 Great King St, Dunedin 9016, New Zealand.</t>
  </si>
  <si>
    <t>kglockton@gmail.com</t>
  </si>
  <si>
    <t>Spencer, Hamish G/B-9637-2008</t>
  </si>
  <si>
    <t>Spencer, Hamish G/0000-0001-7531-597X; Lockton, Katherine/0009-0002-6549-952X</t>
  </si>
  <si>
    <t>1323-5818</t>
  </si>
  <si>
    <t>1448-6067</t>
  </si>
  <si>
    <t>MOLLUSCAN RES</t>
  </si>
  <si>
    <t>Molluscan Res.</t>
  </si>
  <si>
    <t>10.1080/13235818.2021.1966163</t>
  </si>
  <si>
    <t>UZ3ZG</t>
  </si>
  <si>
    <t>WOS:000685788300001</t>
  </si>
  <si>
    <t>Hammer, J</t>
  </si>
  <si>
    <t>Hammer, Joshua</t>
  </si>
  <si>
    <t>Madhouse at the End of the Earth: The Belgica's Journey into the Dark Antarctic Night</t>
  </si>
  <si>
    <t>NEW YORK REVIEW OF BOOKS</t>
  </si>
  <si>
    <t>NEW YORK REVIEW</t>
  </si>
  <si>
    <t>1755 BROADWAY, 5TH FLOOR, NEW YORK, NY 10019 USA</t>
  </si>
  <si>
    <t>0028-7504</t>
  </si>
  <si>
    <t>1944-7744</t>
  </si>
  <si>
    <t>NEW YORK REV BOOKS</t>
  </si>
  <si>
    <t>N. Y. Rev. Books</t>
  </si>
  <si>
    <t>Humanities, Multidisciplinary</t>
  </si>
  <si>
    <t>Arts &amp; Humanities - Other Topics</t>
  </si>
  <si>
    <t>VN6II</t>
  </si>
  <si>
    <t>WOS:001171683100016</t>
  </si>
  <si>
    <t>Tanbakouei, S; Trigo-Rodríguez, JM; Llorca, J; Moyano-Cambero, CE; Williams, IP; Rivkin, AS</t>
  </si>
  <si>
    <t>Tanbakouei, S.; Trigo-Rodriguez, Josep M.; Llorca, J.; Moyano-Cambero, C. E.; Williams, I. P.; Rivkin, Andrew S.</t>
  </si>
  <si>
    <t>The reflectance spectra of CV-CK carbonaceous chondrites from the near-infrared to the visible</t>
  </si>
  <si>
    <t>asteroids; meteoites; minor bodies</t>
  </si>
  <si>
    <t>ASTEROID 21 LUTETIA; AQUEOUS ALTERATION; MECHANICAL-PROPERTIES; MAGNETITE FE3O4; OSIRIS-REX; METEORITES; CM; METAMORPHISM; SURFACE; ORIGIN</t>
  </si>
  <si>
    <t>Carbonaceous chondrite meteorites are so far the only available samples representing carbon-rich asteroids and in order to allow future comparison with samples returned by missions such as Hayabusa 2 and OSIRIS-Rex, it is important to understand their physical properties. Future characterization of asteroid primitive classes, some of them targeted by sample-return missions, requires a better understanding of their mineralogy, the consequences of the exposure to space weathering, and how both affect the reflectance behaviour of these objects. In this paper, the reflectance spectra of two chemically related carbonaceous chondrites groups, precisely the Vigrano (CVs) and Karoonda (CKs), are measured and compared. The available sample suite includes polished sections exhibiting different petrologic types: from 3 (very low degree of thermal metamorphism) to 5 (high degree of thermal metamorphism). We found that the reflective properties and the comparison with the Cg asteroid reflectance class point towards a common chondritic reservoir from which the CV-CK asteroids collisionally evolved. In that scenario, the CV and CK chondrites could be originated from 221 Eos asteroid family, but because of its collisional disruption, both chondrite groups evolved separately, experiencing different stages of thermal metamorphism, annealing, and space weathering.</t>
  </si>
  <si>
    <t>[Tanbakouei, S.; Trigo-Rodriguez, Josep M.; Moyano-Cambero, C. E.] Inst Space Sci CSIC, Meteorites, Minor Bodies &amp; Planetary Sci Grp, Campus UAB,C Can Magrans S-N, E-08193 Cerdanyola Del Valles Ba, Catalonia, Spain; [Tanbakouei, S.; Trigo-Rodriguez, Josep M.; Moyano-Cambero, C. E.] Inst Estudis Espacials Catalunya IEEC, Gran Capita 2-4,Despatx 201, E-08034 Barcelona, Catalonia, Spain; [Llorca, J.] Univ Politecn Cataluna, Inst Energy Technol, Dept Chem Engn, EEBE, E-08019 Barcelona, Catalonia, Spain; [Llorca, J.] Univ Politecn Cataluna, Barcelona Res Ctr Multiscale Sci &amp; Engn, EEBE, E-08019 Barcelona, Catalonia, Spain; [Williams, I. P.] Queen Mary Univ London, Sch Phys &amp; Astron, Mile End Rd, London E1 4NS, England; [Rivkin, Andrew S.] Johns Hopkins Univ, Appl Phys Lab, Laurel, MD USA</t>
  </si>
  <si>
    <t>Autonomous University of Barcelona; Consejo Superior de Investigaciones Cientificas (CSIC); CSIC - Instituto de Ciencias del Espacio (ICE); Institut d'Estudis Espacials de Catalunya (IEEC); Universitat Politecnica de Catalunya; Universitat Politecnica de Catalunya; University of London; Queen Mary University London; University College London; Johns Hopkins University; Johns Hopkins University Applied Physics Laboratory</t>
  </si>
  <si>
    <t>Tanbakouei, S (corresponding author), Inst Space Sci CSIC, Meteorites, Minor Bodies &amp; Planetary Sci Grp, Campus UAB,C Can Magrans S-N, E-08193 Cerdanyola Del Valles Ba, Catalonia, Spain.;Tanbakouei, S (corresponding author), Inst Estudis Espacials Catalunya IEEC, Gran Capita 2-4,Despatx 201, E-08034 Barcelona, Catalonia, Spain.</t>
  </si>
  <si>
    <t>trigo@ice.cat</t>
  </si>
  <si>
    <t>Trigo-Rodríguez, Josep M./L-3870-2014; Rivkin, Andrew S/B-7744-2016</t>
  </si>
  <si>
    <t>Trigo-Rodríguez, Josep M./0000-0001-8417-702X;</t>
  </si>
  <si>
    <t>FEDER/Ministerio de Ciencia e Innovacion - Agencia Estatal de Investigacion [PGC2018097374-B-I00]; ICREA Academia program [GC 2017 SGR 128]; NSF; NASA</t>
  </si>
  <si>
    <t>FEDER/Ministerio de Ciencia e Innovacion - Agencia Estatal de Investigacion(Spanish Government); ICREA Academia program(ICREA); NSF(National Science Foundation (NSF)); NASA(National Aeronautics &amp; Space Administration (NASA))</t>
  </si>
  <si>
    <t>This research has been funded by the research project (PGC2018097374-B-I00, P.I.: JMT-R), funded by FEDER/Ministerio de Ciencia e Innovacion -Agencia Estatal de Investigacion. ST is hired in the framework of that research project. This study was done in the frame of PhD on Physics at the Autonomous University of Barcelona (UAB). JL is a Serra Hunter Fellow and is grateful to ICREA Academia program and GC 2017 SGR 128.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The Institute of Space Sciences (CSIC) is international repository of these Antarctic samples. We thank all these institutions for providing the Antarctic meteorites studied here. This research utilizes spectra acquired by with the NASA RELAB facility at Brown University.</t>
  </si>
  <si>
    <t>10.1093/mnras/stab2146</t>
  </si>
  <si>
    <t>UQ7SQ</t>
  </si>
  <si>
    <t>WOS:000696261000047</t>
  </si>
  <si>
    <t>Robinson, BJO; Barnes, DKA; Grange, LJ; Morley, SA</t>
  </si>
  <si>
    <t>Robinson, B. J. O.; Barnes, D. K. A.; Grange, L. J.; Morley, S. A.</t>
  </si>
  <si>
    <t>Intermediate ice scour disturbance is key to maintaining a peak in biodiversity within the shallows of the Western Antarctic Peninsula</t>
  </si>
  <si>
    <t>ICEBERG DISTURBANCE; BENTHIC COMMUNITIES; SEA; DIVERSITY; SHELF; HYPOTHESIS; ABUNDANCE; ECOSYSTEM; RECOVERY; RETREAT</t>
  </si>
  <si>
    <t>Climate-related disturbance regimes are changing rapidly with profound consequences for ecosystems. Disturbance is often perceived as detrimental to biodiversity; however, the literature is divided on how they influence each other. Disturbance events in nature are diverse, occurring across numerous interacting trophic levels and multiple spatial and temporal scales, leading to divergence between empirical and theoretical studies. The shallow Antarctic seafloor has one of the largest disturbance gradients on earth, due to iceberg scouring. Scour rates are changing rapidly along the Western Antarctic Peninsula because of climate change and with further changes predicted, the Antarctic benthos will likely undergo dramatic shifts in diversity. We investigated benthic macro and megafaunal richness across 10-100 m depth range, much of which, 40-100 m, has rarely been sampled. Macro and megafauna species richness peaked at 50-60 m depth, a depth dominated by a diverse range of sessile suspension feeders, with an intermediate level of iceberg disturbance. Our results show that a broad range of disturbance values are required to detect the predicted peak in biodiversity that is consistent with the Intermediate Disturbance Hypothesis, suggesting ice scour is key to maintaining high biodiversity in Antarctica's shallows.</t>
  </si>
  <si>
    <t>[Robinson, B. J. O.] Univ Southampton, Natl Oceanogrpahy Ctr Southampton, European Way, Southampton SO14 3ZH, Hants, England; [Robinson, B. J. O.; Barnes, D. K. A.; Morley, S. A.] Natl Environm Res Council, British Antarct Survey, High Cross,Madingley Rd, Cambridge CB3 0ET, England; [Grange, L. J.] Bangor Univ, Sch Ocean Sci, Bangor LL57 2DG, Gwynedd, Wales</t>
  </si>
  <si>
    <t>Robinson, BJO (corresponding author), Univ Southampton, Natl Oceanogrpahy Ctr Southampton, European Way, Southampton SO14 3ZH, Hants, England.;Robinson, BJO (corresponding author), Natl Environm Res Council, British Antarct Survey, High Cross,Madingley Rd, Cambridge CB3 0ET, England.</t>
  </si>
  <si>
    <t>benson@bas.ac.uk</t>
  </si>
  <si>
    <t>Robinson, Ben/0000-0002-7450-686X</t>
  </si>
  <si>
    <t>Natural Environmental Research Council (NERC); NERC Doctoral Training Program SPITFIRE through the University of Southampton [NE/L002531/1]</t>
  </si>
  <si>
    <t>Natural Environmental Research Council (NERC)(UK Research &amp; Innovation (UKRI)Natural Environment Research Council (NERC)); NERC Doctoral Training Program SPITFIRE through the University of Southampton</t>
  </si>
  <si>
    <t>This study was funded by the Natural Environmental Research Council (NERC) core funding to the Biodiversity and Adaptations Team of the British Antarctic Survey, and BR was also funded via NERC Doctoral Training Program SPITFIRE (NE/L002531/1), through the University of Southampton. We thank the summer and winter teams at Rothera Research Station (2009-2018) for their support.</t>
  </si>
  <si>
    <t>AUG 18</t>
  </si>
  <si>
    <t>10.1038/s41598-021-96269-9</t>
  </si>
  <si>
    <t>UC7MM</t>
  </si>
  <si>
    <t>Green Submitted, gold, Green Published, Green Accepted</t>
  </si>
  <si>
    <t>WOS:000686708000020</t>
  </si>
  <si>
    <t>Hollyman, PR; Hill, SL; Laptikhovsky, VV; Belchier, M; Gregory, S; Clement, A; Collins, MA; Godo, OR</t>
  </si>
  <si>
    <t>Hollyman, Philip R.; Hill, Simeon L.; Laptikhovsky, Vladimir V.; Belchier, Mark; Gregory, Susan; Clement, Alice; Collins, Martin A.; Godo, Olav Rune</t>
  </si>
  <si>
    <t>A long road to recovery: dynamics and ecology of the marbled rockcod (Notothenia rossii, family: Nototheniidae) at South Georgia, 50 years after overexploitation</t>
  </si>
  <si>
    <t>Diet analysis; Nototheniidae; Notothenia rossii; Over-exploitation; Trawl survey</t>
  </si>
  <si>
    <t>ICEFISH CHAMPSOCEPHALUS-GUNNARI; DEMERSAL FISH COMMUNITY; ANTARCTIC FUR SEALS; MACKEREL ICEFISH; ARCTOCEPHALUS-GAZELLA; SHETLAND ISLANDS; THEMISTO-GAUDICHAUDII; TROPHIC RELATIONSHIPS; POPULATION-DYNAMICS; BREEDING-SEASON</t>
  </si>
  <si>
    <t>Exploitation is one of the major drivers of change in marine ecosystems. Following discovery in 1775, South Georgia saw sequential overexploitation of living resources, including seals, whales, and fish. Although exploitation is now tightly regulated, the ecosystem is still recovering. Marbled rockcod, Notothenia rossii (Richardson 1844), was the first fish species to be commercially exploited and high catches between 1967 and 1972 resulted in dramatic stock decline. Here, we use 30 years of trawl survey data to provide the first evidence of a sustained increase in the N. rossii population starting two decades after the prohibition of targeted fishing in 1985. The way species respond to change is mediated in part by trophic relationships with other organisms. We present the first multi-year, spatially-resolved comparison of adult N. rossii diet at South Georgia, highlighting a variable diet with less reliance on Antarctic krill than previously thought. Life history factors and possible heavy predation on early life stages might have delayed their recovery while diet plasticity potentially supported recent population growth. Due to the dynamic ecosystem at South Georgia and questions over catch reports from the period of heaviest exploitation, it is unlikely the current ecosystem could support a recovery to estimated pre-exploitation levels.</t>
  </si>
  <si>
    <t>[Hollyman, Philip R.; Hill, Simeon L.; Belchier, Mark; Gregory, Susan; Clement, Alice; Collins, Martin A.] British Antarctic Survey, Madingley Rd, Cambridge CB3 0ET, England; [Laptikhovsky, Vladimir V.] Ctr Environm Fisheries &amp; Aquaculture Sci Cefas, Pakefield Rd, Lowestoft NR33 0HT, Suffolk, England; [Belchier, Mark; Gregory, Susan] Govt South Georgia &amp; South Sandwich Isl, Stanley FIQQ 1ZZ, Falkland Island</t>
  </si>
  <si>
    <t>UK Research &amp; Innovation (UKRI); Natural Environment Research Council (NERC); NERC British Antarctic Survey; Centre for Environment Fisheries &amp; Aquaculture Science</t>
  </si>
  <si>
    <t>Hollyman, PR (corresponding author), British Antarctic Survey, Madingley Rd, Cambridge CB3 0ET, England.</t>
  </si>
  <si>
    <t>phyman@bas.ac.uk</t>
  </si>
  <si>
    <t>, Martin/ABE-6728-2020</t>
  </si>
  <si>
    <t>, Martin/0000-0001-7132-8650; Hollyman, Philip/0000-0003-2665-5075; Hill, Simeon/0000-0003-1441-8769</t>
  </si>
  <si>
    <t>10.1093/icesjms/fsab150</t>
  </si>
  <si>
    <t>WS7WD</t>
  </si>
  <si>
    <t>WOS:000715387200008</t>
  </si>
  <si>
    <t>Zhuang, YP; Jin, HY; Zhang, Y; Li, HL; Zhang, TZ; Li, YJ; Bai, YC; Ren, J; Chen, JF</t>
  </si>
  <si>
    <t>Zhuang, Yanpei; Jin, Haiyan; Zhang, Yang; Li, Hongliang; Zhang, Tianzhen; Li, Yangjie; Bai, Youcheng; Ren, Jian; Chen, Jianfang</t>
  </si>
  <si>
    <t>Incursion of Alaska Coastal Water as a mechanism promoting small phytoplankton in the western Arctic Ocean</t>
  </si>
  <si>
    <t>SEA-ICE; PACIFIC INFLOW; BERING STRAIT; CANADA BASIN; SUMMER; CIRCULATION; COMMUNITY; CHEMTAX; VARIABILITY; INCREASES</t>
  </si>
  <si>
    <t>The inflow of Alaska Coastal Water (ACW) acts as a source of heat and freshwater for the Arctic Ocean, and contributes to ecosystem succession as well as phytoplankton change. To explore the mechanisms and patterns of the phytoplankton composition in response to the ACW, diagnostic pigments and environmental parameters were analyzed along three similar transects from shelf to basin in the Arctic Ocean during summer in 2008-2016. The results showed that the incursion of the ACW reduced the chlorophyll a (Chl a) concentration in the shelf areas, but favored phytoplankton growth in basin areas, especially that of small prasinophytes and chrysophytes. A possible explanation is the change in nutrient status, because during its northward flow, the ACW dissipates heat and receives nutrients from the surrounding cold water. The concentrations of Prasino and Chl b (the diagnostic pigments of prasinophytes) increase from barely detected in 2008 to higher than 15 ng/dm(3) (Prasino) and 65 ng/dm(3) (Chl b) respectively in 2014 and 2016, which occurred synchronously with presence of ACW and an increase in subsurface nitrate reservoirs. These findings indicate that the incursion of the ACW brings nutrients into subsurface basin layers, which could favor the growth of small phytoplankton in the western Arctic Ocean.</t>
  </si>
  <si>
    <t>[Zhuang, Yanpei; Jin, Haiyan; Zhang, Yang; Li, Hongliang; Zhang, Tianzhen; Li, Yangjie; Bai, Youcheng; Ren, Jian; Chen, Jianfang] Minist Nat Resources, Inst Oceanog 2, Key Lab Marine Ecosyst Dynam, Hangzhou 310012, Peoples R China; [Zhuang, Yanpei] Jimei Univ, Polar &amp; Marine Res Inst, Xiamen 361000, Peoples R China; [Zhuang, Yanpei; Jin, Haiyan] Southern Marine Sci &amp; Engn Guangdong Lab Zhuhai, Zhuhai 519000, Peoples R China; [Zhang, Yang; Zhang, Tianzhen] Zhejiang Univ, Ocean Coll, Zhoushan 316000, Peoples R China</t>
  </si>
  <si>
    <t>Ministry of Natural Resources of the People's Republic of China; Jimei University; Southern Marine Science &amp; Engineering Guangdong Laboratory; Southern Marine Science &amp; Engineering Guangdong Laboratory (Zhuhai); Zhejiang University</t>
  </si>
  <si>
    <t>Jin, HY (corresponding author), Minist Nat Resources, Inst Oceanog 2, Hangzhou 310012, Peoples R China.</t>
  </si>
  <si>
    <t>jinhaiyan@sio.org.cn</t>
  </si>
  <si>
    <t>Li, Yangjie/ABF-3407-2021; Ren, Jian/K-6951-2018</t>
  </si>
  <si>
    <t>Ren, Jian/0000-0002-1889-5661</t>
  </si>
  <si>
    <t>National Natural Science Foundation of China [41941013, 41776205, 41976226]; Natural Science Foundation of Zhejiang Province [Y19D060024]; National Key Research and Development Program of China [2019YFE0120900]</t>
  </si>
  <si>
    <t>National Natural Science Foundation of China(National Natural Science Foundation of China (NSFC)); Natural Science Foundation of Zhejiang Province(Natural Science Foundation of Zhejiang Province); National Key Research and Development Program of China</t>
  </si>
  <si>
    <t>This study was supported by the National Natural Science Foundation of China (41941013, 41776205, and 41976226) , Natural Science Foundation of Zhejiang Province (Y19D060024) , and National Key Research and Development Program of China (2019YFE0120900) . The CTD data were provided by the Data-sharing Platform of Polar Science (http:// www.chinare.org.cn:8000/en/index/) , maintained by the Chinese National Arctic &amp; Antarctic Data Center. We thank the crew of the icebreaker Xuelong for their assistance during the Chinese Arctic expeditions.</t>
  </si>
  <si>
    <t>10.1016/j.pocean.2021.102639</t>
  </si>
  <si>
    <t>WJ6MV</t>
  </si>
  <si>
    <t>WOS:000709157800002</t>
  </si>
  <si>
    <t>van Dorst, J; Wilkins, D; Crane, S; Montgomery, K; Zhang, E; Spedding, T; Hince, G; Ferrari, B</t>
  </si>
  <si>
    <t>van Dorst, Josie; Wilkins, Daniel; Crane, Sally; Montgomery, Kate; Zhang, Eden; Spedding, Tim; Hince, Greg; Ferrari, Belinda</t>
  </si>
  <si>
    <t>Microbial community analysis of biopiles in Antarctica provides evidence of successful hydrocarbon biodegradation and initial soil ecosystem recovery</t>
  </si>
  <si>
    <t>Antarctica; Bioremediation; Nitrification; qPCR; Biopiles</t>
  </si>
  <si>
    <t>PERMEABLE REACTIVE BARRIER; SP-NOV.; PETROLEUM-HYDROCARBONS; CONTAMINATED SOIL; CASEY STATION; BACTERIA; BIOREMEDIATION; DIVERSITY; GENES; TEMPERATURE</t>
  </si>
  <si>
    <t>Microorganisms comprise the bulk of biodiversity and biomass in Antarctic terrestrial ecosystems. To effectively protect and manage the Antarctic environment from anthropogenic impacts including contamination, the response and recovery of microbial communities should be included in soil remediation efficacy and environmental risk assessments. This is the first investigation into the microbial dynamics associated with large scale bioremediation of hydrocarbon contaminated soil in Antarctica. Over five years of active management, two significant shifts in the microbial community were observed. The initial shift at 12-24 months was significantly correlated with the highest hydrocarbon degradation rates, increased microbial loads, and significant increases in alkB gene abundances. ANCOM analysis identified bacterial genera most likely responsible for the bulk of degradation including Alkanindiges, Arthrobacter, Dietzia and Rhodococcus. The second microbial community shift occurring from 36 to 60 months was associated with further reductions in hydrocarbons and a recovery of amoA nitrification genes, but also increasing pH, accumulation of nitrite and a reduction of oligotrophic bacterial species. Over time, the addition of inorganic fertilisers altered the soil chemistry and led to a disruption of the nitrogen cycle, most likely decoupling ammonia oxidisers from nitrite oxidisers, resulting in nitrite accumulation. The results from this study provide key insights to the long-term management of hydrocarbon bioremediation in Antarctic soils.</t>
  </si>
  <si>
    <t>[van Dorst, Josie; Crane, Sally; Montgomery, Kate; Zhang, Eden; Ferrari, Belinda] UNSW, Sch Biotechnol &amp; Biomol Sci, Rm 4102,L4 West,E26 Biosci South, Sydney, NSW, Australia; [Montgomery, Kate; Zhang, Eden; Ferrari, Belinda] UNSW, Evolut &amp; Ecol Res Ctr, Rm 4102,L4 West,E26 Biosci South, Sydney, NSW, Australia; [Wilkins, Daniel; Spedding, Tim; Hince, Greg] Australian Antarct Div, Environm Protect Program, Kingston, Tas, Australia</t>
  </si>
  <si>
    <t>University of New South Wales Sydney; University of New South Wales Sydney; Australian Antarctic Division</t>
  </si>
  <si>
    <t>Ferrari, B (corresponding author), UNSW, Sch Biotechnol &amp; Biomol Sci, Rm 4102,L4 West,E26 Biosci South, Sydney, NSW, Australia.;Ferrari, B (corresponding author), UNSW, Evolut &amp; Ecol Res Ctr, Rm 4102,L4 West,E26 Biosci South, Sydney, NSW, Australia.</t>
  </si>
  <si>
    <t>j.vandorst@unsw.edu.au; b.ferrari@unsw.edu.au</t>
  </si>
  <si>
    <t>van Dorst, Josie/0000-0002-9353-8787; Crane, Sally/0000-0001-9050-367X; Wilkins, Daniel/0000-0003-2081-483X; Ferrari, Belinda/0000-0001-5043-3726</t>
  </si>
  <si>
    <t>Australian Antarctic Science Grants [1163, 4036]</t>
  </si>
  <si>
    <t>Australian Antarctic Science Grants</t>
  </si>
  <si>
    <t>The authors would like to acknowledge all the individuals involved in biopile construction, maintenance and sample collection over the Antarctic summer seasons including Lauren Wise, Rebecca McWatters, Bianca Sfiligoj, Robbie Kilpatrick, Fiona Fry, Jeremy Richardson, Johan Mets, Bill Santalab, Sam Poynter, Gavin Allen, Deborah Terry, Jake Atkins, Jack Churchill and Anne Hellie. We would also like to acknowledge all the individuals at the Antarctic Division involved in logistics and operations that made this research and sample collection possible. This work was supported by Australian Antarctic Science Grants 1163 and 4036.</t>
  </si>
  <si>
    <t>10.1016/j.envpol.2021.117977</t>
  </si>
  <si>
    <t>UR5OS</t>
  </si>
  <si>
    <t>WOS:000696799200008</t>
  </si>
  <si>
    <t>Chen, Y; Zhao, X; Pang, XP; Ji, Q</t>
  </si>
  <si>
    <t>Chen, Ying; Zhao, Xi; Pang, Xiaoping; Ji, Qing</t>
  </si>
  <si>
    <t>Daily sea ice concentration product based on brightness temperature data of FY-3D MWRI in the Arctic</t>
  </si>
  <si>
    <t>Sea ice concentration; FY-3D MWRI; brightness temperature; Arctic</t>
  </si>
  <si>
    <t>ALGORITHMS; REDUCTION</t>
  </si>
  <si>
    <t>A daily sea ice concentration (SIC) product in the Arctic, derived from the brightness temperature (TB) data of the Microwave Radiation Imager (MWRI) sensor aboard on the FY-3D satellite, is described in this paper. The MWRI TB raw swath data were first processed into daily gridded data and then corrected using the Advanced Microwave Scanning Radiometer 2 (AMSR2) sensor. An ASI algorithm, which uses daily dynamic tie points, was adopted to calculate daily SIC at 12.5 km polar stereographic projection from January 2018 to June 2020. Our generated MWRI SIC product was compared with the AMSR2 SIC based on the ASI algorithm that uses fixed tie points. For more detailed comparison, we then compared our MWRI SIC with the SIC from the Moderate Resolution Imaging Spectroradiometer (MODIS) data. The mean bias between our MWRI SIC and AMSR2 SIC is 4.24%. The absolute values of biases between the daily MWRI SIC and MODIS SIC range from 0.14% to 10.76%, better than the MWRI SIC product based on the NT2 algorithm published by the Chinese National Satellite Meteorological Center. The results show that our MWRI SIC product has a good quality and can be used as a basic dataset for sea ice extent records.</t>
  </si>
  <si>
    <t>[Chen, Ying; Zhao, Xi; Pang, Xiaoping; Ji, Qing] Wuhan Univ, Chinese Antarctic Ctr Surveying &amp; Mapping, Wuhan 430079, Peoples R China</t>
  </si>
  <si>
    <t>Wuhan University</t>
  </si>
  <si>
    <t>Zhao, X (corresponding author), Wuhan Univ, Chinese Antarctic Ctr Surveying &amp; Mapping, Wuhan 430079, Peoples R China.</t>
  </si>
  <si>
    <t>xi.zhao@whu.edu.cn</t>
  </si>
  <si>
    <t>zhao, xi/HJY-6017-2023</t>
  </si>
  <si>
    <t>National Key Research and Development Program of China [2018YFC1407100]; National Natural Science Foundation of China [41876223]</t>
  </si>
  <si>
    <t>This work was supported by the National Key Research and Development Program of China [2018YFC1407100] and the National Natural Science Foundation of China [41876223].</t>
  </si>
  <si>
    <t>10.1080/20964471.2020.1865623</t>
  </si>
  <si>
    <t>2O9CT</t>
  </si>
  <si>
    <t>WOS:000692728300001</t>
  </si>
  <si>
    <t>Wilmes, SB; Green, JAM; Schmittner, A</t>
  </si>
  <si>
    <t>Wilmes, Sophie-Berenice; Green, J. A. Mattias; Schmittner, Andreas</t>
  </si>
  <si>
    <t>Enhanced vertical mixing in the glacial ocean inferred from sedimentary carbon isotopes</t>
  </si>
  <si>
    <t>MERIDIONAL OVERTURNING CIRCULATION; ANTARCTIC SEA-ICE; DEEP-WATER; POLAR OCEAN; TIDES; STRENGTH; PACIFIC; MODEL; STATE; EARTH</t>
  </si>
  <si>
    <t>Reconstructing the circulation, mixing and carbon content of the Last Glacial Maximum ocean remains challenging. Recent hypotheses suggest that a shoaled Atlantic meridional overturning circulation or increased stratification would have reduced vertical mixing, isolated the abyssal ocean and increased carbon storage, thus contributing to lower atmospheric CO2 concentrations. Here, using an ensemble of ocean simulations, we evaluate impacts of changes in tidal energy dissipation due to lower sea levels on ocean mixing, circulation, and carbon isotope distributions. We find that increased tidal mixing strengthens deep ocean flow rates and decreases vertical gradients of radiocarbon and delta C-13 in the deep Atlantic. Simulations with a shallower overturning circulation and more vigorous mixing fit sediment isotope data best. Our results, which are conservative, provide observational support that vertical mixing in the glacial Atlantic may have been enhanced due to more vigorous tidal dissipation, despite shoaling of the overturning circulation and increases in stratification. Vertical mixing in the Atlantic Ocean during the Last Glacial Maximum may have been enhanced, not reduced, due to more vigorous tidal dissipation, suggest an ensemble of ocean simulations and glacial sediment carbon isotope records.</t>
  </si>
  <si>
    <t>[Wilmes, Sophie-Berenice; Green, J. A. Mattias] Bangor Univ, Sch Ocean Sci, Menai Bridge, Gwynedd, Wales; [Wilmes, Sophie-Berenice; Schmittner, Andreas] Oregon State Univ, Coll Earth Ocean &amp; Atmospher Sci, Corvallis, OR 97331 USA</t>
  </si>
  <si>
    <t>Bangor University; Oregon State University</t>
  </si>
  <si>
    <t>Wilmes, SB (corresponding author), Bangor Univ, Sch Ocean Sci, Menai Bridge, Gwynedd, Wales.;Wilmes, SB (corresponding author), Oregon State Univ, Coll Earth Ocean &amp; Atmospher Sci, Corvallis, OR 97331 USA.</t>
  </si>
  <si>
    <t>s.wilmes@bangor.ac.uk</t>
  </si>
  <si>
    <t>; Schmittner, Andreas/O-9647-2015</t>
  </si>
  <si>
    <t>Green, Mattias/0000-0001-5090-1040; Schmittner, Andreas/0000-0002-8376-0843</t>
  </si>
  <si>
    <t>National Science Foundation [OCE-1559153, OCE-2049352, OCE-1634719]; Natural Environmental Research Council [NE/S009566/1]; Past Global Changes program; NERC [NE/S009566/1] Funding Source: UKRI</t>
  </si>
  <si>
    <t>National Science Foundation(National Science Foundation (NSF)); Natural Environmental Research Council(UK Research &amp; Innovation (UKRI)Natural Environment Research Council (NERC)); Past Global Changes program; NERC(UK Research &amp; Innovation (UKRI)Natural Environment Research Council (NERC))</t>
  </si>
  <si>
    <t>SBW and AS were funded through the National Science Foundation grants OCE? 1559153 and OCE-2049352. SBW and JAMG are funded through Natural Environmental Research Council grant NE/S009566/1. We also appreciate support from the Past Global Changes program and the National Science Foundation (grant OCE-1634719) for a workshop of the Ocean Circulation and Carbon Cycle (OC3) working group in Cambridge in the summer of 2018. The tide model simulations were carried out on HPC Wales (now Supercomputing Wales) with technical support provided by Ade Fewings.</t>
  </si>
  <si>
    <t>10.1038/s43247-021-00239-y</t>
  </si>
  <si>
    <t>UE1XS</t>
  </si>
  <si>
    <t>WOS:000687689700001</t>
  </si>
  <si>
    <t>Sutter, J; Fischer, H; Eisen, O</t>
  </si>
  <si>
    <t>Sutter, Johannes; Fischer, Hubertus; Eisen, Olaf</t>
  </si>
  <si>
    <t>Investigating the internal structure of the Antarctic ice sheet: the utility of isochrones for spatiotemporal ice-sheet model calibration</t>
  </si>
  <si>
    <t>DOME C; TRACER TRANSPORT; HEAT-FLUX; CHRONOLOGY AICC2012; NUMERICAL-MODEL; GROUNDING LINE; ACCUMULATION; CORE; SURFACE; RADAR</t>
  </si>
  <si>
    <t>Ice-sheet models are a powerful tool to project the evolution of the Greenland and Antarctic ice sheets and thus their future contribution to global sea-level changes. Testing the ability of ice-sheet models to reproduce the ongoing and past evolution of the ice cover in Greenland and Antarctica is a fundamental part of every modelling effort. However, benchmarking ice-sheet model results against real-world observations is a non-trivial process as observational data come with spatiotemporal gaps in coverage. Here, we present a new approach to assess the accuracy of ice-sheet models which makes use of the internal layering of the Antarctic ice sheet. We calculate isochrone elevations from simulated Antarctic geometries and velocities via passive Lagrangian tracers, highlighting that a good fit of the model to two-dimensional datasets such as surface velocity and ice thickness does not guarantee a good match against the 3D architecture of the ice sheet and thus correct evolution over time. We show that palaeoclimate forcing schemes derived from ice-core records and climate models commonly used to drive ice-sheet models work well to constrain the 3D structure of ice flow and age in the interior of the East Antarctic ice sheet and especially along ice divides but fail towards the ice-sheet margin. The comparison to isochronal horizons attempted here reveals that simple heuristics of basal drag can lead to an overestimation of the vertical interior ice-sheet flow especially over subglacial basins. Our model observation intercomparison approach opens a new avenue for the improvement and tuning of current ice-sheet models via a more rigid constraint on model parameterisations and climate forcing, which will benefit model-based estimates of future and past ice-sheet changes.</t>
  </si>
  <si>
    <t>[Sutter, Johannes; Fischer, Hubertus] Univ Bern, Phys Inst, Climate &amp; Environm Phys, Bern, Switzerland; [Sutter, Johannes; Fischer, Hubertus] Univ Bern, Oeschger Ctr Climate Change Res, Bern, Switzerland; [Eisen, Olaf] Alfred Wegener Inst, Helmholtz Ctr Polar &amp; Marine Res, Bremerhaven, Germany; [Eisen, Olaf] Univ Bremen, Dept Geosci, Bremen, Germany</t>
  </si>
  <si>
    <t>University of Bern; University of Bern; Helmholtz Association; Alfred Wegener Institute, Helmholtz Centre for Polar &amp; Marine Research; University of Bremen</t>
  </si>
  <si>
    <t>Sutter, J (corresponding author), Univ Bern, Phys Inst, Climate &amp; Environm Phys, Bern, Switzerland.;Sutter, J (corresponding author), Univ Bern, Oeschger Ctr Climate Change Res, Bern, Switzerland.</t>
  </si>
  <si>
    <t>johannes.sutter@climate.unibe.ch</t>
  </si>
  <si>
    <t>; Fischer, Hubertus/A-1211-2014</t>
  </si>
  <si>
    <t>Eisen, Olaf/0000-0002-6380-962X; Fischer, Hubertus/0000-0002-2787-4221; Sutter, Johannes/0000-0002-3357-2633</t>
  </si>
  <si>
    <t>Deutsche Forschungsgemeinschaft [SU 1166/1-1]</t>
  </si>
  <si>
    <t>This research has been supported by the Deutsche Forschungsgemeinschaft (grant no. SU 1166/1-1).</t>
  </si>
  <si>
    <t>10.5194/tc-15-3839-2021</t>
  </si>
  <si>
    <t>UD7JU</t>
  </si>
  <si>
    <t>gold, Green Submitted, Green Published</t>
  </si>
  <si>
    <t>WOS:000687382200002</t>
  </si>
  <si>
    <t>Dziadek, R; Ferraccioli, F; Gohl, K</t>
  </si>
  <si>
    <t>Dziadek, Ricarda; Ferraccioli, Fausto; Gohl, Karsten</t>
  </si>
  <si>
    <t>High geothermal heat flow beneath Thwaites Glacier in West Antarctica inferred from aeromagnetic data</t>
  </si>
  <si>
    <t>AMUNDSEN SEA EMBAYMENT; MARIE BYRD LAND; MODIFIED CENTROID METHOD; FRACTAL DISTRIBUTION; MAGNETIC SOURCES; FLUX BENEATH; PINE ISLAND; ICE-SHEET; DEPTH; BOTTOM</t>
  </si>
  <si>
    <t>The Amundsen Sea sector, Antarctica, is underlain by shallow Curie depths - where the magnetic properties of rocks change - according to airborne magnetic data. This suggests high geothermal heat flow in this region of the West Antarctic Rift System. Geothermal heat flow in the polar regions plays a crucial role in understanding ice-sheet dynamics and predictions of sea level rise. Continental-scale indirect estimates often have a low spatial resolution and yield largest discrepancies in West Antarctica. Here we analyse geophysical data to estimate geothermal heat flow in the Amundsen Sea Sector of West Antarctica. With Curie depth analysis based on a new magnetic anomaly grid compilation, we reveal variations in lithospheric thermal gradients. We show that the rapidly retreating Thwaites and Pope glaciers in particular are underlain by areas of largely elevated geothermal heat flow, which relates to the tectonic and magmatic history of the West Antarctic Rift System in this region. Our results imply that the behavior of this vulnerable sector of the West Antarctic Ice Sheet is strongly coupled to the dynamics of the underlying lithosphere.</t>
  </si>
  <si>
    <t>[Dziadek, Ricarda; Gohl, Karsten] Alfred Wegener Inst Helmholtz, Ctr Polar &amp; Marine Res, Bremerhaven, Germany; [Dziadek, Ricarda] Univ Bremen, Dept Geosci, Bremen, Germany; [Ferraccioli, Fausto] Ist Nazl Oceanog &amp; Geofis Sperimentale, Sgonico, TS, Italy; [Ferraccioli, Fausto] British Antarctic Survey, Cambridge, England</t>
  </si>
  <si>
    <t>Helmholtz Association; Alfred Wegener Institute, Helmholtz Centre for Polar &amp; Marine Research; University of Bremen; Istituto Nazionale di Oceanografia e di Geofisica Sperimentale; UK Research &amp; Innovation (UKRI); Natural Environment Research Council (NERC); NERC British Antarctic Survey</t>
  </si>
  <si>
    <t>Gohl, K (corresponding author), Alfred Wegener Inst Helmholtz, Ctr Polar &amp; Marine Res, Bremerhaven, Germany.</t>
  </si>
  <si>
    <t>karsten.gohl@awi.de</t>
  </si>
  <si>
    <t>Gohl, Karsten/0000-0002-9558-2116</t>
  </si>
  <si>
    <t>Deutsche Forschungsgemeinschaft (DFG) [GO 724/14-1]; AWI through its research program PACES-II Workpackage 3.2; AWI through its research program Changing Earth-Sustaining our Future, Subtopic 2.3; ESA</t>
  </si>
  <si>
    <t>Deutsche Forschungsgemeinschaft (DFG)(German Research Foundation (DFG)); AWI through its research program PACES-II Workpackage 3.2; AWI through its research program Changing Earth-Sustaining our Future, Subtopic 2.3; ESA(European Space Agency)</t>
  </si>
  <si>
    <t>We are grateful to Don Blankenship, Duncan Young, and John Holt of University of Texas-Austin for providing airborne magnetic data they collected as part of the AGASEA project in 2006. The magnetic field model MF7 was obtained from the project webpage (www.geomag.us/models/MF7.html).Many thanks to the master and crew of RV Polarstern Expedition PS104 (2017) for their support. This study was supported by the Deutsche Forschungsgemeinschaft (DFG) in the framework of the Priority Program 1158 Antarctic research with comparative investigations in Arctic ice areas by grant GO 724/14-1 to K.G. Additional funds were contributed by the AWI through its research programs PACES-II Workpackage 3.2 and Changing Earth-Sustaining our Future, Subtopic 2.3. The work of F.F. for this paper is a contribution to the 3D Earth (ADMAP 2.0+ CCN) and 4D Antarctica projects of ESA on the Antarctic lithosphere and its influence on subglacial geothermal heat flow, respectively. F.F. acknowledges in particular ESA financial support for several visits to AWI, where joint aeromagnetic anomaly data processing and interpretation was performed. Our study contributes to the Scientific Research Program Instabilities &amp; Thresholds in Antarctica (INSTANT) of the Scientific Committee for Antarctic Research (SCAR). We would like to thank two anonymous reviewers for their very constructive and helpful comments, which benefited the manuscript considerably.</t>
  </si>
  <si>
    <t>10.1038/s43247-021-00242-3</t>
  </si>
  <si>
    <t>UD9LD</t>
  </si>
  <si>
    <t>Green Published, gold, Green Submitted, Green Accepted</t>
  </si>
  <si>
    <t>WOS:000687521200001</t>
  </si>
  <si>
    <t>Bird, JP; Fuller, RA; Pascoe, PP; Shaw, JDS</t>
  </si>
  <si>
    <t>Bird, Jeremy P.; Fuller, Richard A.; Pascoe, Penny P.; Shaw, Justine D. S.</t>
  </si>
  <si>
    <t>Trialling camera traps to determine occupancy and breeding in burrowing seabirds</t>
  </si>
  <si>
    <t>Breeding success; burrowing seabird; camera trap; occupancy; seabirds</t>
  </si>
  <si>
    <t>MACQUARIE ISLAND; POPULATION-SIZE; CLIMATE-CHANGE; PETRELS; CONSUMPTION; SUCCESS; CENSUS</t>
  </si>
  <si>
    <t>Burrowing seabirds are important in ecological and conservation terms. Many populations are in flux due to both negative and positive anthropogenic impacts, but their ecology makes measuring changes difficult. Reliably recording key metrics, the proportion of burrows with breeding pairs and the success of breeding attempts requires burrow-level information on occupancy. We investigated the use of camera traps positioned at burrow entrances for determining the number of breeding pairs in a sample to inform population estimates, and for recording breeding success. The performance of two cameras makes we tested differed markedly, with Spypoint Force 10 trail cameras prone to malfunction while Reconyx HC600 Hyperfire cameras performed well. Nevertheless, both makes yielded season-long activity patterns for individual burrows, eliminating uncertainty around successful fledging attempts. Dimensionality reduction of activity metrics derived from camera time series suggests breeding and non-breeding burrows may be identifiable using linear discriminant analyses but sample sizes from our trial were low and group means were only significantly different during certain breeding stages (permutational multivariate analysis of variance: early chick-rearing f = 3.64, P = 0.06; late chick-rearing f = 8.28, P = 0.009). Compared with traditional techniques for determining burrow occupancy (e.g. manual burrow inspection and playback of conspecific calls at burrow entrances), camera traps can reduce uncertainty in estimated breeding success and potentially breeding status of burrows. Significant up-front investment is required in terms of equipment and human resources but for long-term studies, camera traps may deliver advantages, particularly when unanticipated novel observations and the potential for calibrating traditional methods with cameras are factored in.</t>
  </si>
  <si>
    <t>[Bird, Jeremy P.; Fuller, Richard A.; Shaw, Justine D. S.] Univ Queensland, Sch Biol Sci, Brisbane, Qld 4072, Australia; [Bird, Jeremy P.; Pascoe, Penny P.] Univ Tasmania, Inst Marine &amp; Antarctic Studies, 20 Castray Esplanade, Battery Point, Tas, Australia</t>
  </si>
  <si>
    <t>University of Queensland; University of Tasmania</t>
  </si>
  <si>
    <t>Bird, JP (corresponding author), Univ Queensland, Sch Biol Sci, Brisbane, Qld 4072, Australia.</t>
  </si>
  <si>
    <t>jez.bird@uq.edu.au</t>
  </si>
  <si>
    <t>Fuller, Richard/B-7971-2008; Bird, Jeremy/JFV-9213-2023</t>
  </si>
  <si>
    <t>Fuller, Richard/0000-0001-9468-9678; Bird, Jeremy/0000-0002-7466-1755; Shaw, Justine/0000-0002-9603-2271</t>
  </si>
  <si>
    <t>Australian Government's National Environmental Science Program through the Threatened Species Recovery Hub, the Australian Antarctic Science Program [AAS 4305]; BirdLife Australia Stuart Leslie Bird Research Award; National Environmental Science Programme Threatened Species Recovery Hub Research Support; Research Training Program Scholarship, an Antarctic Science International Bursary</t>
  </si>
  <si>
    <t>Australian Government's National Environmental Science Program through the Threatened Species Recovery Hub, the Australian Antarctic Science Program; BirdLife Australia Stuart Leslie Bird Research Award; National Environmental Science Programme Threatened Species Recovery Hub Research Support; Research Training Program Scholarship, an Antarctic Science International Bursary</t>
  </si>
  <si>
    <t>This study was supported by funding from the Australian Government's National Environmental Science Program through the Threatened Species Recovery Hub, the Australian Antarctic Science Program (AAS 4305). JB was supported by a Research Training Program Scholarship, an Antarctic Science International Bursary, National Environmental Science Programme Threatened Species Recovery Hub Research Support and a BirdLife Australia Stuart Leslie Bird Research Award.</t>
  </si>
  <si>
    <t>10.1002/rse2.235</t>
  </si>
  <si>
    <t>WOS:000685405000001</t>
  </si>
  <si>
    <t>Wang, S; Liu, G; Ding, MH; Chen, W; Zhang, WQ; Lv, JM</t>
  </si>
  <si>
    <t>Wang, Sai; Liu, Ge; Ding, Minghu; Chen, Wen; Zhang, Wenqian; Lv, Junmei</t>
  </si>
  <si>
    <t>Potential mechanisms governing the variation in rain/snow frequency over the northern Antarctic Peninsula during austral summer</t>
  </si>
  <si>
    <t>Precipitation phase; Antarctic Peninsula; Atmospheric circulation</t>
  </si>
  <si>
    <t>SURFACE MASS-BALANCE; SOUTHERN-HEMISPHERE CIRCULATION; INTERANNUAL VARIABILITY; PRECIPITATION TYPES; WEST ANTARCTICA; ATLANTIC SST; ICE SHELVES; SEA-ICE; WINTER; CLIMATE</t>
  </si>
  <si>
    <t>Precipitation with different phases can exert different influences on the Antarctic mass balance. Using the observational rain and snow days from the Great Wall Station, ERA-interim reanalysis, and other data, this study investigates the mechanisms governing the year-to-year variability of precipitation phase (i.e., rainfall and snowfall) over the northern Antarctic Peninsula (AP) during austral summer (December, January, and February; abbreviated as DJF) for the period 1985-2016. The results reveal that the rainfall and snowfall anomalies are controlled mainly by the change in the proportion of precipitation occurring as rain and snow, and the latter is strongly influenced by the change in air temperature. Through regulating the air temperature, different atmospheric circulation anomalies affect the variability of the rainfall and snowfall over the northern AP during summer. Specifically, a circulation pattern with an anomalous anticyclone over the Malvinas Islands and an anomalous cyclone over the Amundsen-Bellingshausen Seas (ABS) can increase summer rainfall, whereas an anomalous cyclone over the Weddell Sea facilitates more snowfall. The summertime atmospheric circulation anomalies, which modulate the variability of rainfall over the northern AP, are primarily caused by an atmospheric teleconnection pattern persisting from austral spring (September-November, SON) to summer. Such a persistent teleconnection pattern can be attributed to the long-time maintenance of sea surface temperature anomalies due to air-sea interaction processes.</t>
  </si>
  <si>
    <t>[Wang, Sai; Liu, Ge; Ding, Minghu; Zhang, Wenqian; Lv, Junmei] Chinese Acad Meteorol Sci, State Key Lab Severe Weather, Beijing 100081, Peoples R China; [Wang, Sai; Liu, Ge; Ding, Minghu; Zhang, Wenqian; Lv, Junmei] Chinese Acad Meteorol Sci, Inst Tibetan Plateau &amp; Polar Meteorol, Beijing 100081, Peoples R China; [Chen, Wen] Chinese Acad Sci, Inst Atmospher Phys, Ctr Monsoon Syst Res, Beijing 100190, Peoples R China; [Chen, Wen] Univ Chinese Acad Sci, Coll Earth &amp; Planetary Sci, Beijing 100049, Peoples R China</t>
  </si>
  <si>
    <t>China Meteorological Administration; Chinese Academy of Meteorological Sciences (CAMS); China Meteorological Administration; Chinese Academy of Meteorological Sciences (CAMS); Chinese Academy of Sciences; Institute of Atmospheric Physics, CAS; Chinese Academy of Sciences; University of Chinese Academy of Sciences, CAS</t>
  </si>
  <si>
    <t>Liu, G; Ding, MH (corresponding author), Chinese Acad Meteorol Sci, State Key Lab Severe Weather, Beijing 100081, Peoples R China.;Liu, G; Ding, MH (corresponding author), Chinese Acad Meteorol Sci, Inst Tibetan Plateau &amp; Polar Meteorol, Beijing 100081, Peoples R China.</t>
  </si>
  <si>
    <t>liuge@cma.gov.cn; dingminghu@foxmail.com</t>
  </si>
  <si>
    <t>Chen, Wen/G-6058-2011; Ding, Minghu/AFU-3600-2022</t>
  </si>
  <si>
    <t>Chen, Wen/0000-0001-9327-9079; Ding, Minghu/0000-0002-1142-6598</t>
  </si>
  <si>
    <t>National Key R&amp;D Program of China [2019YFC1509100]; Strategic Priority Research Program of Chinese Academy Sciences [XDA20100300]; National Nature Sciences Foundation of China [41771064]; Basic Found of the Chinese Academy of Meteoro-logical Sciences [2018Z001, 2019Z008]</t>
  </si>
  <si>
    <t>National Key R&amp;D Program of China; Strategic Priority Research Program of Chinese Academy Sciences; National Nature Sciences Foundation of China(National Natural Science Foundation of China (NSFC)); Basic Found of the Chinese Academy of Meteoro-logical Sciences</t>
  </si>
  <si>
    <t>We thank two anonymous reviewers for their constructive sugges-tions and comments, which helped to improve the paper. This study is founded by National Key R&amp;D Program of China (2019YFC1509100) , Strategic Priority Research Program of Chinese Academy Sciences (XDA20100300) , the National Nature Sciences Foundation of China (41771064) and the Basic Found of the Chinese Academy of Meteoro-logical Sciences (Grant Nos.2018Z001 and 2019Z008) . The observations in Antarctic were logistically supported by Chinese National Antarctic Research Expedition (CHINARE) . In this study, the ERA-interim data are provided by ECMWF, and available online at http://apps.ecmwf.int/dat asets/data/interim-mdfa/; the SST and SIC data were obtained from the Met Office Hadley Centre (http:// www.metoffice.gov.uk/hado bs/hadisst/data/download.html) . The MAR-ERA-interim data are pub-licly available from https://doi.org/10.5281/zenodo.3362277.</t>
  </si>
  <si>
    <t>10.1016/j.atmosres.2021.105811</t>
  </si>
  <si>
    <t>WOS:000702534000002</t>
  </si>
  <si>
    <t>Hermanson, MH; Isaksson, E; Hann, R; Ruggirello, RM; Teixeira, C; Muir, DCG</t>
  </si>
  <si>
    <t>Hermanson, Mark H.; Isaksson, Elisabeth; Hann, Richard; Ruggirello, Rachel M.; Teixeira, Camilla; Muir, Derek C. G.</t>
  </si>
  <si>
    <t>Historic Atmospheric Organochlorine Pesticide and Halogenated Industrial Compound Inputs to Glacier Ice Cores in Antarctica and the Arctic</t>
  </si>
  <si>
    <t>Antarctica; Arctic; ice; pesticides; industrial compounds</t>
  </si>
  <si>
    <t>PERSISTENT ORGANIC POLLUTANTS; LONG-RANGE TRANSPORT; DRONNING MAUD LAND; POLYCHLORINATED-BIPHENYLS; DEPOSITION HISTORY; SNOW; SVALBARD; IDENTIFICATION; VARIABILITY</t>
  </si>
  <si>
    <t>Ice cores collected from polar ice sheets at Site M, Dronning Maud Land, East Antarctica (Lat 75.00 S, Long 15.00 E), and Holtedahlfonna, Svalbard (Lat 79.13 N, Long 13.27 E), were analyzed for a net deposition of 25 organochlorine pesticides (OCPs) and 16 organohalogen (chlorine/bromine) industrial compounds (OHICs). Long-range atmospheric transport (LRAT) delivers contaminants to both sites, but the processes are different: Site M is affected by subsidence of air from the stratosphere to the Antarctic Plateau, while Holtedahlfonna is affected by air moving through the free troposphere. The sample from Site M is a composite core covering 1958-2000, while the Holtedahlfonna sample includes a historic record from 1953 to 2005 in six discrete samples. The five highest OCPs at Site M were chlorpyrifos, trans-chlordane, 4,4'-dichlorodiphenyl trichloroethane (DDT), beta-hexachlorocyclohexane (HCH), and dieldrin, while at Holtedahlfonna, they were chlorpyrifos, gamma-HCH, alpha-HCH, beta-HCH, and dieldrin. The five most abundant OHICs at Site M were three dichlorobenzenes (diCBs), 1,3-diCB, 1,4-diCB, 1,2-diCB, and 1,3,5-trichlorobenzene and 1,2,4,5-tetrachlorobenzene (tetraCB) and at Holtedahlfonna, they were the same three diCB, pentachloroanisole (PCA), and 1,2,4,5-tetraCB. Of the OHICs, only hexachlorobutadiene, PCA, and hexachlorobenzene were found in all six Holtedahlfonna ice-core segments. Principal component analysis of the OCP percent of total flux values shows no similar variance among the Holtedahlfonna core segments, the whole-core value, or Site M. The principal component analysis of OHIC shows no consistent variance among any of the samples except for two Holtedahlfonna segments with the lowest OHIC values in the core.</t>
  </si>
  <si>
    <t>[Isaksson, Elisabeth] Norwegian Polar Res Inst, NO-9269 Tromso, Norway; [Hann, Richard] Norwegian Univ Sci &amp; Technol NTNU, Dept Engn Cybernet, NO-7034 Trondheim, Norway; [Ruggirello, Rachel M.] Washington Univ, Inst Sch Partnership, St Louis, MO 63130 USA; [Teixeira, Camilla; Muir, Derek C. G.] Environm &amp; Climate Change Canada, Burlington, ON L7S IAI, Canada; [Hermanson, Mark H.] Hermanson &amp; Associates LLC, Minneapolis, MN 55419 USA</t>
  </si>
  <si>
    <t>Norwegian Polar Institute; Norwegian University of Science &amp; Technology (NTNU); Washington University (WUSTL); Environment &amp; Climate Change Canada</t>
  </si>
  <si>
    <t>Hermanson, MH (corresponding author), Hermanson &amp; Associates LLC, Minneapolis, MN 55419 USA.</t>
  </si>
  <si>
    <t>markhermanson@me.com</t>
  </si>
  <si>
    <t>Hann, Richard/GRR-6397-2022; Hermanson, Mark H/ACK-5258-2022</t>
  </si>
  <si>
    <t>Hann, Richard/0000-0002-0577-5812; Hermanson, Mark H/0000-0002-3557-523X</t>
  </si>
  <si>
    <t>Norwegian Polar Institute; Environment and Climate Change Canada; Fulbright Arctic Chair Award from the United States-Norway Fulbright Foundation, Oslo</t>
  </si>
  <si>
    <t>Sampling by the field groups is greatly appreciated. Collection, storage, and transport of the samples and preparation of the manuscript were supported by the Norwegian Polar Institute. Preparation of the lab materials and analytical work was supported by the Environment and Climate Change Canada. Early work on this project was supported, in part, by the Fulbright Arctic Chair Award (to M.H.H.) from the United States-Norway Fulbright Foundation, Oslo.</t>
  </si>
  <si>
    <t>10.1021/acsearthspacechem.1c00211</t>
  </si>
  <si>
    <t>US3LS</t>
  </si>
  <si>
    <t>WOS:000697335600030</t>
  </si>
  <si>
    <t>Kolbasova, G; Neretina, T</t>
  </si>
  <si>
    <t>Kolbasova, G.; Neretina, T.</t>
  </si>
  <si>
    <t>A new species of Pelagobia (Lopadorrhynchidae, Annelida), with some notes on literature records of Pelagobia longicirrata Greeff, 1879</t>
  </si>
  <si>
    <t>holopelagic polychaetes; zooplankton; taxonomy; marine biodiversity; molecular systematics; Vietnam</t>
  </si>
  <si>
    <t>PHYLOGENY; ALIGNMENT; BIOLOGY; SEA</t>
  </si>
  <si>
    <t>Since the second half of the XX century, almost all Pelagobia samples from the Arctic, Antarctic, Atlantic and Pacific oceans had been identified as cosmopolitan P. longicirrata. The indistinct nuchal organs in P. longicirrata samples from the South China Sea (Spratly Islands and Taiwan) were considered a morphological feature of the Pacific population. Our morphological and genetic investigation of Pelagobia specimens from the Nhatrang Bay, Vietnam reveals a new species in this region. Pelagobia rubromaculata sp. nov. differs from P. longicirrata by its triangle head, with nuchal organs closely adjacent to the lateral sides of prostomium, by short tentacular cirri reaching only the posterior edge of the third segment, and by a specific colouration pattern with red spots. Using nuclear 18S and 28S rDNA markers reveals that P. rubromaculata sp. nov. forms a well-supported clade, confirming the validity of the new species. Phylogenetic analysis of all available P. longicirrata sequences using both single 18S and concatenated 18S and 28S genes shows at least three distinct clades: Central Atlantic, Arctic and South Atlantic. Antarctic specimens do not form any distinct clade and fall between other clades with low support.</t>
  </si>
  <si>
    <t>[Kolbasova, G.; Neretina, T.] Moscow MV Lomonosov State Univ, NA Pertsov White Sea Biol Stn, Leninskie Gory,1-12, Moscow 119234, Russia</t>
  </si>
  <si>
    <t>Lomonosov Moscow State University</t>
  </si>
  <si>
    <t>Kolbasova, G (corresponding author), Moscow MV Lomonosov State Univ, NA Pertsov White Sea Biol Stn, Leninskie Gory,1-12, Moscow 119234, Russia.</t>
  </si>
  <si>
    <t>utricularia57@yandex.ru; nertata@wsbs-msu.ru</t>
  </si>
  <si>
    <t>Neretina, Tatiana Vladimirovna/O-3724-2016; Kolbasova, Glafira D./N-3824-2016</t>
  </si>
  <si>
    <t>Neretina, Tatiana/0000-0002-0673-1109</t>
  </si>
  <si>
    <t>Russian Fund for Basic Research [19-04-00501, 18-05-60158]; Russian Science Foundation [21-74-20028]; Russian Science Foundation [21-74-20028] Funding Source: Russian Science Foundation</t>
  </si>
  <si>
    <t>Russian Fund for Basic Research(Russian Foundation for Basic Research (RFBR)); Russian Science Foundation(Russian Science Foundation (RSF)); Russian Science Foundation(Russian Science Foundation (RSF))</t>
  </si>
  <si>
    <t>This study was done in the frame of Moscow University Project Noah's Ark and funded by the Russian Fund for Basic Research grants No 19-04-00501 (sampling) and No 18-05-60158 (electron microscopy investigations), and by the Russian Science Foundation grant No 21-74-20028 (molecular-genetics expenses).</t>
  </si>
  <si>
    <t>AUG 17</t>
  </si>
  <si>
    <t>10.11646/zootaxa.5023.1.4</t>
  </si>
  <si>
    <t>UC5YD</t>
  </si>
  <si>
    <t>WOS:000686600500004</t>
  </si>
  <si>
    <t>Mottram, R; Hansen, N; Kittel, C; van Wessem, JM; Agosta, C; Amory, C; Boberg, F; van de Berg, WJ; Fettweis, X; Gossart, A; van Lipzig, NPM; van Meijgaard, E; Orr, A; Phillips, T; Webster, S; Simonsen, SB; Souverijns, N</t>
  </si>
  <si>
    <t>Mottram, Ruth; Hansen, Nicolaj; Kittel, Christoph; van Wessem, J. Melchior; Agosta, Cecile; Amory, Charles; Boberg, Fredrik; van de Berg, Willem Jan; Fettweis, Xavier; Gossart, Alexandra; van Lipzig, Nicole P. M.; van Meijgaard, Erik; Orr, Andrew; Phillips, Tony; Webster, Stuart; Simonsen, Sebastian B.; Souverijns, Niels</t>
  </si>
  <si>
    <t>What is the surface mass balance of Antarctica? An intercomparison of regional climate model estimates</t>
  </si>
  <si>
    <t>DIGITAL ELEVATION MODEL; DRIFTING-SNOW; GREENLAND; LAND; ACCUMULATION; SIMULATIONS; RESOLUTION; IMPACT; WIND; REPRESENTATION</t>
  </si>
  <si>
    <t>We compare the performance of five different regional climate models (RCMs) (COSMO-CLM2, HIRHAM5, MAR3.10, MetUM, and RACMO2.3p2), forced by ERA-Interim reanalysis, in simulating the near-surface climate and surface mass balance (SMB) of Antarctica. All models simulate Antarctic climate well when compared with daily observed temperature and pressure, with nudged models matching daily observations slightly better than free-running models. The ensemble mean annual SMB over the Antarctic ice sheet (AIS) including ice shelves is 2329 +/- 94 Gt yr(-1) over the common 1987-2015 period covered by all models. There is large interannual variability, consistent between models due to variability in the driving ERA-Interim reanalysis. Mean annual SMB is sensitive to the chosen period; over our 30-year climatological mean period (1980 to 2010), the ensemble mean is 2483 Gt yr(-1). However, individual model estimates vary from 1961 +/- 70 to 2519 +/- 118 Gt yr(-1). The largest spatial differences between model SMB estimates are in West Antarctica, the Antarctic Peninsula, and around the Transantarctic Mountains. We find no significant trend in Antarctic SMB over either period. Antarctic ice sheet (AIS) mass loss is currently equivalent to around 0.5 mm yr(-1) of global mean sea level rise (Shepherd et al., 2020), but our results indicate some uncertainty in the SMB contribution based on RCMs. We compare modelled SMB with a large dataset of observations, which, though biased by undersampling, indicates that many of the biases in SMB are common between models. A drifting-snow scheme improves modelled SMB on ice sheet surface slopes with an elevation between 1000 and 2000 m, where strong katabatic winds form. Different ice masks have a substantial impact on the integrated total SMB and along with model resolution are factored into our analysis. Targeting undersampled regions with high precipitation for observational campaigns will be key to improving future estimates of SMB in Antarctica.</t>
  </si>
  <si>
    <t>[Mottram, Ruth; Hansen, Nicolaj; Boberg, Fredrik] Danish Meteorol Inst, Res &amp; Dev Dept, Lyngbyvej 100, DK-2100 Copenhagen, Denmark; [Hansen, Nicolaj; Simonsen, Sebastian B.] Tech Univ Denmark, DTU Space, Geodesy &amp; Earth Observat, Lyngby, Denmark; [Kittel, Christoph; Amory, Charles; Fettweis, Xavier] Univ Liege, Dept Geog, Lab Climatol, SPHERES, Liege, Belgium; [van Wessem, J. Melchior; van de Berg, Willem Jan] Univ Utrecht, Inst Marine &amp; Atmospher Res Utrecht, Utrecht, Netherlands; [Agosta, Cecile] Univ Paris Saclay, CEA CNRS UVSQ, LSCE IPSL, Lab Sci Climat &amp; Environm, Gif Sur Yvette, France; [Gossart, Alexandra; van Lipzig, Nicole P. M.; Souverijns, Niels] Katholieke Univ Leuven, Dept Earth &amp; Environm Sci, Leuven, Belgium; [van Meijgaard, Erik] Royal Netherlands Meteorol Inst, De Bilt, Netherlands; [Orr, Andrew; Phillips, Tony] British Antarctic Survey, Madingley Rd, Cambridge, England; [Webster, Stuart] UK Met Off, FitzRoy Rd, Exeter EX1 3PB, Devon, England; [Souverijns, Niels] Flemish Inst Technol Res VITO, Unit Remote Sensing &amp; Earth Observat Proc, Mol, Belgium</t>
  </si>
  <si>
    <t>Danish Meteorological Institute DMI; Technical University of Denmark; University of Liege; Utrecht University; CEA; Centre National de la Recherche Scientifique (CNRS); Universite Paris Saclay; Universite Paris Cite; KU Leuven; Royal Netherlands Meteorological Institute; UK Research &amp; Innovation (UKRI); Natural Environment Research Council (NERC); NERC British Antarctic Survey; Met Office - UK; VITO</t>
  </si>
  <si>
    <t>Mottram, R (corresponding author), Danish Meteorol Inst, Res &amp; Dev Dept, Lyngbyvej 100, DK-2100 Copenhagen, Denmark.</t>
  </si>
  <si>
    <t>rum@dmi.dk</t>
  </si>
  <si>
    <t>Agosta, Cécile/HLQ-5577-2023; Hansen, Nicolaj/AAP-8709-2021; Simonsen, Sebastian Bjerregaard/F-4791-2013; van de Berg, Willem Jan/H-4385-2011; van Lipzig, Nicole/ABF-2964-2021; Agosta, Cecile/B-9625-2013</t>
  </si>
  <si>
    <t>Hansen, Nicolaj/0000-0002-4448-8891; Simonsen, Sebastian Bjerregaard/0000-0001-9569-1294; van de Berg, Willem Jan/0000-0002-8232-2040; van Lipzig, Nicole/0000-0003-2899-4046; Agosta, Cecile/0000-0003-4091-1653; Kittel, Christoph/0000-0001-6586-9784; Boberg, Fredrik/0000-0002-2589-8422; Gossart, Alexandra/0000-0002-1927-2685; Mottram, Ruth/0000-0002-1016-1997; Fettweis, Xavier/0000-0002-4140-3813; Amory, Charles/0000-0002-5906-4303; Souverijns, Niels/0000-0003-4695-9754</t>
  </si>
  <si>
    <t>PROTECT; European Union [869304]; NERC [bas0100032] Funding Source: UKRI</t>
  </si>
  <si>
    <t>PROTECT; European Union(European Union (EU)); NERC(UK Research &amp; Innovation (UKRI)Natural Environment Research Council (NERC))</t>
  </si>
  <si>
    <t>This publication was supported by PROTECT. This project has received funding from the European Union's Horizon 2020 research and innovation programme under grant agreement no. 869304 and PROTECT contribution number 19.</t>
  </si>
  <si>
    <t>10.5194/tc-15-3751-2021</t>
  </si>
  <si>
    <t>UD2KD</t>
  </si>
  <si>
    <t>WOS:000687040600001</t>
  </si>
  <si>
    <t>Phipps, SJ; Roberts, JL; King, MA</t>
  </si>
  <si>
    <t>Phipps, Steven J.; Roberts, Jason L.; King, Matt A.</t>
  </si>
  <si>
    <t>An iterative process for efficient optimisation of parameters in geoscientific models: a demonstration using the Parallel Ice Sheet Model (PISM) version 0.7.3</t>
  </si>
  <si>
    <t>FUTURE SEA-LEVEL; GROUNDING LINE; STREAM-B; BASAL; UNCERTAINTY; FLOW; SENSITIVITY; SURFACE; TEMPERATURE; CALIBRATION</t>
  </si>
  <si>
    <t>Physical processes within geoscientific models are sometimes described by simplified schemes known as parameterisations. The values of the parameters within these schemes can be poorly constrained by theory or observation. Uncertainty in the parameter values translates into uncertainty in the outputs of the models. Proper quantification of the uncertainty in model predictions therefore requires a systematic approach for sampling parameter space. In this study, we develop a simple and efficient approach to identify regions of multi-dimensional parameter space that are consistent with observations. Using the Parallel Ice Sheet Model to simulate the present-day state of the Antarctic Ice Sheet, we find that co-dependencies between parameters preclude any simple identification of a single optimal set of parameter values. Approaches such as large ensemble modelling are therefore required in order to generate model predictions that incorporate proper quantification of the uncertainty arising from the parameterisation of physical processes.</t>
  </si>
  <si>
    <t>[Phipps, Steven J.] Univ Tasmania, Inst Marine &amp; Antarctic Studies, Hobart, Tas, Australia; [Phipps, Steven J.; King, Matt A.] Univ Tasmania, Sch Geog Planning &amp; Spatial Sci, Hobart, Tas, Australia; [Phipps, Steven J.] Ikigai Res, Hobart, Tas, Australia; [Roberts, Jason L.] Australian Antarctic Div, Kingston, Tas, Australia; [King, Matt A.] Univ Tasmania, Australian Ctr Excellence Antarctic Sci, Hobart, Tas, Australia</t>
  </si>
  <si>
    <t>University of Tasmania; University of Tasmania; Australian Antarctic Division; University of Tasmania</t>
  </si>
  <si>
    <t>Phipps, SJ (corresponding author), Univ Tasmania, Inst Marine &amp; Antarctic Studies, Hobart, Tas, Australia.;Phipps, SJ (corresponding author), Univ Tasmania, Sch Geog Planning &amp; Spatial Sci, Hobart, Tas, Australia.;Phipps, SJ (corresponding author), Ikigai Res, Hobart, Tas, Australia.</t>
  </si>
  <si>
    <t>steven@ikigairesearch.org</t>
  </si>
  <si>
    <t>King, Matt/B-4622-2008; Phipps, Steven/B-3135-2008</t>
  </si>
  <si>
    <t>King, Matt/0000-0001-5611-9498; Phipps, Steven/0000-0001-5657-8782</t>
  </si>
  <si>
    <t>Centre for Southern Hemisphere Oceans Research; University of Tasmania; Australian Government's NCRIS program, through the Tasmanian Partnership for Advanced Computing; NSF [PLR-1603799, PLR-1644277]; NASA [NNX17AG65G]</t>
  </si>
  <si>
    <t>Centre for Southern Hemisphere Oceans Research(Commonwealth Scientific &amp; Industrial Research Organisation (CSIRO)); University of Tasmania; Australian Government's NCRIS program, through the Tasmanian Partnership for Advanced Computing; NSF(National Science Foundation (NSF)); NASA(National Aeronautics &amp; Space Administration (NASA))</t>
  </si>
  <si>
    <t>This work was supported by the Centre for Southern Hemisphere Oceans Research, a joint research centre between the Qingdao National Laboratory for Marine Science and Technology (China) and the Commonwealth Scientific and Industrial Research Organisation (CSIRO; Australia). It was also supported by the University of Tasmania and the Australian Government's NCRIS program, through the Tasmanian Partnership for Advanced Computing. Development of PISM is supported by NSF grants PLR-1603799 and PLR-1644277 and NASA grant NNX17AG65G. The authors acknowledge use of the PyFerret program to generate the graphics in this paper. We thank Xuebin Zhang, two anonymous reviewers and the editor, Heiko Goelzer, for their comments, which have greatly improved the paper.</t>
  </si>
  <si>
    <t>10.5194/gmd-14-5107-2021</t>
  </si>
  <si>
    <t>UC6LP</t>
  </si>
  <si>
    <t>gold, Green Accepted, Green Submitted</t>
  </si>
  <si>
    <t>WOS:000686635700001</t>
  </si>
  <si>
    <t>Dyer, B; Austermann, J; D'Andrea, WJ; Creel, RC; Sandstrom, MR; Cashman, M; Rovere, A; Raymo, ME</t>
  </si>
  <si>
    <t>Dyer, Blake; Austermann, Jacqueline; D'Andrea, William J.; Creel, Roger C.; Sandstrom, Michael R.; Cashman, Miranda; Rovere, Alessio; Raymo, Maureen E.</t>
  </si>
  <si>
    <t>Sea-level trends across The Bahamas constrain peak last interglacial ice melt</t>
  </si>
  <si>
    <t>last interglacial sea level; glacial isostatic adjustment; The Bahamas</t>
  </si>
  <si>
    <t>GLACIAL-ISOSTATIC-ADJUSTMENT; FOSSIL CORAL-REEFS; NEW-PROVIDENCE; SAN-SALVADOR; DEPOSITS; MANTLE; SHEET; AGE; ISLAND; MODEL</t>
  </si>
  <si>
    <t>During the last interglacial (LIG) period, global mean sea level (GMSL) was higher than at present, likely driven by greater high-latitude insolation. Past sea-level estimates require elevation measurements and age determination of marine sediments that formed at or near sea level, and those elevations must be corrected for glacial isostatic adjustment (GIA). However, this GIA correction is subject to uncertainties in the GIA model inputs, namely, Earth's rheology and past ice history, which reduces precision and accuracy in estimates of past GMSL. To better constrain the GIA process, we compare our data and existing LIG sea-level data across the Bahamian archipelago with a suite of 576 GIA model predictions. We calculated weights for each GIA model based on how well the model fits spatial trends in the regional sea-level data and then used the weighted GIA corrections to revise estimates of GMSL during the LIG. During the LIG, we find a 95% probability that global sea level peaked at least 1.2 m higher than today, and it is very unlikely (5% probability) to have exceeded 5.3 m. Estimates increase by up to 30% (decrease by up to 20%) for portions of melt that originate from the Greenland ice sheet (West Antarctic ice sheet). Altogether, this work suggests that LIG GMSL may be lower than previously assumed.</t>
  </si>
  <si>
    <t>[Dyer, Blake; Austermann, Jacqueline; D'Andrea, William J.; Creel, Roger C.; Sandstrom, Michael R.; Cashman, Miranda; Rovere, Alessio; Raymo, Maureen E.] Columbia Univ, Lamont Doherty Earth Observ, Palisades, NY 10964 USA; [Dyer, Blake] Univ Victoria, Sch Earth &amp; Ocean Sci, Victoria, BC V8W 2Y2, Canada; [Rovere, Alessio] Univ Bremen, Ctr Marine Environm Sci MARUM, D-28359 Bremen, Germany</t>
  </si>
  <si>
    <t>Columbia University; University of Victoria; University of Bremen</t>
  </si>
  <si>
    <t>Dyer, B; Raymo, ME (corresponding author), Columbia Univ, Lamont Doherty Earth Observ, Palisades, NY 10964 USA.;Dyer, B (corresponding author), Univ Victoria, Sch Earth &amp; Ocean Sci, Victoria, BC V8W 2Y2, Canada.</t>
  </si>
  <si>
    <t>blakedyer@uvic.ca; raymo@ldeo.columbia.edu</t>
  </si>
  <si>
    <t>Creel, Roger/0000-0001-6382-6545; Austermann, Jacqueline/0000-0003-3754-5082; Rovere, Alessio/0000-0001-5575-1168; Dyer, Blake/0000-0002-0277-366X; D'Andrea, William/0000-0003-0182-8857; Sandstrom, Michael/0000-0002-3392-220X</t>
  </si>
  <si>
    <t>NSF [OCE-1202632, OCE1841888]; Vetlesen Foundation; Institutional Strategy of the University of Bremen; European Research Council under the European Union [802414]; Bahamas Environment, Science AMP; Technology Commission; Gerace Research Center on San Salvador Island; Swiss Academy of Sciences; Chinese Academy of Sciences; German cellence Initiative Grant [ABPZuK03/2014]; European Research Council (ERC) [802414] Funding Source: European Research Council (ERC)</t>
  </si>
  <si>
    <t>NSF(National Science Foundation (NSF)); Vetlesen Foundation; Institutional Strategy of the University of Bremen; European Research Council under the European Union(European Research Council (ERC)); Bahamas Environment, Science AMP; Technology Commission; Gerace Research Center on San Salvador Island; Swiss Academy of Sciences; Chinese Academy of Sciences(Chinese Academy of Sciences); German cellence Initiative Grant; European Research Council (ERC)(European Research Council (ERC)Spanish Government)</t>
  </si>
  <si>
    <t>This material is based upon work supported by NSF Grants OCE-1202632 PLIOMAXPliocene maximum sea level and OCE1841888. J.A. and M.E.R. acknowledge support from the Vetlesen Foundation. The research of A.R. on the LIG was funded by Institutional Strategy of the University of Bremen, German cellence Initiative Grant ABPZuK03/2014 and theEx European Research Council under the European Union's Horizon 2020 Research and Innovation Program Grant 802414. We thank The Bahamas Environment, Science &amp; Technology Commission; the Gerace Research Center on San Salvador Island; and many Bahamian people for support of our field work. This work benefited from many discussions with the PLIOMAX community. We acknowledge PALSEA (Paleo constraints on sea level rise) , a working group of the International Union for Quaternary Sciences and Past Global Changes, which in turn, received support from the Swiss Academy of Sciences and the Chinese Academy of Sciences. TanDEM-X digital elevation data are under copyright by the German Aerospace Center. All rights reserved; used with permission within Project DEM GEOL1210 (A.R./M.E.R.) .</t>
  </si>
  <si>
    <t>e2026839118</t>
  </si>
  <si>
    <t>10.1073/pnas.2026839118</t>
  </si>
  <si>
    <t>UD7SG</t>
  </si>
  <si>
    <t>WOS:000687404200002</t>
  </si>
  <si>
    <t>Lin, YJ; Moreno, C; Marchetti, A; Ducklow, H; Schofield, O; Delage, E; Meredith, M; Li, ZC; Eveillard, D; Chaffron, S; Cassar, N</t>
  </si>
  <si>
    <t>Lin, Yajuan; Moreno, Carly; Marchetti, Adrian; Ducklow, Hugh; Schofield, Oscar; Delage, Erwan; Meredith, Michael; Li, Zuchuan; Eveillard, Damien; Chaffron, Samuel; Cassar, Nicolas</t>
  </si>
  <si>
    <t>Decline in plankton diversity and carbon flux with reduced sea ice extent along the Western Antarctic Peninsula</t>
  </si>
  <si>
    <t>NET COMMUNITY PRODUCTION; CLIMATE-CHANGE; OCEAN; VARIABILITY; NETWORKS; LIGHT; MELT</t>
  </si>
  <si>
    <t>Over the past century, the Western Antarctic Peninsula has experienced rapid warming and a substantial loss of sea ice with important implications for plankton biodiversity and carbon cycling. Using a 5-year DNA metabarcoding dataset, this study assesses how interannual variability in sea-ice conditions impacts biodiversity and biological carbon fluxes in this region. Since the middle of the past century, the Western Antarctic Peninsula has warmed rapidly with a significant loss of sea ice but the impacts on plankton biodiversity and carbon cycling remain an open question. Here, using a 5-year dataset of eukaryotic plankton DNA metabarcoding, we assess changes in biodiversity and net community production in this region. Our results show that sea-ice extent is a dominant factor influencing eukaryotic plankton community composition, biodiversity, and net community production. Species richness and evenness decline with an increase in sea surface temperature (SST). In regions with low SST and shallow mixed layers, the community was dominated by a diverse assemblage of diatoms and dinoflagellates. Conversely, less diverse plankton assemblages were observed in waters with higher SST and/or deep mixed layers when sea ice extent was lower. A genetic programming machine-learning model explained up to 80% of the net community production variability at the Western Antarctic Peninsula. Among the biological explanatory variables, the sea-ice environment associated plankton assemblage is the best predictor of net community production. We conclude that eukaryotic plankton diversity and carbon cycling at the Western Antarctic Peninsula are strongly linked to sea-ice conditions.</t>
  </si>
  <si>
    <t>[Lin, Yajuan; Cassar, Nicolas] Duke Univ, Nicholas Sch Environm, Div Earth &amp; Ocean Sci, Durham, NC 27708 USA; [Lin, Yajuan; Cassar, Nicolas] Univ Brest, CNRS, Lab Sci Environm Marin IUEM, UMR 6539,UBO,IRD,Ifremer, Rue Dumont DUrville, Plouzane, France; [Lin, Yajuan] Duke Kunshan Univ, Environm Res Ctr, Kunshan, Peoples R China; [Moreno, Carly; Marchetti, Adrian] Univ N Carolina, Dept Marine Sci, Chapel Hill, NC 27515 USA; [Ducklow, Hugh] Columbia Univ, Lamont Doherty Earth Observ, Palisades, NY USA; [Schofield, Oscar] Rutgers State Univ, Sch Environm &amp; Biol Sci, Dept Marine &amp; Coastal Sci, Rutgers Univ Ctr Ocean Observing Leadership RU CO, New Brunswick, NJ USA; [Delage, Erwan; Eveillard, Damien; Chaffron, Samuel] Univ Nantes, CNRS, UMR 6004, LS2N, Nantes, France; [Meredith, Michael] British Antarctic Survey, Cambridge, England; [Li, Zuchuan] Woods Hole Oceanog Inst, Appl Ocean Phys &amp; Engn, Woods Hole, MA 02543 USA; [Eveillard, Damien; Chaffron, Samuel] Res Federat Study Global Ocean Syst Ecol &amp; Evolut, FR2022 Tara Oceans GOSEE, Paris, France</t>
  </si>
  <si>
    <t>Duke University; Centre National de la Recherche Scientifique (CNRS); CNRS - Institute of Ecology &amp; Environment (INEE); Ifremer; Institut de Recherche pour le Developpement (IRD); Universite de Bretagne Occidentale; Institut Universitaire Europeen de la Mer (IUEM); Duke Kunshan University; University of North Carolina; University of North Carolina Chapel Hill; Columbia University; Rutgers University System; Rutgers University New Brunswick; Nantes Universite; Centre National de la Recherche Scientifique (CNRS); UK Research &amp; Innovation (UKRI); Natural Environment Research Council (NERC); NERC British Antarctic Survey; Woods Hole Oceanographic Institution</t>
  </si>
  <si>
    <t>Lin, YJ; Cassar, N (corresponding author), Duke Univ, Nicholas Sch Environm, Div Earth &amp; Ocean Sci, Durham, NC 27708 USA.;Lin, YJ; Cassar, N (corresponding author), Univ Brest, CNRS, Lab Sci Environm Marin IUEM, UMR 6539,UBO,IRD,Ifremer, Rue Dumont DUrville, Plouzane, France.;Lin, YJ (corresponding author), Duke Kunshan Univ, Environm Res Ctr, Kunshan, Peoples R China.</t>
  </si>
  <si>
    <t>yajuan.lin@dukekunshan.edu.cn; Nicolas.Cassar@duke.edu</t>
  </si>
  <si>
    <t>Chaffron, Samuel/K-1104-2019; Cassar, Nicolas/B-4260-2011; Eveillard, Damien/A-1635-2012</t>
  </si>
  <si>
    <t>Chaffron, Samuel/0000-0001-5903-617X; Delage, Erwan/0000-0002-7653-5111; Lin, Yajuan/0000-0002-9057-9321; Eveillard, Damien/0000-0002-8162-7360; Marchetti, Adrian/0000-0003-4608-4775</t>
  </si>
  <si>
    <t>NSF [OPP-1643534, OPP-1341479, PLR-1440435]; UK Natural Environment Research Council via the BAS Polar Oceans program</t>
  </si>
  <si>
    <t>NSF(National Science Foundation (NSF)); UK Natural Environment Research Council via the BAS Polar Oceans program</t>
  </si>
  <si>
    <t>We thank the scientists, scientific support personnel, the crew on R/V Laurence M. Gould, and the PAL-LTER team for their assistance in sample collection and underway measurements. We are grateful to Hans Gabathuler for instrument support and Naomi Shelton for field sampling. This work is supported by NSF OPP-1643534 to N.C., NSF OPP-1341479 to A.M., and NSF PLR-1440435 to H.D. and O.S. (Palmer LTER). M.M. was supported by the UK Natural Environment Research Council via the BAS Polar Oceans program.</t>
  </si>
  <si>
    <t>AUG 16</t>
  </si>
  <si>
    <t>10.1038/s41467-021-25235-w</t>
  </si>
  <si>
    <t>UC6NX</t>
  </si>
  <si>
    <t>WOS:000686641700032</t>
  </si>
  <si>
    <t>Marina-Montes, C; Motto-Ros, V; Pérez-Arribas, LV; Anzano, J; Millán-Martínez, M; Cáceres, JO</t>
  </si>
  <si>
    <t>Marina-Montes, Cesar; Motto-Ros, Vincent; Vicente Perez-Arribas, Luis; Anzano, Jesus; Millan-Martinez, Maria; Caceres, Jorge O.</t>
  </si>
  <si>
    <t>Aerosol analysis by micro laser-induced breakdown spectroscopy: A new protocol for particulate matter characterization in filters</t>
  </si>
  <si>
    <t>ANALYTICA CHIMICA ACTA</t>
  </si>
  <si>
    <t>Laser-induced breakdown spectroscopy; Filter characterization; Atmospheric aerosols; Micro LIBS imaging; Antarctica</t>
  </si>
  <si>
    <t>AIR-POLLUTION; MIXING STATE; BLACK CARBON; PARTICLE; LIBS</t>
  </si>
  <si>
    <t>Atmospheric aerosols (particulate matter - PM) affect the air quality and climate, even in remote areas, such as the Antarctic Region. Current techniques for continuous PM monitoring are usually complex, costly, time consuming and do not provide real-time measurements. In this work, based on micro laser-induced breakdown spectroscopy (LIBS), an innovative method with an optical design and multi-elemental scanning imaging, is presented to characterize PM collected in filters from Antarctica. After following a simple protocol and under atmospheric pressure, the new approach allows to obtain a global visualization of the elemental PM composition of the filters with a minimum sample destruction and preparation. For the first time, we were able to map the localization of pollutants in filters at high spatial resolution and speed. This recent method offers a new insight on the characterization of PM, particularly in isolated areas, where no complex equipment and real time measurements are demanded. (C) 2021 Elsevier B.V. All rights reserved.</t>
  </si>
  <si>
    <t>[Marina-Montes, Cesar; Anzano, Jesus] Univ Zaragoza, Fac Sci, Dept Analyt Chem, Chem &amp; Environm Grp,Laser Lab, Pedro Cerbuna 12, E-50009 Zaragoza, Spain; [Motto-Ros, Vincent] Univ Lyon, Univ Lyon 1, CNRS, Inst Lumiere Mat,UMR5306, F-69622 Villeurbanne, France; [Vicente Perez-Arribas, Luis; Caceres, Jorge O.] Univ Complutense Madrid, Fac Chem, Dept Analyt Chem, Laser Chem Res Grp, Plaza Ciencias 1, Madrid 28040, Spain; [Millan-Martinez, Maria] Univ Huelva Atmospher Pollut, CSIC, Ctr Res Sustainable Chem CIQSO, Associate Unit, Campus El Carmen S-N, Huelva 21071, Spain</t>
  </si>
  <si>
    <t>University of Zaragoza; Centre National de la Recherche Scientifique (CNRS); CNRS - Institute of Physics (INP); Universite Claude Bernard Lyon 1; Complutense University of Madrid; Consejo Superior de Investigaciones Cientificas (CSIC)</t>
  </si>
  <si>
    <t>Marina-Montes, Cesar/AEU-5508-2022; Perez-Arribas, Luis V./K-5675-2018</t>
  </si>
  <si>
    <t>Marina-Montes, Cesar/0000-0001-5652-3677; Perez-Arribas, Luis V./0000-0002-3727-8132; Millan Martinez, Maria/0000-0002-1799-1934; Caceres, Jorge/0000-0003-4801-4172</t>
  </si>
  <si>
    <t>Spanish Ministry of Science research program [CTM2017-82929-R, PID2020-112570RB-C21]; Government of Aragon [E23_17D, E49_20R]; Spanish Government; European Social Fund; University of Zaragoza; UTM</t>
  </si>
  <si>
    <t>Spanish Ministry of Science research program; Government of Aragon(Gobierno de Aragon); Spanish Government(Spanish Government); European Social Fund(European Social Fund (ESF)); University of Zaragoza; UTM</t>
  </si>
  <si>
    <t>The authors gratefully acknowledge the following institutions for facilities and material resources: University of Zaragoza (Spain), Complutense University of Madrid (Spain) and Institut Lumi~ere Mati~ere (University of Lyon 1 e CNRS, France). The contribution from Jesus de la Rosa from the Associate Unit Atmospheric Pollution (CSIC-University of Huelva, Spain) is also appreciated. This project forms part of the Spanish Ministry of Science research program (CTM2017-82929-R &amp; PID2020-112570RB-C21) in collaboration with the Government of Aragon proposal E23_17D and E49_20R. CMM's work was funded through a predoctoral contract (FPI) granted by the Spanish Government. Financial support from the European Social Fund &amp; University of Zaragoza is acknowledged. The authors thank the ET at the Gabriel de Castilla Spanish Antarctic research station and Javier del Valle Melendo (CUDUniversity of Zaragoza) for help with the installation of equipment and sample collection during the Antarctic campaign 2018/2019. The UTM and Juan Carlos I Spanish Antarctic research station staff are acknowledged for their enormous support during the Antarctic campaign 2019/2020 (specially Hilo Moreno and Joan Riba).</t>
  </si>
  <si>
    <t>0003-2670</t>
  </si>
  <si>
    <t>1873-4324</t>
  </si>
  <si>
    <t>ANAL CHIM ACTA</t>
  </si>
  <si>
    <t>Anal. Chim. Acta</t>
  </si>
  <si>
    <t>OCT 9</t>
  </si>
  <si>
    <t>10.1016/j.aca.2021.338947</t>
  </si>
  <si>
    <t>Chemistry, Analytical</t>
  </si>
  <si>
    <t>Chemistry</t>
  </si>
  <si>
    <t>UO9HQ</t>
  </si>
  <si>
    <t>WOS:000695000500013</t>
  </si>
  <si>
    <t>Shi, Y; Zhong, L; Zhang, JZ; Ma, XK; Zhong, H; Peng, M; He, H; Hu, Y</t>
  </si>
  <si>
    <t>Shi, Yong; Zhong, Lei; Zhang, Jun-zhi; Ma, Xue-kun; Zhong, Huan; Peng, Mo; He, Hui; Hu, Yi</t>
  </si>
  <si>
    <t>Substitution of fish meal with krill meal in rice field eel (Monopterus albus) diets: Effects on growth, immunity, muscle textural quality, and expression of myogenic regulation factors</t>
  </si>
  <si>
    <t>Monopterus albus; Krill meal; Growth performance; Immunity; Textural; Myogenic regulation factors</t>
  </si>
  <si>
    <t>HALIBUT HIPPOGLOSSUS-HIPPOGLOSSUS; EUPHAUSIA-SUPERBA MEAL; ANTARCTIC KRILL; HAEMATOCOCCUS-PLUVIALIS; ANTIOXIDANT STATUS; ATLANTIC SALMON; GENE-EXPRESSION; REPLACEMENT; PERFORMANCE; ASTAXANTHIN</t>
  </si>
  <si>
    <t>An 8-week feeding experiment was conducted to evaluate the effects of replacing fish meal (FM) with krill meal (KM) on the growth, immunity, muscle textural quality, and expression of myogenic regulation factors of Monopterus albus (initial body weight: 23.00 +/- 0.10 g). Five experimental diets consisted of different proportions of FM (0, 25, 50, 75, and 100 g/kg) were substituted with KM, corresponding to dietary inclusion levels of 0 (KM0), 28.8 g/kg (KM29), 57.6 g/kg (KM58), 86.4 g/kg (KM86), and 115.2 g/kg (KM115). The results showed that: (1) the weight gain rate (WGR) of the fish in the KM58, KM86, and KM115 groups were significantly higher than those of the KM0 group, whereas the opposite result was observed for the feed conversion ratio. (2) Serum complement 3 content and superoxide dismutase activity in the KM58 group and alkaline phosphatase activity in the KM29, KM58, and KM115 groups were significantly higher than those in the KM0 group. However, there were no significant differences in serum immunoglobulin M, complement 4, malondialdehyde content, and catalase activity among all groups. (3) The highest levels of hardness, cohesiveness, springiness, chewiness, gumminess, and adhesiveness of muscle tissues of M. albus fed with the KM58 diet were significantly higher than those of the other treatments. (4) No remarkable difference was detected in MEF2A, MEF2D, MyoG, and Myf5 mRNA expression levels in the muscle tissues among the dietary treatments. However, MyoD2, Myh6, MyoD1, MRF4, MEF2B, and MEF2C mRNA expression levels were significantly upregulated by KM replacement. In conclusion, these results suggested that dietary</t>
  </si>
  <si>
    <t>[Shi, Yong; Zhong, Lei; Zhang, Jun-zhi; Zhong, Huan; He, Hui; Hu, Yi] Hunan Agr Univ, Hunan Engn Res Ctr Utilizat Characterist Aquat Re, Changsha 410128, Hunan, Peoples R China; [Zhong, Lei; Hu, Yi] Hunan Agr Univ, Hunan Key Lab Tradit Chinese Vet Med, Changsha 410128, Hunan, Peoples R China; [Peng, Mo] Jiangxi Agr Univ, Sch Anim Sci &amp; Technol, Anim Husb Postdoctoral Res Stn, Nanchang 330045, Jiangxi, Peoples R China; [Ma, Xue-kun] Guangdong Yuehai Feed Grp Co Ltd, Zhanjiang 524000, Guangdong, Peoples R China</t>
  </si>
  <si>
    <t>Hunan Agricultural University; Hunan Agricultural University; Jiangxi Agricultural University</t>
  </si>
  <si>
    <t>Hu, Y (corresponding author), Hunan Agr Univ, Hunan Engn Res Ctr Utilizat Characterist Aquat Re, Changsha 410128, Hunan, Peoples R China.</t>
  </si>
  <si>
    <t>huyi740322@163.com</t>
  </si>
  <si>
    <t>National Natural Science Foundation of China [31572626]; Key Project of Research and Development Plan of Hunan Province of China [2017NK2302]</t>
  </si>
  <si>
    <t>National Natural Science Foundation of China(National Natural Science Foundation of China (NSFC)); Key Project of Research and Development Plan of Hunan Province of China</t>
  </si>
  <si>
    <t>This work was supported by the National Natural Science Foundation of China [grant numbers 31572626]; the Key Project of Research and Development Plan of Hunan Province of China [grant number 2017NK2302].</t>
  </si>
  <si>
    <t>10.1016/j.anifeedsci.2021.115047</t>
  </si>
  <si>
    <t>WB2TX</t>
  </si>
  <si>
    <t>WOS:000703431100015</t>
  </si>
  <si>
    <t>Gu, WY; Chen, LJ; Xia, ZY; Horne, RB</t>
  </si>
  <si>
    <t>Gu, Wenyao; Chen, Lunjin; Xia, Zhiyang; Horne, Richard B.</t>
  </si>
  <si>
    <t>Direct Evidence Reveals Transmitter Signal Propagation in the Magnetosphere</t>
  </si>
  <si>
    <t>VLF transmitters; ducted propagation; nonducted propagation; magnetosphere</t>
  </si>
  <si>
    <t>VLF WAVES; DENSITY; MODEL; SATELLITE; DE-1</t>
  </si>
  <si>
    <t>Signals from very-low-frequency transmitters on the ground are known to induce energetic electron precipitation from the Earth's radiation belts. The effectiveness of this mechanism depends on the propagation characteristics of those signals in the magnetosphere, and in particular whether the signals are ducted or nonducted along channels of enhanced plasma density, analogous to optical fibers. Here we perform a statistical analysis of in-situ waveform data collected by the Van Allen Probes satellites that shows that nonducted propagation dominates over ducted propagation in both the occurrence and intensity of the waves. Ray tracing confirms that the latitudinal distribution of wavevectors corresponds to nonducted as opposed to ducted propagation. Our results show the dominant mode of propagation needed to quantify transmitter-induced precipitation and improve the forecast of electron radiation belt dynamics for the safe operation of satellites.</t>
  </si>
  <si>
    <t>[Gu, Wenyao; Chen, Lunjin; Xia, Zhiyang] Univ Texas Dallas, Phys Dept, WB Hanson Ctr Space Sci, Richardson, TX 75083 USA; [Horne, Richard B.] British Antarctic Survey, Cambridge, England</t>
  </si>
  <si>
    <t>Gu, WY; Chen, LJ (corresponding author), Univ Texas Dallas, Phys Dept, WB Hanson Ctr Space Sci, Richardson, TX 75083 USA.</t>
  </si>
  <si>
    <t>wxg170330@utdallas.edu; lunjin.chen@gmail.com</t>
  </si>
  <si>
    <t>Horne, Richard B/0000-0002-0412-6407; Gu, Wenyao/0000-0003-3562-0595; Xia, Zhiyang/0000-0001-8922-6484; Chen, Lunjin/0000-0003-2489-3571</t>
  </si>
  <si>
    <t>NSF [1702805]; NASA [80NSSC19K0282, 80NSSC19K0283]; NERC Highlight Topic Grant [NE/P01738X/1]; NERC [NE/V00249X/1]; NERC [NE/P01738X/1] Funding Source: UKRI; SPF [NE/V00249X/1] Funding Source: UKRI; Directorate For Geosciences; Div Atmospheric &amp; Geospace Sciences [1702805] Funding Source: National Science Foundation</t>
  </si>
  <si>
    <t>NSF(National Science Foundation (NSF)); NASA(National Aeronautics &amp; Space Administration (NASA)); NERC Highlight Topic Grant; NERC(UK Research &amp; Innovation (UKRI)Natural Environment Research Council (NERC)); NERC(UK Research &amp; Innovation (UKRI)Natural Environment Research Council (NERC)); SPF; Directorate For Geosciences; Div Atmospheric &amp; Geospace Sciences(National Science Foundation (NSF)NSF - Directorate for Geosciences (GEO))</t>
  </si>
  <si>
    <t>The authors acknowledge Van Allen Probes team and DEMETER mission team for the data usage. Work at UTD was supported by NSF grant 1702805 through the Geospace Environment Modeling program, and NASA grants 80NSSC19K0282 and 80NSSC19K0283. RBH was supported by NERC Highlight Topic Grant NE/P01738X/1 (RadSat) and NERC grant NE/V00249X/1 (Sat-Risk).</t>
  </si>
  <si>
    <t>e2021GL093987</t>
  </si>
  <si>
    <t>10.1029/2021GL093987</t>
  </si>
  <si>
    <t>TY0YU</t>
  </si>
  <si>
    <t>WOS:000683512200024</t>
  </si>
  <si>
    <t>Middleton, L; Fine, EC; MacKinnon, JA; Alford, MH; Taylor, JR</t>
  </si>
  <si>
    <t>Middleton, L.; Fine, E. C.; MacKinnon, J. A.; Alford, M. H.; Taylor, J. R.</t>
  </si>
  <si>
    <t>Estimating Dissipation Rates Associated With Double Diffusion</t>
  </si>
  <si>
    <t>ocean mixing; double-diffusive convection; compensated thermohaline variance</t>
  </si>
  <si>
    <t>OCEANIC THERMOHALINE INTRUSIONS; CANADA BASIN; TURBULENCE; FLUXES; ENERGY; PARAMETERIZATION; TEMPERATURE; HEAT</t>
  </si>
  <si>
    <t>Double diffusion refers to a variety of turbulent processes in which potential energy is released into kinetic energy, made possible in the ocean by the difference in molecular diffusivities between salinity and temperature. Here, we present a new method for estimating the kinetic energy dissipation rates forced by double-diffusive convection using temperature and salinity data alone. The method estimates the up-gradient diapycnal buoyancy flux associated with double diffusion, which is hypothesized to balance the dissipation rate. To calculate the temperature and salinity gradients on small scales we apply a canonical scaling for compensated thermohaline variance (or 'spice') on sub-measurement scales with a fixed buoyancy gradient. Our predicted dissipation rates compare favorably with microstructure measurements collected in the Chukchi Sea. Fine et al. (2018), , showed that dissipation rates provide good estimates for heat fluxes in this region. Finally, we show the method maintains predictive skill when applied to a sub-sampling of the Conductivity, Temperature, Depth (CTD) data.</t>
  </si>
  <si>
    <t>[Middleton, L.; Taylor, J. R.] Univ Cambridge, Ctr Math Sci, Dept Appl Math &amp; Theoret Phys, Cambridge, England; [Middleton, L.] British Antarctic Survey, Cambridge, England; [Fine, E. C.] Woods Hole Oceanog Inst, Falmouth, MA USA; [MacKinnon, J. A.; Alford, M. H.] Scripps Inst Oceanog, La Jolla, CA USA</t>
  </si>
  <si>
    <t>University of Cambridge; UK Research &amp; Innovation (UKRI); Natural Environment Research Council (NERC); NERC British Antarctic Survey; Woods Hole Oceanographic Institution; University of California System; University of California San Diego; Scripps Institution of Oceanography</t>
  </si>
  <si>
    <t>Middleton, L (corresponding author), Univ Cambridge, Ctr Math Sci, Dept Appl Math &amp; Theoret Phys, Cambridge, England.;Middleton, L (corresponding author), British Antarctic Survey, Cambridge, England.</t>
  </si>
  <si>
    <t>lm758@cam.ac.uk</t>
  </si>
  <si>
    <t>Middleton, Leo/0000-0002-2821-6992; MacKinnon, Jennifer/0000-0002-7690-1185</t>
  </si>
  <si>
    <t>Natural Environment Research Council [NE/L002507/1]; NERC [bas0100033] Funding Source: UKRI</t>
  </si>
  <si>
    <t>The authors thank Barry Ruddick and an anonymous reviewer for their valuable input on the development of this manuscript. This work was supported by the Natural Environment Research Council (grant number NE/L002507/1).</t>
  </si>
  <si>
    <t>e2021GL092779</t>
  </si>
  <si>
    <t>10.1029/2021GL092779</t>
  </si>
  <si>
    <t>WOS:000683512200052</t>
  </si>
  <si>
    <t>Verhaegen, G; Cimoli, E; Lindsay, D</t>
  </si>
  <si>
    <t>Verhaegen, Gerlien; Cimoli, Emiliano; Lindsay, Dhugal</t>
  </si>
  <si>
    <t>Life beneath the ice: jellyfish and ctenophores from the Ross Sea, Antarctica, with an image-based training set for machine learning</t>
  </si>
  <si>
    <t>Southern Ocean; gelatinous zooplankton; siphonophore; video annotation; remotely-operated vehicle (ROV); Common Objects in Context (COCO); machine learning</t>
  </si>
  <si>
    <t>SOUTHERN-OCEAN; VERTICAL-DISTRIBUTION; PELAGIC CNIDARIANS; CALYCOPHORAN SIPHONOPHORE; GELATINOUS ZOOPLANKTON; DISTRIBUTION PATTERNS; SIZE COMPOSITION; MCMURDO SOUND; WEDDELL SEA; MEDUSAE</t>
  </si>
  <si>
    <t>Background Southern Ocean ecosystems are currently experiencing increased environmental changes and anthropogenic pressures, urging scientists to report on their biodiversity and biogeography. Two major taxonomically diverse and trophically important gelatinous zooplankton groups that have, however, stayed largely understudied until now are the cnidarian jellyfish and ctenophores. This data scarcity is predominantly due to many of these fragile, soft-bodied organisms being easily fragmented and/or destroyed with traditional net sampling methods. Progress in alternative survey methods including, for instance, optics-based methods is slowly starting to overcome these obstacles. As video annotation by human observers is both time-consuming and financially costly, machine learning techniques should be developed for the analysis of in situ /in aqua image-based datasets. This requires taxonomically accurate training sets for correct species identification and the present paper is the first to provide such data. New information In this study, we twice conducted three week-long in situ optics-based surveys of jellyfish and ctenophores found under the ice in the McMurdo Sound, Antarctica. Our study constitutes the first optics-based survey of gelatinous zooplankton in the Ross Sea and the first study to use in situ / in aqua observations to describe taxonomic and some trophic and behavioural characteristics of gelatinous zooplankton from the Southern Ocean. Despite the small geographic and temporal scales of our study, we provided new undescribed morphological traits for all observed gelatinous zooplankton species (eight cnidarian and four ctenophore species). Three ctenophores and one leptomedusa likely represent undescribed species. Furthermore, along with the photography and videography, we prepared a Common Objects in Context (COCO) dataset, so that this study is the first to provide a taxonomist-ratified image training set for future machine-learning algorithm development concerning Southern Ocean gelatinous zooplankton species.</t>
  </si>
  <si>
    <t>[Verhaegen, Gerlien; Lindsay, Dhugal] Japan Agcy Marine Earth Sci &amp; Technol JAMSTEC, Adv Sci Technol Res Aster Program, Inst Extra Cutting Edge Sci &amp; Technol Avantgarde, Yokosuka, Kanagawa, Japan; [Cimoli, Emiliano] Univ Tasmania, Coll Sci &amp; Engn, Inst Marine &amp; Antarctic Studies, Hobart, Tas, Australia; [Cimoli, Emiliano] Univ Tasmania, Coll Sci &amp; Engn, Sch Technol Environm &amp; Design, Discipline Geog &amp; Spatial Sci, Hobart, Tas, Australia</t>
  </si>
  <si>
    <t>Japan Agency for Marine-Earth Science &amp; Technology (JAMSTEC); University of Tasmania; University of Tasmania</t>
  </si>
  <si>
    <t>Verhaegen, G (corresponding author), Japan Agcy Marine Earth Sci &amp; Technol JAMSTEC, Adv Sci Technol Res Aster Program, Inst Extra Cutting Edge Sci &amp; Technol Avantgarde, Yokosuka, Kanagawa, Japan.</t>
  </si>
  <si>
    <t>gerlienverhaegen@hotmail.com</t>
  </si>
  <si>
    <t>Cimoli, Emiliano/H-1862-2018</t>
  </si>
  <si>
    <t>Cimoli, Emiliano/0000-0001-7964-2716; Verhaegen, Gerlien/0000-0002-8942-8112; Lindsay, Dhugal/0000-0002-8985-4744</t>
  </si>
  <si>
    <t>New Zealand Antarctic Research Institute (NZARI) [K043]; Antarctica New Zealand; Deutsche Forschungsgemeinschaft (DFG) [VE 1192/1-1]; Belmont Forum Project World Wide Web of Plankton Image Curation [18076935]; Grants-in-Aid for Scientific Research [20K06806] Funding Source: KAKEN</t>
  </si>
  <si>
    <t>New Zealand Antarctic Research Institute (NZARI); Antarctica New Zealand; Deutsche Forschungsgemeinschaft (DFG)(German Research Foundation (DFG)); Belmont Forum Project World Wide Web of Plankton Image Curation; Grants-in-Aid for Scientific Research(Ministry of Education, Culture, Sports, Science and Technology, Japan (MEXT)Japan Society for the Promotion of ScienceGrants-in-Aid for Scientific Research (KAKENHI))</t>
  </si>
  <si>
    <t>Fieldwork was supported by the New Zealand Antarctic Research Institute (NZARI) grant under project code K043. We are grateful for the support of Antarctica New Zealand and the rest of the K043 team for field-based operation and logistics involved in the acquisition of the imagery. Particular thanks go to Dr. Vanessa Lucieer and Dr. Zbynek Malenovsky of the University of Tasmania (Australia) for support in acquiring the images. We thank Shawn Harper of the North Carolina Aquarium on Roanoke Island (USA) for providing one of his Beroe pictures from the Ross Sea. Dr. Naoto Jimi of the National Institute of Polar Research (Japan) is thanked for the identification of the Polychaete family and Svenja Halfter of the University of Tasmania (Australia) for the Amphipod family. We are also grateful to George Branch (University of Cape Town, South Africa) for literature support. The following reviewers are thanked for their constructive comments on the previous version of the manuscript: Dr. Horia Galea (Hydrozoan Research Laboratory, France) , Dr. Steven Haddock (Monterey Bay Aquarium Research Institute, USA) , Dr. Gillian Mapstone (The National History Museum, UK) and Dr. Otto Oliveira (Universidade Federal do ABC, Brazil) . This publication was within the scope of the Research Fellowship project VE 1192/1-1 to GV, funded by the Deutsche Forschungsgemeinschaft (DFG) and a contribution to the Belmont Forum Project World Wide Web of Plankton Image Curation, (Belmont Forum grant 18076935 to DL) .</t>
  </si>
  <si>
    <t>e69374</t>
  </si>
  <si>
    <t>10.3897/BDJ.9.e69374</t>
  </si>
  <si>
    <t>UB0KC</t>
  </si>
  <si>
    <t>WOS:000685541000001</t>
  </si>
  <si>
    <t>Nicholson, E; Watermeyer, KE; Rowland, JA; Sato, CF; Stevenson, SL; Andrade, A; Brooks, TM; Burgess, ND; Cheng, ST; Grantham, HS; Hill, SL; Keith, DA; Maron, M; Metzke, D; Murray, NJ; Nelson, CR; Obura, D; Plumptre, A; Skowno, AL; Watson, JEM</t>
  </si>
  <si>
    <t>Nicholson, Emily; Watermeyer, Kate E.; Rowland, Jessica A.; Sato, Chloe F.; Stevenson, Simone L.; Andrade, Angela; Brooks, Thomas M.; Burgess, Neil D.; Cheng, Su-Ting; Grantham, Hedley S.; Hill, Samantha L.; Keith, David A.; Maron, Martine; Metzke, Daniel; Murray, Nicholas J.; Nelson, Cara R.; Obura, David; Plumptre, Andy; Skowno, Andrew L.; Watson, James E. M.</t>
  </si>
  <si>
    <t>Scientific foundations for an ecosystem goal, milestones and indicators for the post-2020 global biodiversity framework</t>
  </si>
  <si>
    <t>ECOLOGICAL RESILIENCE; FOREST COVER; HABITAT LOSS; CONSERVATION; AREA; RISK; EXTINCTION; CONVENTION; MANAGEMENT; PROGRESS</t>
  </si>
  <si>
    <t>Despite substantial conservation efforts, the loss of ecosystems continues globally, along with related declines in species and nature's contributions to people. An effective ecosystem goal, supported by clear milestones, targets and indicators, is urgently needed for the post-2020 global biodiversity framework and beyond to support biodiversity conservation, the UN Sustainable Development Goals and efforts to abate climate change. Here, we describe the scientific foundations for an ecosystem goal and milestones, founded on a theory of change, and review available indicators to measure progress. An ecosystem goal should include three core components: area, integrity and risk of collapse. Targets-the actions that are necessary for the goals to be met-should address the pathways to ecosystem loss and recovery, including safeguarding remnants of threatened ecosystems, restoring their area and integrity to reduce risk of collapse and retaining intact areas. Multiple indicators are needed to capture the different dimensions of ecosystem area, integrity and risk of collapse across all ecosystem types, and should be selected for their fitness for purpose and relevance to goal components. Science-based goals, supported by well-formulated action targets and fit-for-purpose indicators, will provide the best foundation for reversing biodiversity loss and sustaining human well-being. Sustaining ecosystems is essential for biodiversity conservation and human well-being. This Perspective synthesizes the scientific basis for an effective goal for ecosystem conservation, and associated indicators of progress, that can be applied from global to local scales.</t>
  </si>
  <si>
    <t>[Nicholson, Emily; Watermeyer, Kate E.; Rowland, Jessica A.; Sato, Chloe F.; Stevenson, Simone L.] Deakin Univ, Sch Life &amp; Environm Sci, Ctr Integrat Ecol, Burwood, Vic, Australia; [Nicholson, Emily; Andrade, Angela; Keith, David A.; Nelson, Cara R.] IUCN Commiss Ecosyst Management, Gland, Switzerland; [Andrade, Angela] Conservac Int, Bogota, Colombia; [Brooks, Thomas M.] IUCN, Gland, Switzerland; [Brooks, Thomas M.] Univ Philippines, World Agroforestry Ctr ICRAF, Los Banos, Philippines; [Brooks, Thomas M.] Univ Tasmania, Inst Marine &amp; Antarctic Studies, Hobart, Tas, Australia; [Burgess, Neil D.; Hill, Samantha L.] UN Environm Programme World Conservat Monitoring, Cambridge, England; [Burgess, Neil D.] Univ Copenhagen, GLOBE Inst, Ctr Ecol Evolut &amp; Climate, Copenhagen, Denmark; [Cheng, Su-Ting] Natl Taiwan Univ, Sch Forestry &amp; Resource Conservat, Taipei, Taiwan; [Grantham, Hedley S.] Wildlife Conservat Soc, Global Conservat Program, New York, NY USA; [Keith, David A.] Univ NSW, Ctr Ecosyst Sci, Sydney, NSW, Australia; [Keith, David A.] NSW Dept Planning Ind &amp; Environm, Hurstville, NSW, Australia; [Maron, Martine; Watson, James E. M.] Univ Queensland, Sch Earth &amp; Environm Sci, Ctr Biodivers &amp; Conservat Sci, Brisbane, Qld, Australia; [Metzke, Daniel] Potsdam Inst Climate Impact Res PIK, Potsdam, Germany; [Murray, Nicholas J.] James Cook Univ, Coll Sci &amp; Engn, Townsville, Qld, Australia; [Nelson, Cara R.] Univ Montana, Dept Ecosyst &amp; Conservat Sci, Missoula, MT 59812 USA; [Obura, David] CORDIO East Africa, Mombasa, Kenya; [Plumptre, Andy] BirdLife Int, Key Biodivers Area Secretariat, Cambridge, England; [Skowno, Andrew L.] Kirstenbosch Res Ctr, South African Natl Biodivers Inst, Cape Town, South Africa; [Skowno, Andrew L.] Univ Cape Town, Dept Biol Sci, Cape Town, South Africa</t>
  </si>
  <si>
    <t>Deakin University; University of the Philippines System; University of the Philippines Los Banos; University of the Philippines Open University; CGIAR; World Agroforestry (ICRAF); University of Tasmania; University of Copenhagen; National Taiwan University; Wildlife Conservation Society; University of New South Wales Sydney; University of Queensland; Potsdam Institut fur Klimafolgenforschung; James Cook University; University of Montana System; University of Montana; BirdLife International; South African National Biodiversity Institute; University of Cape Town</t>
  </si>
  <si>
    <t>Nicholson, E (corresponding author), Deakin Univ, Sch Life &amp; Environm Sci, Ctr Integrat Ecol, Burwood, Vic, Australia.;Nicholson, E (corresponding author), IUCN Commiss Ecosyst Management, Gland, Switzerland.</t>
  </si>
  <si>
    <t>e.nicholson@deakin.edu.au</t>
  </si>
  <si>
    <t>Cheng, Su-Ting/HGU-4213-2022; Rowland, Jessica/HHN-8649-2022; Cheng, Su-Ting/ABC-1712-2021; Rowland, Jessica A/Q-9851-2019; Watson, James Edward Maxwell/D-8779-2013; Skowno, Andrew/M-5196-2019; Murray, Nicholas J/E-4607-2016; Maron, Martine/D-9699-2011; Nicholson, Emily/H-9001-2013</t>
  </si>
  <si>
    <t>Cheng, Su-Ting/0000-0003-1786-6049; Rowland, Jessica/0000-0001-9831-681X; Rowland, Jessica A/0000-0001-9831-681X; Watson, James Edward Maxwell/0000-0003-4942-1984; Skowno, Andrew/0000-0002-2726-7886; Murray, Nicholas J/0000-0002-4008-3053; Sato, Chloe/0000-0001-7707-5068; Brooks, Thomas/0000-0001-8159-3116; Nicholson, Emily/0000-0003-2199-3446; Stevenson, Simone/0000-0002-9807-9807; Grantham, Hedley/0000-0002-8933-807X; Keith, David/0000-0002-7627-4150; Maron, Martine/0000-0002-5563-5789</t>
  </si>
  <si>
    <t>Australian Research Council [FT190100234, LP170101143, DP170100609]; Veski; Office of the Chief Scientist of Victoria [IWF01]; IUCN by MAVA Foundation; Australian Research Council [FT190100234, LP170101143] Funding Source: Australian Research Council</t>
  </si>
  <si>
    <t>Australian Research Council(Australian Research Council); Veski; Office of the Chief Scientist of Victoria; IUCN by MAVA Foundation; Australian Research Council(Australian Research Council)</t>
  </si>
  <si>
    <t>We thank N. Ali (UNEP-WCMC) for her comments on an earlier draft. We acknowledge the following funding bodies: the Australian Research Council (FT190100234, to E.N.; LP170101143, to E.N., D.A.K., H.G., N.J.M., J.E.M.W.; DP170100609, to E.N.), Veski and the Office of the Chief Scientist of Victoria (IWF01, to E.N.); funding provided to IUCN by MAVA Foundation (to E.N.).</t>
  </si>
  <si>
    <t>10.1038/s41559-021-01538-5</t>
  </si>
  <si>
    <t>UZ8VP</t>
  </si>
  <si>
    <t>WOS:000685396100002</t>
  </si>
  <si>
    <t>Shaughnessy, PD; Pharaoh, M</t>
  </si>
  <si>
    <t>Shaughnessy, Peter D.; Pharaoh, Mark</t>
  </si>
  <si>
    <t>Mawson's views on use of natural resources in the Antarctic and sub-Antarctic</t>
  </si>
  <si>
    <t>Australasian Antarctic Expedition; Adelie Blizzard magazine; pelagic whaling; harvesting and conservation; southern elephant seals; royal penguins; Macquarie Island; Joseph Hatch</t>
  </si>
  <si>
    <t>Sir Douglas Mawson is a well-known Antarctic explorer and scientist. Early in his career, he recognised opportunities for commerce in Antarctic and sub-Antarctic regions. While at Cape Denison, Antarctica, in 1913 on the Australasian Antarctic Expedition (AAE), the Adelie Blizzard magazine was produced. Mawson contributed articles about Antarctic natural resources and their possible use. Later, he advocated Australia be involved in pelagic whaling. He collected seal skins and oil for their commercial value to be assessed by the Hudson's Bay Company. During the AAE, Mawson visited Macquarie Island where an oiling gang was killing southern elephant seals and royal penguins. Mawson was concerned that they were over-exploited and lobbied successfully to stop the killing. His plans for Macquarie Island included a wildlife sanctuary, with a party to supervise access, send meteorological observations to Australia and New Zealand, and be self-funded by harvesting elephant seals and penguins. Macquarie Island was declared a sanctuary in 1933. Although Mawson has been recognised as an early proponent of conservation, his views on conservation of living natural resources were inconsistent. They should be placed in their historical context: in the early twentieth century, utilisation of living natural resources was viewed more favourably than currently.</t>
  </si>
  <si>
    <t>[Shaughnessy, Peter D.] South Australian Museum, Mammal Sect, Adelaide, SA, Australia; [Pharaoh, Mark] South Australian Museum, Polar Ctr, Adelaide, SA, Australia</t>
  </si>
  <si>
    <t>South Australian Museum; South Australian Museum</t>
  </si>
  <si>
    <t>Shaughnessy, PD (corresponding author), South Australian Museum, Mammal Sect, Adelaide, SA, Australia.</t>
  </si>
  <si>
    <t>peter.shaughnessy@samuseum.sa.gov.au</t>
  </si>
  <si>
    <t>e31</t>
  </si>
  <si>
    <t>10.1017/S0032247421000279</t>
  </si>
  <si>
    <t>UB4QN</t>
  </si>
  <si>
    <t>WOS:000685832700001</t>
  </si>
  <si>
    <t>Kato, C; Kihara, W; Ko, YO; Kadokura, A; Kataoka, R; Evenson, P; Uchida, S; Kaimi, S; Nakamura, Y; Uchida, HA; Murase, K; Munakata, K</t>
  </si>
  <si>
    <t>Kato, Chihiro; Kihara, Wataru; Ko, Yukino; Kadokura, Akira; Kataoka, Ryuho; Evenson, Paul; Uchida, Satoru; Kaimi, So; Nakamura, Yoshiaki; Uchida, Herbert Akihito; Murase, Kiyoka; Munakata, Kazuoki</t>
  </si>
  <si>
    <t>New cosmic ray observations at Syowa Station in the Antarctic for space weather study (vol 11, 31, 2021)</t>
  </si>
  <si>
    <t>JOURNAL OF SPACE WEATHER AND SPACE CLIMATE</t>
  </si>
  <si>
    <t>Cosmic ray; Muon detector; Neutron monitor</t>
  </si>
  <si>
    <t>Due to confusion in the proof correction process, the author's proof corrections were not correctly taken into account. The corrections are listed below, highlighted by a boldface font.</t>
  </si>
  <si>
    <t>[Kato, Chihiro; Kihara, Wataru; Ko, Yukino; Uchida, Satoru; Kaimi, So; Munakata, Kazuoki] Shinshu Univ, Dept Phys, Fac Sci, Matsumoto, Nagano 3908621, Japan; [Kadokura, Akira; Kataoka, Ryuho; Uchida, Herbert Akihito] NIPR, Tokyo 1908518, Japan; [Kadokura, Akira] Polar Environm Data Sci Ctr, Joint Support Ctr Data Sci Res, Res Org Informat &amp; Syst, Tokyo 1050001, Japan; [Evenson, Paul] Univ Delaware, Dept Phys &amp; Astron, Bartol Res Inst, Newark, DE 19716 USA; [Nakamura, Yoshiaki] Chinese Acad Sci, Inst High Energy Phys, Key Lab Particle Astrophys, Beijing 100049, Peoples R China; [Kadokura, Akira; Kataoka, Ryuho; Uchida, Herbert Akihito; Murase, Kiyoka] Grad Univ Adv Studies, Dept Polar Sci, Sokendai 2400193, Japan</t>
  </si>
  <si>
    <t>Shinshu University; Research Organization of Information &amp; Systems (ROIS); National Institute of Polar Research (NIPR) - Japan; Research Organization of Information &amp; Systems (ROIS); University of Delaware; Chinese Academy of Sciences; Institute of High Energy Physics, CAS; Graduate University for Advanced Studies - Japan</t>
  </si>
  <si>
    <t>Kato, C (corresponding author), Shinshu Univ, Dept Phys, Fac Sci, Matsumoto, Nagano 3908621, Japan.</t>
  </si>
  <si>
    <t>ckato@shinshu-u.ac.jp</t>
  </si>
  <si>
    <t>KATAOKA, RYUHO/AAJ-4570-2020</t>
  </si>
  <si>
    <t>NIPR; ISEE (Institute for Space-Earth Environmental Research); ICRR (Institute for Cosmic Ray Research); University of Delaware; Shinshu University</t>
  </si>
  <si>
    <t>NIPR(National Institute of Polar Research (NIPR) - Japan); ISEE (Institute for Space-Earth Environmental Research); ICRR (Institute for Cosmic Ray Research); University of Delaware; Shinshu University(Shinshu University)</t>
  </si>
  <si>
    <t>This research project is supported by NIPR, ISEE (Institute for Space-Earth Environmental Research), ICRR (Institute for Cosmic Ray Research), University of Delaware, and Shinshu University.</t>
  </si>
  <si>
    <t>EDP SCIENCES S A</t>
  </si>
  <si>
    <t>LES ULIS CEDEX A</t>
  </si>
  <si>
    <t>17, AVE DU HOGGAR, PA COURTABOEUF, BP 112, F-91944 LES ULIS CEDEX A, FRANCE</t>
  </si>
  <si>
    <t>2115-7251</t>
  </si>
  <si>
    <t>J SPACE WEATHER SPAC</t>
  </si>
  <si>
    <t>J. Space Weather Space Clim.</t>
  </si>
  <si>
    <t>10.1051/swsc/2021028</t>
  </si>
  <si>
    <t>UA4WF</t>
  </si>
  <si>
    <t>WOS:000685162600001</t>
  </si>
  <si>
    <t>Ning, GC; Luo, M; Zhang, Q; Wang, SG; Liu, Z; Yang, YJ; Wu, SJ; Zeng, ZL</t>
  </si>
  <si>
    <t>Ning, Guicai; Luo, Ming; Zhang, Qiang; Wang, Shigong; Liu, Zhen; Yang, Yuanjian; Wu, Sijia; Zeng, Zhaoliang</t>
  </si>
  <si>
    <t>Understanding the Mechanisms of Summer Extreme Precipitation Events in Xinjiang of Arid Northwest China</t>
  </si>
  <si>
    <t>extreme precipitation; Arid Northwest China; zonal wave pattern; water vapor; convective activity; long-term trend</t>
  </si>
  <si>
    <t>TROPICAL CYCLONES; HEAT WAVES; VARIABILITY; CLIMATE; TELECONNECTION; ASSOCIATION; RAINFALL; TEMPERATURE; WETNESS; DROUGHT</t>
  </si>
  <si>
    <t>As one of the aridest regions in the mid-latitudes, arid Northwest China (ANC) has scarce water resources year-round, its annual total precipitation is mainly contributed by summer extreme precipitation events, which may also cause disastrous flash floods. However, the physical mechanism and climatic features of extreme precipitation events in ANC are not fully understood and warrant in-depth investigations. Taking Xinjiang as an example, this study investigates the underlying mechanisms and long-term trend of extreme precipitation events in ANC during 1961-2019 using observational and reanalysis data sets. Results suggest that summer extreme precipitation events in ANC are characterized by a zonal wave pattern with the deepening of the western Siberian trough, central Asian high, and Mongolian high. Under the effects of the zonal wave pattern, the westerly and the easterly airflows anomalously intensify and converge in ANC, transporting a large amount of water vapor from the Arctic Ocean, the Caspian Sea, the Aral Sea, the Arabian Sea, and eastern China to ANC. Meanwhile, a deep anomalous cyclone center induced by the deep wave pattern appears over ANC, thus providing favorable conditions for the occurrence of extreme precipitation events in ANC. Over the long-term period, total summer precipitation and the frequency of extreme precipitation events in ANC show significant increasing trends, indicating that summer climate in ANC is becoming more humid, and extreme precipitation events are becoming more frequent. These findings provide scientific insights for understanding the formation mechanism of summer extreme precipitation events and mitigating the corresponding disasters in arid regions.</t>
  </si>
  <si>
    <t>[Ning, Guicai; Luo, Ming; Wu, Sijia] Sun Yat Sen Univ, Guangdong Prov Engn Res Ctr Publ Secur &amp; Disaster, Sch Geog &amp; Planning, Guangdong Key Lab Urbanizat &amp; Geosimulat, Guangzhou, Peoples R China; [Ning, Guicai] Lanzhou Univ, Coll Atmospher Sci, Gansu Key Lab Arid Climate Change &amp; Reducing Disa, Lanzhou, Peoples R China; [Luo, Ming] Chinese Univ Hong Kong, Inst Environm Energy &amp; Sustainabil, Hong Kong, Peoples R China; [Zhang, Qiang] Beijing Normal Univ, Acad Disaster Reduct &amp; Emergency Management, Fac Geog Sci,Minist Civil Affairs, Minist Educ,Key Lab Environm Change &amp; Nat Disaste, Beijing, Peoples R China; [Wang, Shigong] Chengdu Univ Informat Technol, Sch Atmospher Sci, Sichuan Key Lab Plateau Atmosphere &amp; Environm, Chengdu, Peoples R China; [Liu, Zhen] Pusan Natl Univ, Ctr Climate Phys, Inst Basic Sci, Busan, South Korea; [Yang, Yuanjian] Nanjing Univ Informat Sci &amp; Technol, Sch Atmospher Phys, Nanjing, Peoples R China; [Zeng, Zhaoliang] Wuhan Univ, Chinese Antarctic Ctr Surveying &amp; Mapping, Wuhan, Peoples R China</t>
  </si>
  <si>
    <t>Sun Yat Sen University; Lanzhou University; Chinese University of Hong Kong; Beijing Normal University; Chengdu University of Information Technology; Pusan National University; Institute for Basic Science - Korea (IBS); Nanjing University of Information Science &amp; Technology; Wuhan University</t>
  </si>
  <si>
    <t>Luo, M (corresponding author), Sun Yat Sen Univ, Guangdong Prov Engn Res Ctr Publ Secur &amp; Disaster, Sch Geog &amp; Planning, Guangdong Key Lab Urbanizat &amp; Geosimulat, Guangzhou, Peoples R China.;Luo, M (corresponding author), Chinese Univ Hong Kong, Inst Environm Energy &amp; Sustainabil, Hong Kong, Peoples R China.</t>
  </si>
  <si>
    <t>luo.ming@hotmail.com</t>
  </si>
  <si>
    <t>Liu, Zhen/AAV-8723-2021; Luo, Ming/IUQ-1554-2023; yang, yang/HGT-7999-2022; Luo, Ming/AAE-8527-2021; Wu, sijia/JJE-7615-2023; yang, yang/GWB-9426-2022</t>
  </si>
  <si>
    <t>Liu, Zhen/0000-0001-9197-0229; Luo, Ming/0000-0002-5474-3892; Luo, Ming/0000-0002-5474-3892; Yang, Yuan-Jian/0000-0003-3486-6286; Zeng, Zhaoliang/0000-0002-9108-8575</t>
  </si>
  <si>
    <t>National Natural Science Foundation of China [41871029, 91644226]; National Key Research &amp; Development Program of China [2019YFC1510400]; Pearl River Talent Plan of Guangdong Province, China [2017GC010634]</t>
  </si>
  <si>
    <t>National Natural Science Foundation of China(National Natural Science Foundation of China (NSFC)); National Key Research &amp; Development Program of China; Pearl River Talent Plan of Guangdong Province, China</t>
  </si>
  <si>
    <t>This study is funded by the National Natural Science Foundation of China (No. 41871029 and 91644226) and the National Key Research &amp; Development Program of China (2019YFC1510400). The appointment of M. Luo at Sun Yat-sen University is partially supported by the Pearl River Talent Plan of Guangdong Province, China (2017GC010634). The authors are thankful to the anonymous reviewers who provided valuable comments and suggestions.</t>
  </si>
  <si>
    <t>e2020JD034111</t>
  </si>
  <si>
    <t>10.1029/2020JD034111</t>
  </si>
  <si>
    <t>TY1DC</t>
  </si>
  <si>
    <t>WOS:000683523400023</t>
  </si>
  <si>
    <t>Keller, DP; Brent, K; Bach, LT; Rickles, W</t>
  </si>
  <si>
    <t>Keller, David P.; Brent, Kerryn; Bach, Lennart T.; Rickles, Wilfried</t>
  </si>
  <si>
    <t>The Role of Ocean-Based Negative Emission Technologies for Climate Mitigation</t>
  </si>
  <si>
    <t>negative emission technologies; carbon dioxide removal (CDR); ocean-based carbon dioxide removal; ocean-based NETs; climate mitigation</t>
  </si>
  <si>
    <t>[Keller, David P.] GEOMAR Helmholtz Ctr Ocean Res Kiel, Kiel, Germany; [Brent, Kerryn] Univ Adelaide, Adelaide Law Sch, Adelaide, SA, Australia; [Bach, Lennart T.] Univ Tasmania, Inst Marine &amp; Antarctic Studies, Hobart, Tas, Australia; [Rickles, Wilfried] Kiel Inst World Econ, Kiel, Germany</t>
  </si>
  <si>
    <t>Helmholtz Association; GEOMAR Helmholtz Center for Ocean Research Kiel; University of Adelaide; University of Tasmania; Institut fur Weltwirtschaft an der Universitat Kiel (IFW)</t>
  </si>
  <si>
    <t>Keller, DP (corresponding author), GEOMAR Helmholtz Ctr Ocean Res Kiel, Kiel, Germany.</t>
  </si>
  <si>
    <t>dkeller@geomar.de</t>
  </si>
  <si>
    <t>Bach, Lennart/0000-0003-0202-3671; Brent, Kerryn/0000-0003-0983-2906</t>
  </si>
  <si>
    <t>European Union's Horizon 2020 Research and Innovation Program [869357]; Australian Research Council under the Future Fellowship [FT200100846]</t>
  </si>
  <si>
    <t>European Union's Horizon 2020 Research and Innovation Program(Horizon 2020); Australian Research Council under the Future Fellowship(Australian Research Council)</t>
  </si>
  <si>
    <t>DPK and WR acknowledge funding from the European Union's Horizon 2020 Research and Innovation Program under grant 869357 (project OceanNETs: Ocean-based Negative Emission Technologies-analyzing the feasibility, risks, and co-benefits of ocean-based negative emission technologies for stabilizing the climate). LTB acknowledges funding from the Australian Research Council under the Future Fellowship grant FT200100846 (Enhanced Weathering-a sustainable tool for CO2 removal?).</t>
  </si>
  <si>
    <t>10.3389/fclim.2021.743816</t>
  </si>
  <si>
    <t>L4VW9</t>
  </si>
  <si>
    <t>WOS:001023269400001</t>
  </si>
  <si>
    <t>Tu, ZB; Le, CF; Bai, Y; Jiang, ZP; Wu, YX; Ouyang, ZX; Cai, WJ; Qi, D</t>
  </si>
  <si>
    <t>Tu, Zebin; Le, Chengfeng; Bai, Yan; Jiang, Zongpei; Wu, Yingxu; Ouyang, Zhangxian; Cai, Wei-Jun; Qi, Di</t>
  </si>
  <si>
    <t>Increase in CO2 Uptake Capacity in the Arctic Chukchi Sea During Summer Revealed by Satellite-Based Estimation</t>
  </si>
  <si>
    <t>sea surface pCO(2); satellite observations; Chukchi Sea; machine learning; remote sensing; carbon cycle</t>
  </si>
  <si>
    <t>MACHINE LEARNING APPROACH; GULF-OF-MEXICO; SURFACE PCO(2); OCEAN; EXCHANGE; ACIDIFICATION; FLUX; ICE</t>
  </si>
  <si>
    <t>The capacity of CO2 uptake in the Chukchi Sea is particularly sensitive to rapid physical and biological changes. However, scarce field observations pose a challenge in understanding the long-term trend of CO2 uptake capacity on this continental shelf. We adopted a machine-learning-based approach to construct a 17-years (2003-2019) long-term time series of summer sea surface partial pressure of CO2 (pCO(2)) from remote sensing products. We show that the long-term increase in CO2 uptake capacity can be attributed to strong and enhanced biological uptake. In addition, the intraseasonal variability of surface pCO(2) in early summer confirms the crucial role of sea ice melt and the subsequently enhanced photosynthesis as soon as the surface ocean converts into an open system. Our results thus highlight the use of remote sensing data in interpolating/extrapolating the highly dynamic carbonate system in the continental shelf sea and shed light into future studies involving machine learning or algorithms.</t>
  </si>
  <si>
    <t>[Tu, Zebin; Le, Chengfeng; Jiang, Zongpei] Zhejiang Univ, Ocean Coll, Zhoushan, Zhejiang, Peoples R China; [Le, Chengfeng; Bai, Yan] Minist Nat Resources, State Key Lab Satellite Ocean Environm Dynam, Inst Oceanog 2, Hangzhou, Peoples R China; [Wu, Yingxu; Qi, Di] Minist Nat Resources MNR, Key Lab Global Change &amp; Marine Atmospher Chem, Inst Oceanog 3, Xiamen, Peoples R China; [Wu, Yingxu; Qi, Di] Jimei Univ, Polar &amp; Marine Res Inst, Xiamen, Fujian, Peoples R China; [Ouyang, Zhangxian; Cai, Wei-Jun] Univ Delaware, Sch Marine Sci &amp; Policy, Newark, DE USA</t>
  </si>
  <si>
    <t>Zhejiang University; Ministry of Natural Resources of the People's Republic of China; Ministry of Natural Resources of the People's Republic of China; Third Institute of Oceanography, Ministry of Natural Resources; Jimei University; University of Delaware</t>
  </si>
  <si>
    <t>Le, CF (corresponding author), Zhejiang Univ, Ocean Coll, Zhoushan, Zhejiang, Peoples R China.;Le, CF (corresponding author), Minist Nat Resources, State Key Lab Satellite Ocean Environm Dynam, Inst Oceanog 2, Hangzhou, Peoples R China.;Qi, D (corresponding author), Minist Nat Resources MNR, Key Lab Global Change &amp; Marine Atmospher Chem, Inst Oceanog 3, Xiamen, Peoples R China.;Qi, D (corresponding author), Jimei Univ, Polar &amp; Marine Res Inst, Xiamen, Fujian, Peoples R China.</t>
  </si>
  <si>
    <t>chengfengle@zju.edu.cn; qidi@tio.org.cn</t>
  </si>
  <si>
    <t>Cai, Wei-Jun/C-1361-2013; Le, Chengfeng/A-2584-2013; Wu, Yingxu/HDO-0449-2022</t>
  </si>
  <si>
    <t>Qi, Di/0000-0003-4762-266X; Wu, Yingxu/0000-0002-7847-6215; Cai, Wei-Jun/0000-0003-3606-8325; Jiang, Zong-Pei/0000-0002-5106-7593</t>
  </si>
  <si>
    <t>National Natural Science Foundation of China [41630969, 41976164, 41941013]; Natural Science Foundation of Zhejiang Province for Distinguished Young Scholars [LR20D060002]; National Key Research and Development Program of China [2019YFE0114800]; Key Deployment Project of Centre for Ocean Mega-Research of Science, CAS [COMS2020Q12]; Chinese Projects for Investigations and Assessments of the Arctic and Antarctic [CHINARE2017-2020]; State Key Laboratory of Satellite Ocean Environment Dynamics, Second Institute of Oceanography [QNHX1805]</t>
  </si>
  <si>
    <t>National Natural Science Foundation of China(National Natural Science Foundation of China (NSFC)); Natural Science Foundation of Zhejiang Province for Distinguished Young Scholars; National Key Research and Development Program of China; Key Deployment Project of Centre for Ocean Mega-Research of Science, CAS; Chinese Projects for Investigations and Assessments of the Arctic and Antarctic; State Key Laboratory of Satellite Ocean Environment Dynamics, Second Institute of Oceanography</t>
  </si>
  <si>
    <t>This work was supported by the National Natural Science Foundation of China (41630969, 41976164, 41941013), Natural Science Foundation of Zhejiang Province for Distinguished Young Scholars (LR20D060002), National Key Research and Development Program of China (2019YFE0114800), Key Deployment Project of Centre for Ocean Mega-Research of Science, CAS (Grant No. COMS2020Q12), Chinese Projects for Investigations and Assessments of the Arctic and Antarctic (CHINARE2017-2020). This study was also supported by the open fund of State Key Laboratory of Satellite Ocean Environment Dynamics, Second Institute of Oceanography (No. QNHX1805). We would like to thank the many contributors to the CHINARE, SOCAT, LDEO, R/V Mirai cruises (JAMSTEC), WHOI and CDIAC data sets, as well as the many research vessels and crews that contributed to the collection of data used in this study. We also thank the two anonymous reviewers and editor for their constructive comments that imporved this manuscript.</t>
  </si>
  <si>
    <t>e2021GL093844</t>
  </si>
  <si>
    <t>10.1029/2021GL093844</t>
  </si>
  <si>
    <t>WOS:000683512200062</t>
  </si>
  <si>
    <t>Wakefield, ED; Miller, DL; Bond, SL; le Bouard, F; Carvalho, PC; Catry, P; Dilley, BJ; Fifield, DA; Gjerdrum, C; González-Solís, J; Hogan, H; Laptikhovsky, V; Merkel, B; Miller, JAO; Miller, PI; Pinder, SJ; Pipa, T; Ryan, PM; Thompson, LA; Thompson, PM; Matthiopoulos, J</t>
  </si>
  <si>
    <t>Wakefield, Ewan D.; Miller, David L.; Bond, Sarah L.; le Bouard, Fabrice; Carvalho, Paloma C.; Catry, Paulo; Dilley, Ben J.; Fifield, David A.; Gjerdrum, Carina; Gonzalez-Solis, Jacob; Hogan, Holly; Laptikhovsky, Vladimir; Merkel, Benjamin; Miller, Julie A. O.; Miller, Peter I.; Pinder, Simon J.; Pipa, Tania; Ryan, Peter M.; Thompson, Laura A.; Thompson, Paul M.; Matthiopoulos, Jason</t>
  </si>
  <si>
    <t>The summer distribution, habitat associations and abundance of seabirds in the sub-polar frontal zone of the Northwest Atlantic</t>
  </si>
  <si>
    <t>Distance sampling; Habitat model; Mesoscale eddy; Marine protected area; Procellariiformes; Shearwater</t>
  </si>
  <si>
    <t>FULMARS FULMARUS-GLACIALIS; SEA-SURFACE TEMPERATURE; SHEARWATERS CALONECTRIS-DIOMEDEA; TRANS-EQUATORIAL MIGRATION; DISTANCE SAMPLING DATA; GIBBS FRACTURE-ZONE; NORTHERN FULMAR; CORYS SHEARWATERS; PUFFINUS-GRISEUS; INTERANNUAL VARIABILITY</t>
  </si>
  <si>
    <t>Biological production in the oceanic zone (i.e. waters beyond the continental shelves) is typically spatially patchy and strongly seasonal. In response, seabirds have adapted to move rapidly within and between ocean basins, making them important pelagic consumers. Studies in the Pacific, Southern and Indian Oceans have shown that seabirds are relatively abundant in major frontal systems, with species composition varying by water mass. In contrast, surprisingly little was known about seabird distribution in the oceanic North Atlantic until recent tracking showed that relative abundance and diversity peak in the Sub-polar Frontal Zone, west of the Mid Atlantic Ridge, now proposed as a Marine Protected Area. However, absolute seabird abundance, distribution, age and species composition, and their potential environmental drivers in the oceanic temperate NW Atlantic remain largely unknown. Consequently, we systematically surveyed seabirds and environmental conditions across this area by ship in June 2017, then modelled the density of common species as functions of environmental covariates, validating model predictions against independent tracking data. Medium-sized petrels (99.8%), especially Great Shearwaters (Ardenna gravis, 63%), accounted for the majority of total avian biomass, which correlated at the macroscale with net primary production and peaked at the sub-polar front. At the mesoscale, the density of each species was associated with sea surface temperature, indicating zonation by water mass. Most species also exhibited scale-dependent associations with eddies and fronts. Approximately 51, 26, 23, 7 and 1 % of the currently estimated Atlantic populations of Cory's Shearwaters (Calonectris borealis), Great Shearwaters, Sooty Shearwaters (A. grisea), Northern Fulmars (Fulmarus glacialis) and Leach's Storm-petrels (Oceanodroma leucorhoa) occurred in the area during our survey, many of which were undergoing moult (a vital maintena nce activity). For some species, these estimates are higher than suggested by tracking, probably due to the presence of immatures and birds from untracked populations. Our results support the conclusion that MPA status is warranted and provide a baseline against which future changes can be assessed. Moreover, they indicate potential drivers of seabird abundance and diversity in the oceanic zone of the North Atlantic that should be investigated further.</t>
  </si>
  <si>
    <t>[Wakefield, Ewan D.; Miller, Julie A. O.; Pinder, Simon J.; Matthiopoulos, Jason] Univ Glasgow, Inst Biodivers, Anim Hlth &amp; Comparat Med, Graham Kerr Bldg, Glasgow G12 8QQ, Lanark, Scotland; [Miller, David L.] Univ St Andrews, Ctr Res Ecol &amp; Environm Modelling, Observ, Buchanan Gardens, St Andrews KY16 9LZ, Fife, Scotland; [Miller, David L.] Univ St Andrews, Sch Math &amp; Stat, Observ, Buchanan Gardens, St Andrews KY16 9LZ, Fife, Scotland; [Bond, Sarah L.] Bangor Univ, Sch Ocean Sci, Menai Bridge LL59 5AB, Gwynedd, Wales; [le Bouard, Fabrice] RSPB Ctr Conservat Sci, Royal Soc Protect Birds, Sandy SG19 2DL, Beds, England; [Carvalho, Paloma C.] Univ Manitoba, Ctr Earth Observat Sci CEOS, Winnipeg, MB R3T 2N2, Canada; [Catry, Paulo] ISPA Inst Univ Rio, Marine &amp; Environm Sci Ctr MARE, Rua Jardim Tabaco 34, P-1149041 Lisbon, Portugal; [Dilley, Ben J.; Ryan, Peter M.] Univ Cape Town, Fitz Patrick Inst African Ornithol, DST NRF Ctr Excellence, ZA-7701 Rondebosch, South Africa; [Fifield, David A.] Environm &amp; Climate Change Canada, Wildlife Res Div, Sci &amp; Technol Branch, Mt Pearl, NB, Canada; [Gjerdrum, Carina] Canadian Wildlife Serv, 45 Alderney Dr, Dartmouth, NS B2Y 2N6, Canada; [Gonzalez-Solis, Jacob] Univ Barcelona, Inst Recerca Biodiversitat IRBio, Barcelona, Spain; [Gonzalez-Solis, Jacob] Univ Barcelona, Dept Biol Evolutiva Ecol &amp; Ciencies Ambientals BE, Barcelona, Spain; [Hogan, Holly] 29 Connemara Pl, St John, NF A1A 3E3, Canada; [Laptikhovsky, Vladimir] Ctr Environm Fisheries &amp; Aquaculture Sci, Pakefield Rd, Lowestoft NR33 0HT, Suffolk, England; [Merkel, Benjamin] Fram Ctr, Akvaplan Niva, POB 6606 Langnes, N-9296 Tromso, Norway; [Pinder, Simon J.] Remote Sensing Grp, Plymouth Marine Lab, Prospect Pl, Plymouth PL1 3DH, Devon, England; [Pipa, Tania] Portuguese Soc Study Birds, Lisbon, Portugal; [Thompson, Laura A.] Univ Glasgow, Sch Geog &amp; Earth Sci, Glasgow G12 8QQ, Lanark, Scotland; [Thompson, Paul M.] Univ Aberdeen, Sch Biol Sci, Lighthouse Field Stn, Cromarty V11 8YL, Rossshire, Scotland</t>
  </si>
  <si>
    <t>University of Glasgow; University of St Andrews; University of St Andrews; Bangor University; Royal Society for Protection of Birds; University of Manitoba; University of Cape Town; National Research Foundation - South Africa; Environment &amp; Climate Change Canada; Canadian Wildlife Service; Wildlife Research Division - Environment Canada; Environment &amp; Climate Change Canada; Canadian Wildlife Service; University of Barcelona; University of Barcelona; Centre for Environment Fisheries &amp; Aquaculture Science; Akvaplan-niva; Plymouth Marine Laboratory; University of Glasgow; University of Aberdeen</t>
  </si>
  <si>
    <t>Wakefield, ED (corresponding author), Univ Glasgow, Inst Biodivers, Anim Hlth &amp; Comparat Med, Graham Kerr Bldg, Glasgow G12 8QQ, Lanark, Scotland.</t>
  </si>
  <si>
    <t>Ewan.Wakefield@glasgow.ac.uk</t>
  </si>
  <si>
    <t>Catry, Paulo/I-5408-2013; Gonzalez-Solis, Jacob/C-3942-2008; l, k/JQW-6947-2023; González-Solís, Jacob/AAB-1161-2019; Thompson, Laura Lea/HSC-9374-2023; Matthiopoulos, Jason/N-9808-2013; Miller, Peter I./E-4525-2013</t>
  </si>
  <si>
    <t>Gonzalez-Solis, Jacob/0000-0002-8691-9397; Matthiopoulos, Jason/0000-0003-3639-8172; Miller, Peter I./0000-0002-5292-8789; Ryan, Peter/0000-0002-3356-2056</t>
  </si>
  <si>
    <t>UK Natural Environmental Research Council (NERC) [NE/M017990/1]; Fundacao para a Ciencia e a Tecnologia (FCT) [MARE-UIDB/04292/2020, UIDP/04292/2020]; Norwegian Ministry of Climate and Environment; Norwegian Ministry of Foreign Affairs; Norwegian Oil and Gas Association; NERC [NE/M017990/1] Funding Source: UKRI</t>
  </si>
  <si>
    <t>UK Natural Environmental Research Council (NERC)(UK Research &amp; Innovation (UKRI)Natural Environment Research Council (NERC)); Fundacao para a Ciencia e a Tecnologia (FCT)(Fundacao para a Ciencia e a Tecnologia (FCT)); Norwegian Ministry of Climate and Environment; Norwegian Ministry of Foreign Affairs; Norwegian Oil and Gas Association; NERC(UK Research &amp; Innovation (UKRI)Natural Environment Research Council (NERC))</t>
  </si>
  <si>
    <t>Funding was provided by the UK Natural Environmental Research Council (NERC) [grant number NE/M017990/1] and Fundacao para a Ciencia e a Tecnologia (FCT) [grant numbers MARE-UIDB/04292/2020 and UIDP/04292/2020] . Remotely-sensed data were supplied by the NERC Earth Observation Data Acquisition and Analysis Service (NEO-DAAS) and the Copernicus Marine Service. Permission to track birds was provided by the Tristan da Cunha Government (Gough Island) , the Falkland Islands Government (permit R09/2016, Kidney Island) , the Regiao Autonoma dos Acores (permit 84/2016/DRA, Corvo) , and Ork-ney Islands Council and BTO (Eynhallow) . Logistical support was pro-vided by the RSPB, FitzPatrick Institute of African Ornithology and South African National Antarctic Programme (Gough Island) , the South Atlantic Environmental Research Institute (Kidney Island) , and Socie-dade Portuguesa para o Estudo das Aves (Corvo) . Stefan Schoombie, Jose Pedro Granadeiro and Ewan Edwards provided raw GPS data to inform movement parameters used in the shearwater GLS data analysis and Rob Ronconi, Alex Bond and Gail Davoren provided advice on the study design. Support for NOFU loggers and analysis was provided through the SEATRACK project http:// www.seapop.no/en/seatrack/, funded by the Norwegian Ministries of Climate and Environment, and Foreign Affairs and the Norwegian Oil and Gas Association. We are very grateful to Captain Antonio Gatti and the crew of the RRS Discovery, the many fieldworkers who deployed/recovered the GLS tags and Igor Belkin, who generously provided constructive advice on the study design and manuscript.</t>
  </si>
  <si>
    <t>10.1016/j.pocean.2021.102657</t>
  </si>
  <si>
    <t>WOS:000703808100002</t>
  </si>
  <si>
    <t>Nesteruk, S; Shadrin, D; Pukalchik, M; Somov, A; Zeidler, C; Zabel, P; Schubert, D</t>
  </si>
  <si>
    <t>Nesteruk, Sergey; Shadrin, Dmitrii; Pukalchik, Mariia; Somov, Andrey; Zeidler, Conrad; Zabel, Paul; Schubert, Daniel</t>
  </si>
  <si>
    <t>Image Compression and Plants Classification Using Machine Learning in Controlled-Environment Agriculture: Antarctic Station Use Case</t>
  </si>
  <si>
    <t>IEEE SENSORS JOURNAL</t>
  </si>
  <si>
    <t>Image coding; Cameras; Agriculture; Antarctica; Plants (biology); Monitoring; Machine learning; Classification; computer vision; controlled-environment agriculture; image compression; machine learning</t>
  </si>
  <si>
    <t>GREENHOUSE</t>
  </si>
  <si>
    <t>In this article, we share our experience in the scope of controlled-environment agriculture automation in the Antarctic station greenhouse facility called EDEN ISS. For remote plant monitoring, control, and maintenance, we solve the problem of plant classification. Due to the inherent communication limitations between Antarctica and Europe, we first propose the image compression mechanism for the data collection. We show that we can compress the images, on average, 7.2 times for efficient transmission over the weak channel. Moreover, we prove that decompressed images can be further used for computer vision applications. Upon decompressing images, we apply machine learning for the classification task. We achieve 92.6% accuracy on an 18-classes unbalanced dataset. The proposed approach is promising for a number of agriculture related applications, including the plant classification, identification of plant diseases, and deviation of plant phenology.</t>
  </si>
  <si>
    <t>[Nesteruk, Sergey; Shadrin, Dmitrii; Pukalchik, Mariia; Somov, Andrey] Skolkovo Inst Sci &amp; Technol, Ctr Computat &amp; Data Intens Sci &amp; Engn CDISE, Moscow 121205, Russia; [Zeidler, Conrad; Zabel, Paul; Schubert, Daniel] German Aerosp Ctr DLR, Inst Space Syst, D-28359 Bremen, Germany</t>
  </si>
  <si>
    <t>Skolkovo Institute of Science &amp; Technology; Helmholtz Association; German Aerospace Centre (DLR)</t>
  </si>
  <si>
    <t>Somov, A (corresponding author), Skolkovo Inst Sci &amp; Technol, Ctr Computat &amp; Data Intens Sci &amp; Engn CDISE, Moscow 121205, Russia.</t>
  </si>
  <si>
    <t>Somov, Andrey/AAY-9278-2021; Nesteruk, Sergey/AAQ-9698-2021; Zabel, Paul/HQZ-9029-2023</t>
  </si>
  <si>
    <t>Somov, Andrey/0000-0002-4615-3008; Nesteruk, Sergey/0000-0002-9740-6685; Zabel, Paul/0000-0001-7907-9230; Schubert, Daniel/0000-0003-4969-486X</t>
  </si>
  <si>
    <t>Ministry of Science and Higher Education of the Russian Federation [075-10-2020-091, 14.756.31.0001]; European Union [636501, COMPET-07-2014]</t>
  </si>
  <si>
    <t>Ministry of Science and Higher Education of the Russian Federation; European Union(European Union (EU))</t>
  </si>
  <si>
    <t>This work was supported in part by the Ministry of Science and Higher Education of the Russian Federation under Agreement 075-10-2020-091 and Grant 14.756.31.0001; and in part by the European Union's Horizon 2020 Research and Innovation Program via the COMPET-07-2014-Space Exploration-Life Support Subprogramme under Grant 636501. The associate editor coordinating the review of this article and approving it for publication was Dr. Hari P. Gupta.</t>
  </si>
  <si>
    <t>1530-437X</t>
  </si>
  <si>
    <t>1558-1748</t>
  </si>
  <si>
    <t>IEEE SENS J</t>
  </si>
  <si>
    <t>IEEE Sens. J.</t>
  </si>
  <si>
    <t>AUG 15</t>
  </si>
  <si>
    <t>10.1109/JSEN.2021.3050084</t>
  </si>
  <si>
    <t>Engineering, Electrical &amp; Electronic; Instruments &amp; Instrumentation; Physics, Applied</t>
  </si>
  <si>
    <t>Engineering; Instruments &amp; Instrumentation; Physics</t>
  </si>
  <si>
    <t>TZ8FZ</t>
  </si>
  <si>
    <t>WOS:000684707400022</t>
  </si>
  <si>
    <t>Barbraud, C; Delord, K; Le Bouard, F; Harivel, R; Demay, J; Chaigne, A; Micol, T</t>
  </si>
  <si>
    <t>Barbraud, Christophe; Delord, Karine; Le Bouard, Fabrice; Harivel, Roald; Demay, Jeremie; Chaigne, Adrien; Micol, Thierry</t>
  </si>
  <si>
    <t>Seabird population changes following mammal eradication at oceanic Saint-Paul Island, Indian Ocean</t>
  </si>
  <si>
    <t>JOURNAL FOR NATURE CONSERVATION</t>
  </si>
  <si>
    <t>Rats; Island restoration; Petrels; Population growth rate; Shearwaters; Terns</t>
  </si>
  <si>
    <t>DEMOGRAPHY; AMSTERDAM; FISHERIES; RESPONSES; PREDATOR; CLIMATE; THREATS; SOUTH</t>
  </si>
  <si>
    <t>The eradication of invasive mammals on islands is important for protecting seabird populations and insular ecosystems. However, the impacts of such eradications are insufficiently known because monitoring of potentially beneficiary species is often sporadic and limited. We performed a survey of all seabird species on Saint-Paul Island, southern Indian Ocean, 20 years after successful eradication of invasive black rat (Rattus rattus) and European rabbit (Oryctolagus cuniculus). Using complementary sampling designs including adaptive cluster sampling, stratified random sampling and entire sampling, we estimated population changes and colonization by new seabird species. A total of 13 seabird species were found breeding on Saint-Paul post-eradication compared to six before the eradication. Among the seven species that colonized the island, five (MacGillivray's prion Pachyptila macgillivrayi, fairy prion P. turtur, white-bellied storm petrel Fregetta grallaria, Antarctic tern Sterna vittata, sooty tern Onychoprion fuscatus) had relictual populations breeding on a nearby islet, and one (brown skua Catharacta antarctica) was a new breeding species. We also found breeding subantarctic little shearwaters Puffinus elegans. For species that were breeding on the Saint Paul pre-eradication, the mean annual population growth rate was 1.030 +/- 0.093 (SE). Species known to be vulnerable to rat predation (prions, great-winged petrel Pterodroma macroptera, flesh-footed shearwater Puffinus carneipes, subantarctic little shearwater, white-bellied storm petrel, Antarctic tern) had the highest population growth rates. Two decades after the eradication of invasive mammals on a remote oceanic island, seabird populations were high beneficiaries. These findings further highlight the importance of invasive mammal eradication on islands as a conservation tool. Results are encouraging for the planned eradication of invasive mammals from nearby Amsterdam Island, and suggest this will mainly benefit terns and small burrowing petrels.</t>
  </si>
  <si>
    <t>[Barbraud, Christophe; Delord, Karine; Demay, Jeremie] CNRS, Ctr Etud Biol Chize, UMR7372, F-79360 Villiers En Bois, France; [Le Bouard, Fabrice; Harivel, Roald; Chaigne, Adrien; Micol, Thierry] TAAF, Reserve Nat Natl Terres Australes Francaises, Rue Gabriel Dejean, F-97458 St Pierre, France; [Demay, Jeremie] Conservatoire Espaces Nat Languedoc Roussilon, Chemin Salins, F-34750 Salines De Villeneuve, Villeneuve Les, France; [Micol, Thierry] Fonderies Royal, Ligue Protect Oiseaux, 8 Rue Docteur Pujos, F-17300 Rochefort, France</t>
  </si>
  <si>
    <t>Barbraud, C (corresponding author), CNRS, Ctr Etud Biol Chize, UMR7372, F-79360 Villiers En Bois, France.</t>
  </si>
  <si>
    <t>barbraud@cebc.cnrs.fr</t>
  </si>
  <si>
    <t>Barbraud, Christophe/A-5870-2012</t>
  </si>
  <si>
    <t>Barbraud, Christophe/0000-0003-0146-212X</t>
  </si>
  <si>
    <t>1617-1381</t>
  </si>
  <si>
    <t>1618-1093</t>
  </si>
  <si>
    <t>J NAT CONSERV</t>
  </si>
  <si>
    <t>J. Nat. Conserv.</t>
  </si>
  <si>
    <t>10.1016/j.jnc.2021.126049</t>
  </si>
  <si>
    <t>UU1MY</t>
  </si>
  <si>
    <t>WOS:000698568400008</t>
  </si>
  <si>
    <t>Frankish, CK; Cunningham, C; Manica, A; Clay, TA; Prince, S; Phillips, RA</t>
  </si>
  <si>
    <t>Frankish, Caitlin K.; Cunningham, Cleo; Manica, Andrea; Clay, Thomas A.; Prince, Stephanie; Phillips, Richard A.</t>
  </si>
  <si>
    <t>Tracking juveniles confirms fisheries-bycatch hotspot for an endangered albatross</t>
  </si>
  <si>
    <t>Albatross; Biologging; Bycatch mitigation; Longline fisheries; Marine megafauna; Ontogeny; Seabird bycatch</t>
  </si>
  <si>
    <t>BLACK-BROWED ALBATROSSES; WANDERING ALBATROSSES; DIOMEDEA-EXULANS; SPATIAL OVERLAP; CONSERVATION; MANAGEMENT; LONGLINE; OCEAN; AGE</t>
  </si>
  <si>
    <t>Fisheries bycatch is a major threat to marine megafauna such as seabirds. Population monitoring has revealed low survival of juvenile seabirds over recent decades, potentially because naive individuals are more susceptible to bycatch than adults. However, major gaps remain in our knowledge of behavior and interaction of juveniles with fisheries. Here, we tracked juvenile grey-headed albatrosses (Thalassarche chrysostoma) from South Georgia the largest global population of this endangered species, and in rapid decline - to investigate their at-sea distribution and assess bycatch risk. Fledged juveniles dispersed to the northeast, overlapping with a bycatch hotspot for grey-headed albatrosses reported by the Japanese pelagic longline fleet in the southeast Atlantic Ocean. Given adult grey-headed albatrosses use regions less exposed to fishing activity (&lt; 40S), the majority of birds bycaught in this area are probably juveniles, and possibly immatures, from South Georgia, likely representing a key factor explaining the sustained population decline. Our study highlights the urgent need to uncover the 'lost-years' for marine megafauna to enable focused conservation efforts.</t>
  </si>
  <si>
    <t>[Frankish, Caitlin K.; Phillips, Richard A.] British Antarctic Survey, Nat Environm Res Council, Madingley Rd, Cambridge CB3 0ET, England; [Frankish, Caitlin K.; Manica, Andrea] Univ Cambridge, Dept Zool, Downing St, Cambridge CB2 3EJ, England; [Cunningham, Cleo] United Nations Environm Programme World Conservat, 219 Huntingdon Rd, Cambridge CB3 0DL, England; [Clay, Thomas A.] Univ Liverpool, Sch Environm Sci, 4 Brownlow St, Liverpool L3 5DA, Merseyside, England; [Clay, Thomas A.] Univ Calif Santa Cruz, Inst Marine Sci, Santa Cruz, CA 95064 USA; [Prince, Stephanie] Royal Soc Protect Birds, Potton Rd, Sandy SG19 2DL, Beds, England</t>
  </si>
  <si>
    <t>UK Research &amp; Innovation (UKRI); Natural Environment Research Council (NERC); NERC British Antarctic Survey; University of Cambridge; University of Liverpool; University of California System; University of California Santa Cruz; Royal Society for Protection of Birds</t>
  </si>
  <si>
    <t>Frankish, CK (corresponding author), British Antarctic Survey, Nat Environm Res Council, Madingley Rd, Cambridge CB3 0ET, England.</t>
  </si>
  <si>
    <t>cakish36@bas.ac.uk</t>
  </si>
  <si>
    <t>Manica, Andrea/N-9013-2019; Clay, Tommy/W-4867-2019; Frankish, Caitlin/AAQ-1321-2020</t>
  </si>
  <si>
    <t>Manica, Andrea/0000-0003-1895-450X; Clay, Tommy/0000-0002-0644-6105; Frankish, Caitlin/0000-0002-4930-6153</t>
  </si>
  <si>
    <t>NERC [NE/L002507/1]; David and Lucile Packard Foundation, through the BirdLife International Global Seabird Programme; South Georgia Heritage Trust; Friends of South Georgia Island; Government of South Georgia; South Sandwich Islands; Royal Society for the Protection of Birds (RSPB)</t>
  </si>
  <si>
    <t>NERC(UK Research &amp; Innovation (UKRI)Natural Environment Research Council (NERC)); David and Lucile Packard Foundation, through the BirdLife International Global Seabird Programme; South Georgia Heritage Trust; Friends of South Georgia Island; Government of South Georgia; South Sandwich Islands; Royal Society for the Protection of Birds (RSPB)</t>
  </si>
  <si>
    <t>We are grateful to all the fieldworkers involved in the device deployment and retrieval and to Andy Wood for database support. This study represents a contribution to the Ecosystems component of the British Antarctic Survey Polar Science for Planet Earth Programme, funded by NERC. The tracking devices were funded by the David and Lucile Packard Foundation, through the BirdLife International Global Seabird Programme, and by the South Georgia Heritage Trust, and the Friends of South Georgia Island. We also wish to express gratitude to the National Research Institute of Far Seas Fisheries (NRIFSF) for useful discussions, and in particular, Dr Daisuke Ochi. Thanks also to Dr Yasuko Suzuki of BirdLife International for useful advice. CFK was supported by a studentship co-funded by NERC (Grant Number: NE/L002507/1) and the Government of South Georgia and the South Sandwich Islands, with CASE funding from the Royal Society for the Protection of Birds (RSPB) .</t>
  </si>
  <si>
    <t>10.1016/j.biocon.2021.109288</t>
  </si>
  <si>
    <t>UO5FN</t>
  </si>
  <si>
    <t>WOS:000694720000004</t>
  </si>
  <si>
    <t>Ji, Q; Pang, XP; Zhao, X; Lei, RB</t>
  </si>
  <si>
    <t>Ji, Qing; Pang, Xiaoping; Zhao, Xi; Lei, Ruibo</t>
  </si>
  <si>
    <t>Snow features on sea ice in the western Arctic Ocean during summer 2016</t>
  </si>
  <si>
    <t>INTERNATIONAL JOURNAL OF DIGITAL EARTH</t>
  </si>
  <si>
    <t>Snow cover; snow grain size; snow stratigraphy; remote sensing</t>
  </si>
  <si>
    <t>GRAIN-SIZE; THICKNESS; DEPTH; SCATTERING; RETRIEVAL</t>
  </si>
  <si>
    <t>Arctic sea ice and its snow cover are important components of the cryosphere and the climate system. A series of in situ snow measurements were conducted during the seventh Chinese Arctic expedition in summer 2016 in the western Arctic Ocean. In this study, we made an analysis of snow features on Arctic sea ice based on in situ observations and the satellite-derived parameter of snow grain size from MODIS spectral reflectance data. Results indicate that snow depth on Arctic sea ice varied between 19 and 241 mm, with a mean value of 100 mm. The mean density of the snow was 340.4 kg/m(3) during the expedition, which was higher than that reported in previous literature. The measurements revealed that a depth hoar layer was widely developed in the snow, accounting for 30%similar to 50% of the total snow depth. The equivalent snow grain size was small on the surface and large at the bottom in snow pits. The average relative error between MODIS-derived snow grain size and in situ measured surface snow grain size is 14.6%, indicating that remote sensing is a promising method to obtain large-scale information of snow grain size on Arctic sea ice.</t>
  </si>
  <si>
    <t>[Ji, Qing; Pang, Xiaoping; Zhao, Xi] Wuhan Univ, Chinese Antarctic Ctr Surveying &amp; Mapping, Wuhan, Peoples R China; [Lei, Ruibo] Polar Res China, Shanghai, Peoples R China</t>
  </si>
  <si>
    <t>Ji, Q (corresponding author), 129 Luoyu Rd, Wuhan, Hubei, Peoples R China.</t>
  </si>
  <si>
    <t>jiqing@whu.edu.cn</t>
  </si>
  <si>
    <t>Zhao, Xi/0000-0003-2274-891X</t>
  </si>
  <si>
    <t>National Key Research and Development Program of China [2017YFA0603104, 2018YFA0605903]; Special Fund for High Resolution Images Surveying and Mapping Application [42-Y30B04-9001-19/21]; National Natural Science Foundation of China [42076235]</t>
  </si>
  <si>
    <t>National Key Research and Development Program of China; Special Fund for High Resolution Images Surveying and Mapping Application; National Natural Science Foundation of China(National Natural Science Foundation of China (NSFC))</t>
  </si>
  <si>
    <t>This work was supported by the National Key Research and Development Program of China: [grant number 2017YFA0603104], [grant number 2018YFA0605903]; the Special Fund for High Resolution Images Surveying and Mapping Application: [grant number 42-Y30B04-9001-19/21]; the National Natural Science Foundation of China: [grant number 42076235].</t>
  </si>
  <si>
    <t>1753-8947</t>
  </si>
  <si>
    <t>1753-8955</t>
  </si>
  <si>
    <t>INT J DIGIT EARTH</t>
  </si>
  <si>
    <t>Int. J. Digit. Earth</t>
  </si>
  <si>
    <t>10.1080/17538947.2021.1966524</t>
  </si>
  <si>
    <t>Geography, Physical; Remote Sensing</t>
  </si>
  <si>
    <t>Physical Geography; Remote Sensing</t>
  </si>
  <si>
    <t>WA1UY</t>
  </si>
  <si>
    <t>WOS:000685015900001</t>
  </si>
  <si>
    <t>Sykora-Bodie, ST; Alvarez-Romero, JG; Arata, JA; Dunn, A; Hinke, JT; Humphries, G; Jones, C; Skogrand, P; Teschke, K; Trathan, PN; Welsford, D; Ban, NC; Murray, G; Gill, DA</t>
  </si>
  <si>
    <t>Sykora-Bodie, Seth T.; Alvarez-Romero, Jorge G.; Arata, Javier A.; Dunn, Alistair; Hinke, Jefferson T.; Humphries, Grant; Jones, Christopher; Skogrand, Pal; Teschke, Katharina; Trathan, Philip N.; Welsford, Dirk; Ban, Natalie C.; Murray, Grant; Gill, David A.</t>
  </si>
  <si>
    <t>Using Forecasting Methods to Incorporate Social, Economic, and Political Considerations Into Marine Protected Area Planning</t>
  </si>
  <si>
    <t>Antarctica; CCAMLR; conservation planning; expert elicitation; forecasting; marine conservation; marine protected areas; Southern Ocean</t>
  </si>
  <si>
    <t>EXPERT ELICITATION; BIODIVERSITY CONSERVATION; CLIMATE-CHANGE; MANAGEMENT; FISHERIES; DESIGN; FEASIBILITY; UNCERTAINTY; KNOWLEDGE; RESERVES</t>
  </si>
  <si>
    <t>As the global environmental crisis grows in scale and complexity, conservation professionals and policymakers are increasingly called upon to make decisions despite high levels of uncertainty, limited resources, and insufficient data. Global efforts to protect biodiversity in areas beyond national jurisdiction require substantial international cooperation and negotiation, both of which are characterized by unpredictability and high levels of uncertainty. Here we build on recent studies to adapt forecasting techniques from the fields of hazard prediction, risk assessment, and intelligence analysis to forecast the likelihood of marine protected area (MPA) designation in the Southern Ocean. We used two questionnaires, feedback, and a discussion round in a Delphi-style format expert elicitation to obtain forecasts, and collected data on specific biophysical, socioeconomic, geopolitical, and scientific factors to assess how they shape and influence these forecasts. We found that areas further north along the Western Antarctic Peninsula were considered to be less likely to be designated than areas further south, and that geopolitical factors, such as global politics or events, and socioeconomic factors, such as the presence of fisheries, were the key determinants of whether an area was predicted to be more or less likely to be designated as an MPA. Forecasting techniques can be used to inform protected area design, negotiation, and implementation in highly politicized situations where data is lacking by aiding with spatial prioritization, targeting scarce resources, and predicting the success of various spatial arrangements, interventions, or courses of action.</t>
  </si>
  <si>
    <t>[Sykora-Bodie, Seth T.; Murray, Grant; Gill, David A.] Duke Univ, Nicholas Sch Environm, Div Marine Sci &amp; Conservat, Beaufort, NC 28516 USA; [Alvarez-Romero, Jorge G.] James Cook Univ, Australian Res Council, Ctr Excellence Coral Reef Studies, Townsville, Qld, Australia; [Arata, Javier A.] Assoc Responsible Krill Harvesting Co ARK, Toronto, ON, Canada; [Dunn, Alistair] Ocean Environm Ltd, Wellington, New Zealand; [Hinke, Jefferson T.; Jones, Christopher] NOAA, Antarctic Ecosyst Res Div, Southwest Fisheries Sci Ctr, Natl Marine Fisheries Serv, La Jolla, CA USA; [Humphries, Grant] Black Bawks Data Sci Ltd, Invergarry, Scotland; [Skogrand, Pal] Aker BioMarine, Oslo, Norway; [Teschke, Katharina] Helmholtz Zentrum Polar &amp; Meeresforsch, Alfred Wegener Inst, Bremerhaven, Germany; [Teschke, Katharina] Univ Oldenburg HiFMB, Helmholtz Inst Funct Marine Biodivers, Oldenburg, Germany; [Trathan, Philip N.] British Antarctic Survey, Cambridge, England; [Welsford, Dirk] Australian Antarctic Div, Dept Agr Water &amp; Environm, Kingston, Tas, Australia; [Ban, Natalie C.] Univ Victoria, Sch Environm Studies, Victoria, BC, Canada</t>
  </si>
  <si>
    <t>Duke University; James Cook University; National Oceanic Atmospheric Admin (NOAA) - USA; Helmholtz Association; Alfred Wegener Institute, Helmholtz Centre for Polar &amp; Marine Research; UK Research &amp; Innovation (UKRI); Natural Environment Research Council (NERC); NERC British Antarctic Survey; Australian Antarctic Division; University of Victoria</t>
  </si>
  <si>
    <t>Sykora-Bodie, ST (corresponding author), Duke Univ, Nicholas Sch Environm, Div Marine Sci &amp; Conservat, Beaufort, NC 28516 USA.</t>
  </si>
  <si>
    <t>sethsykorabodie@gmail.com</t>
  </si>
  <si>
    <t>Ban, Natalie C/C-6938-2009; Alvarez-Romero, Jorge/A-4557-2009; Arata, Javier A./U-9754-2017</t>
  </si>
  <si>
    <t>Alvarez-Romero, Jorge/0000-0002-1141-0588; Arata, Javier A./0000-0001-7320-0511; Teschke, Katharina/0000-0001-9595-7443</t>
  </si>
  <si>
    <t>Duke University; Australian Government; Endeavor Research Fellowship Programme; French Government; Chateaubriand STEM Research Fellowship; Australian Research Council; NERC [bas0100035] Funding Source: UKRI</t>
  </si>
  <si>
    <t>Duke University; Australian Government(Australian Government); Endeavor Research Fellowship Programme; French Government; Chateaubriand STEM Research Fellowship; Australian Research Council(Australian Research Council); NERC(UK Research &amp; Innovation (UKRI)Natural Environment Research Council (NERC))</t>
  </si>
  <si>
    <t>SS-B would like to thank Duke University, the Australian Government and Endeavor Research Fellowship Programme, and the French Government and the Chateaubriand STEM Research Fellowship for funding. JA-R acknowledges the support of the Australian Research Council.</t>
  </si>
  <si>
    <t>AUG 13</t>
  </si>
  <si>
    <t>10.3389/fmars.2021.669135</t>
  </si>
  <si>
    <t>UL3JU</t>
  </si>
  <si>
    <t>WOS:000692552400001</t>
  </si>
  <si>
    <t>La Mesa, M; Donato, F; Riginella, E</t>
  </si>
  <si>
    <t>La Mesa, Mario; Donato, Fortunata; Riginella, Emilio</t>
  </si>
  <si>
    <t>Biological aspects of a rare nototheniid fish, Trematomus tokarevi, from the Weddell Sea (Antarctica)</t>
  </si>
  <si>
    <t>Antarctic fish; Bigeye notothen; Biology; Reproduction; Age</t>
  </si>
  <si>
    <t>DEMERSAL FISH</t>
  </si>
  <si>
    <t>The bigeye notothen, Trematomus tokarevi, is a rare nototheniid fish with a putative circum-Antarctic distribution. Due to its prevalent deep water occurrence, this species is rarely caught and its biology poorly known. In addition, this species has been often misidentified with Trematomus nicolai, a morphologically similar species with a partially overlapping distribution. The odd catch of a few specimens of T. tokarevi in the southern Weddell Sea enabled us to provide for the first time preliminary data on reproductive traits and individual age of this species. Fish sample consisted of five females, collected in the austral summer north east of the Filchner Trough at about 750 m depth. Based on histological analyses of gonads, smaller females were in early developing phase, whilst larger ones were regressing, suggesting a summer spawning season, as reported elsewhere. The analysis of growth rings pattern of sagittal otoliths allowed to estimate the individual age, which ranged between 4 and 10 years. In conclusion, this species exhibits most of the common biological traits described in other trematomids, although with some peculiarities, showing at the same time low fecundity and small egg size at spawning.</t>
  </si>
  <si>
    <t>[La Mesa, Mario] CNR, Ist Sci Polari ISP, Area Ric Bologna,Via P Gobetti 101, I-40129 Bologna, Italy; [Donato, Fortunata] CNR, Ist Risorse Biol &amp; Biotecnol Marine IRBIM, Sede Ancona,Largo Fiera Pesca, I-60125 Ancona, Italy; [Riginella, Emilio] Stn Zool Anton Dohrn, Dipartimento Ecol Marina Integrata, Villa Comunale, I-80121 Naples, Italy</t>
  </si>
  <si>
    <t>Consiglio Nazionale delle Ricerche (CNR); Istituto di Scienze Polari (ISP-CNR); Consiglio Nazionale delle Ricerche (CNR); Istituto per le Risorse Biologiche Biotecnologie Marine (IRBIM-CNR); Stazione Zoologica Anton Dohrn di Napoli</t>
  </si>
  <si>
    <t>La Mesa, M (corresponding author), CNR, Ist Sci Polari ISP, Area Ric Bologna,Via P Gobetti 101, I-40129 Bologna, Italy.</t>
  </si>
  <si>
    <t>mario.lamesa@cnr.it</t>
  </si>
  <si>
    <t>Riginella, Emilio/Q-2987-2019</t>
  </si>
  <si>
    <t>Riginella, Emilio/0000-0002-1442-8310; Donato, Fortunata/0009-0000-4836-8216</t>
  </si>
  <si>
    <t>Italian National Antarctic Research Program (PNRA) [2013/C1.07]</t>
  </si>
  <si>
    <t>Italian National Antarctic Research Program (PNRA)(Ministry of Education, Universities and Research (MIUR))</t>
  </si>
  <si>
    <t>We would like sincerely thank the captain, the crew members and the scientific personnel working aboard the RV Polarstern during the cruise ANT-XXXI/2 (PS96) for their invaluable support during the field sampling activities. We thank Thomas Desvignes, Mauricio F. Landaeta and an anonymous reviewer for the valuable comments on the early version of manuscript. The study was conducted within the project 2013/C1.07, with the financial support of the Italian National Antarctic Research Program (PNRA).</t>
  </si>
  <si>
    <t>10.1007/s00300-021-02928-y</t>
  </si>
  <si>
    <t>WOS:000684781600001</t>
  </si>
  <si>
    <t>Hara, K; Nishita-Hara, C; Osada, K; Yabuki, M; Yamanouchi, T</t>
  </si>
  <si>
    <t>Hara, Keiichiro; Nishita-Hara, Chiharu; Osada, Kazuo; Yabuki, Masanori; Yamanouchi, Takashi</t>
  </si>
  <si>
    <t>Characterization of aerosol number size distributions and their effect on cloud properties at Syowa Station, Antarctica</t>
  </si>
  <si>
    <t>PARTICLE FORMATION EVENTS; KING SEJONG STATION; SEA-SALT; ATMOSPHERIC AEROSOL; SEASONAL-VARIATIONS; IODINE EMISSIONS; BOUNDARY-LAYER; CHEMISTRY; FEATURES; ICE</t>
  </si>
  <si>
    <t>We took aerosol measurements at Syowa Station, Antarctica, to characterize the aerosol number-size distribution and other aerosol physicochemical properties in 2004-2006. Four modal structures (i.e., mono-, bi-, tri-, and quad-modal) were identified in aerosol size distributions during measurements. Particularly, tri-modal and quad-modal structures were associated closely with new particle formation (NPF). To elucidate where NPF proceeds in the Antarctic, we compared the aerosol size distributions and modal structures to air mass origins computed using backward trajectory analysis. Results of this comparison imply that aerosol size distributions involved with fresh NPF (quad-modal distributions) were observed in coastal and continental free troposphere (FT; 12% of days) areas and marine and coastal boundary layers (1 %) during September-October and March and in coastal and continental FT (3 %) areas and marine and coastal boundary layers (8 %) during December-February. Photochemical gaseous products, coupled with ultraviolet (UV) radiation, play an important role in NPF, even in the Antarctic troposphere. With the existence of the ozone hole in the Antarctic stratosphere, more UV radiation can enhance atmospheric chemistry, even near the surface in the Antarctic. However, linkage among tropospheric aerosols in the Antarctic, ozone hole, and UV enhancement is unknown. Results demonstrated that NPF started in the Antarctic FT already at the end of August-early September by UV enhancement resulting from the ozone hole. Then, aerosol particles supplied from NPF during periods when the ozone hole appeared to grow gradually by vapor condensation, suggesting modification of aerosol properties such as number concentrations and size distributions in the Antarctic troposphere during summer. Here, we assess the hypothesis that UV enhancement in the upper troposphere by the Antarctic ozone hole modifies the aerosol population, aerosol size distribution, cloud condensation nuclei capabilities, and cloud properties in Antarctic regions during summer.</t>
  </si>
  <si>
    <t>[Hara, Keiichiro] Fukuoka Univ, Dept Earth Syst Sci, Fac Sci, Fukuoka, Fukuoka 8140180, Japan; [Nishita-Hara, Chiharu] Fukuoka Univ, Fukuoka Inst Atmospher Environm &amp; Hlth, Fukuoka, Fukuoka 8140180, Japan; [Osada, Kazuo] Nagoya Univ, Grad Sch Environm Studies, Nagoya, Aichi 4648601, Japan; [Yabuki, Masanori] Kyoto Univ, Res Inst Sustainable Humanosphere, Kyoto 6110011, Japan; [Yamanouchi, Takashi] Natl Inst Polar Res, Tokyo 1900014, Japan</t>
  </si>
  <si>
    <t>Fukuoka University; Fukuoka University; Nagoya University; Kyoto University; Research Organization of Information &amp; Systems (ROIS); National Institute of Polar Research (NIPR) - Japan</t>
  </si>
  <si>
    <t>Hara, K (corresponding author), Fukuoka Univ, Dept Earth Syst Sci, Fac Sci, Fukuoka, Fukuoka 8140180, Japan.</t>
  </si>
  <si>
    <t>harakei@fukuoka-u.ac.jp</t>
  </si>
  <si>
    <t>Yamanouchi, Takashi/P-2041-2015; Hara, Keiichiro/N-8264-2018; Osada, Kazuo/I-6395-2014</t>
  </si>
  <si>
    <t>Nishita-Hara, Chiharu/0000-0002-7258-9673; Hara, Keiichiro/0000-0001-7440-7776; Yamanouchi, Takashi/0000-0001-6803-1901; Osada, Kazuo/0000-0003-3100-5835</t>
  </si>
  <si>
    <t>Observation project of global atmospheric change in the Antarctic [JARE 43-47]; Japan Society for the Promotion of Science [16253001, 15310012, 22310013]; National Institute of Polar Research (NIPR) [KP-302]; Grants-in-Aid for Scientific Research [20K11718, 15310012, 16253001, 22310013] Funding Source: KAKEN</t>
  </si>
  <si>
    <t>Observation project of global atmospheric change in the Antarctic; Japan Society for the Promotion of Science(Ministry of Education, Culture, Sports, Science and Technology, Japan (MEXT)Japan Society for the Promotion of Science); National Institute of Polar Research (NIPR)(National Institute of Polar Research (NIPR) - Japan); Grants-in-Aid for Scientific Research(Ministry of Education, Culture, Sports, Science and Technology, Japan (MEXT)Japan Society for the Promotion of ScienceGrants-in-Aid for Scientific Research (KAKENHI))</t>
  </si>
  <si>
    <t>This study was supported financially by the Observation project of global atmospheric change in the Antarctic for JARE 43-47. This research has been supported by the Japan Society for the Promotion of Science (grant nos. 16253001, 15310012, and 22310013). This study was supported by the National Institute of Polar Research (NIPR) through project research no. KP-302.</t>
  </si>
  <si>
    <t>10.5194/acp-21-12155-2021</t>
  </si>
  <si>
    <t>UB1TW</t>
  </si>
  <si>
    <t>WOS:000685634600003</t>
  </si>
  <si>
    <t>Wang, SS; Yan, JP; Lin, Q; Zhang, MM; Xu, SQ; Zhao, SH; Ruan, MN</t>
  </si>
  <si>
    <t>Wang, Shanshan; Yan, Jinpei; Lin, Qi; Zhang, Miming; Xu, Suqing; Zhao, Shuhui; Ruan, Meina</t>
  </si>
  <si>
    <t>Formation of marine secondary aerosols in the Southern Ocean, Antarctica</t>
  </si>
  <si>
    <t>ENVIRONMENTAL CHEMISTRY</t>
  </si>
  <si>
    <t>water-soluble ion; marine secondary aerosol; formation; existence form</t>
  </si>
  <si>
    <t>METHANESULFONIC-ACID MSA; NORTH CHINA PLAIN; SEA-SALT; BOUNDARY-LAYER; WIND-SPEED; IMPACT; NITRATE; ENVIRONMENT; REGIONS; IONS</t>
  </si>
  <si>
    <t>Water soluble ions (WSIs) in aerosols, especially in marine secondary aerosols, can participate in the formation of cloud condensation nuclei (CCN) in the marine boundary layer, which can affect global climate. In our study, in-situ gas and aerosol compositions were analysed to explore the formation paths and forms of secondary aerosols in the Southern Ocean (SO) in summer. Our study provided novel data on these formation mechanisms of secondary aerosols in the SO, with potential impacts on our understanding of global climate change. Water-soluble ions (WSIs) in aerosols, especially marine secondary aerosols, may participate in the formation of cloud condensation nuclei (CCN) in the marine boundary layer and affect the global climate. However, there is still a lack of studies on the background concentrations and the formation mechanisms of marine secondary aerosols in polar areas. High time resolution concentrations of WSIs in aerosols were analysed by an in situ gas and aerosol composition monitoring system in the Southern Ocean (SO) to identify the formation of marine secondary aerosols including methanesulfonic acid (MSA), SO42- and NO3-. The average hourly mass concentration of WSIs was 663 ng m(-3) and secondary aerosols accounted for 49.8 +/- 20.2 % of the WSIs. SO42- and NO3- were mainly formed by homogeneous reaction, whereas homogeneous and heterogeneous reactions together contributed to the formation of MSA(-) in aerosols in the SO. The melting of sea ice and the increase of chlorophyll-a (Chl-a) concentration contributed to the formation of MSA(-). MSA-Na, MSA-NH4+, MSA-SO42-, MSA-Mg, MSA-K and MSA-Cl existed in marine aerosols. Secondary inorganic aerosols existed mainly in the forms of NH4NO3, (NH4)(2)SO4, Na2SO4 and MgSO4. The results enrich the data of WSI concentrations and formation mechanisms of secondary aerosols in the SO.</t>
  </si>
  <si>
    <t>[Wang, Shanshan; Yan, Jinpei; Lin, Qi; Zhang, Miming; Xu, Suqing; Zhao, Shuhui; Ruan, Meina] Minist Nat Resources, Key Lab Global Change &amp; Marine Atmospher Chem, Xiamen 361005, Peoples R China; [Wang, Shanshan; Yan, Jinpei; Lin, Qi; Zhang, Miming; Xu, Suqing; Zhao, Shuhui; Ruan, Meina] Minist Nat Resources, Inst Oceanog 3, Xiamen 361005, Peoples R China</t>
  </si>
  <si>
    <t>Ministry of Natural Resources of the People's Republic of China; Ministry of Natural Resources of the People's Republic of China; Third Institute of Oceanography, Ministry of Natural Resources</t>
  </si>
  <si>
    <t>Yan, JP (corresponding author), Minist Nat Resources, Key Lab Global Change &amp; Marine Atmospher Chem, Xiamen 361005, Peoples R China.;Yan, JP (corresponding author), Minist Nat Resources, Inst Oceanog 3, Xiamen 361005, Peoples R China.</t>
  </si>
  <si>
    <t>jpyan@tio.org.cn</t>
  </si>
  <si>
    <t>Zhang, Miming/0000-0001-5848-3672; Wang, Shanshan/0000-0002-4712-2238</t>
  </si>
  <si>
    <t>Qingdao National Laboratory for Marine Science and Technology [QNLM2016ORP0109]; Natural Science Foundation of Fujian Province, China [2019J01120]; Response and Feedback of the Southern Ocean to Climate Change [RFSOCC2020-2025]; Chinese Projects for Investigationsand Assessments of the Arctic and Antarctic; National Natural Science Foundation of China [41941014]; National Research Foundation of Korea [NRF-2019K2A9A2A06025329]; NSFC [41911540471]; China Postdoctoral Science Foundation [2021M693779]</t>
  </si>
  <si>
    <t>Qingdao National Laboratory for Marine Science and Technology; Natural Science Foundation of Fujian Province, China(Natural Science Foundation of Fujian Province); Response and Feedback of the Southern Ocean to Climate Change; Chinese Projects for Investigationsand Assessments of the Arctic and Antarctic; National Natural Science Foundation of China(National Natural Science Foundation of China (NSFC)); National Research Foundation of Korea(National Research Foundation of Korea); NSFC(National Natural Science Foundation of China (NSFC)); China Postdoctoral Science Foundation(China Postdoctoral Science Foundation)</t>
  </si>
  <si>
    <t>This study was financially supported by Qingdao National Laboratory for Marine Science and Technology [No. QNLM2016ORP0109], the Natural Science Foundation of Fujian Province, China [No. 2019J01120], the Response and Feedback of the Southern Ocean to Climate Change [RFSOCC2020-2025], the Chinese Projects for Investigations and Assessments of the Arctic and Antarctic [CHINARE2017-2020], the National Natural Science Foundation of China [No. 41941014] and the international cooperation program managed by the National Research Foundation of Korea [NRF-2019K2A9A2A06025329] and NSFC [41911540471] as well as the fellowship of China Postdoctoral Science Foundation [2021M693779].</t>
  </si>
  <si>
    <t>1448-2517</t>
  </si>
  <si>
    <t>1449-8979</t>
  </si>
  <si>
    <t>ENVIRON CHEM</t>
  </si>
  <si>
    <t>Environ. Chem.</t>
  </si>
  <si>
    <t>10.1071/EN21068</t>
  </si>
  <si>
    <t>Chemistry, Analytical; Environmental Sciences</t>
  </si>
  <si>
    <t>Chemistry; Environmental Sciences &amp; Ecology</t>
  </si>
  <si>
    <t>WV5HJ</t>
  </si>
  <si>
    <t>WOS:000684582400001</t>
  </si>
  <si>
    <t>Núñez-Flores, M; Gomez-Uchida, D; López-González, PJ</t>
  </si>
  <si>
    <t>Nunez-Flores, Monica; Gomez-Uchida, Daniel; Lopez-Gonzalez, Pablo J.</t>
  </si>
  <si>
    <t>Molecular systematics of Thouarella (Octocorallia : Primnoidae) with the description of three new species from the Southern Ocean based on combined molecular and morphological evidence</t>
  </si>
  <si>
    <t>Antarctic marine biodiversity; integrative taxonomy; species delimitation; Weddell Sea</t>
  </si>
  <si>
    <t>EVOLUTIONARY DYNAMICS; GENE TREES; GRAY; ANTHOZOA; PATTERNS; DASYSTENELLA; ALCYONACEA; DIVERSITY; RICHNESS; VERSLUYS</t>
  </si>
  <si>
    <t>Thouarella Gray, 1870, is one of the most speciose genera among gorgonians of the family Primnoidae (Cnidaria : Octocorallia : Anthozoa), being remarkably diverse in the Antarctic and sub-Antarctic seafloor. However, their diversity in the Southern Ocean is likely underestimated. Phylogenetic analyses of mitochondrial and nuclear DNA markers were integrated with species delimitation approaches as well as morphological colonial and polyps features and skeletal SEM examinations to describe and illustrate three new species within Thouarella, from the Weddell Sea, Southern Ocean: T. amundseni sp. nov., T. dolichoespinosa sp. nov. and T. pseudoislai sp. nov. Our species delimitation results suggest, for the first time, the potential presence of Antarctic and sub-Antarctic cryptic species of primnoids, based on the likely presence of sibling species within T. undulata and T. crenelata. With the three new species here described, the global diversity of Thouarella has increased to 41 species, 15 of which are endemic to the Antarctic and sub- Antarctic waters. Consequently, our results provide new steps for uncovering the shelf benthonic macrofauna's hidden diversity in the Southern Ocean. Finally, we recommend using an integrative taxonomic framework in this group of organisms and species delimitation approaches because the distinctions between some Thouarella species based only on a superficial examination of their macro- and micromorphological features is, in many cases, limited.</t>
  </si>
  <si>
    <t>[Nunez-Flores, Monica] Univ Concepcion, Programa Doctorado Sistemat &amp; Biodiversidad, Fac Ciencias Nat &amp; Oceanog, Victor Lamas 1290, Concepcion 4070386, Chile; [Nunez-Flores, Monica; Gomez-Uchida, Daniel] Univ Concepcion, Genom Ecol Evolut &amp; Conservat Lab GEECLAB, Dept Zool, Fac Ciencias Nat &amp; Oceanog, Victor Lamas 1290, Concepcion 4070386, Chile; [Nunez-Flores, Monica; Gomez-Uchida, Daniel] Univ Concepcion, Genom Ecol Evolut &amp; Conservat Lab GEECLAB, Dept Zool, Nucl Milenio INVASAL, Victor Lamas 1290, Concepcion 4070386, Chile; [Nunez-Flores, Monica; Lopez-Gonzalez, Pablo J.] Univ Seville, Biodiversidad &amp; Ecol Acuat BECA, Dept Zool, Fac Biol, Ave Reina Mercedes 6, E-41012 Seville, Spain</t>
  </si>
  <si>
    <t>Universidad de Concepcion; Universidad de Concepcion; Universidad de Concepcion; University of Sevilla</t>
  </si>
  <si>
    <t>Núñez-Flores, M (corresponding author), Univ Concepcion, Programa Doctorado Sistemat &amp; Biodiversidad, Fac Ciencias Nat &amp; Oceanog, Victor Lamas 1290, Concepcion 4070386, Chile.;Núñez-Flores, M (corresponding author), Univ Concepcion, Genom Ecol Evolut &amp; Conservat Lab GEECLAB, Dept Zool, Fac Ciencias Nat &amp; Oceanog, Victor Lamas 1290, Concepcion 4070386, Chile.;Núñez-Flores, M (corresponding author), Univ Concepcion, Genom Ecol Evolut &amp; Conservat Lab GEECLAB, Dept Zool, Nucl Milenio INVASAL, Victor Lamas 1290, Concepcion 4070386, Chile.;Núñez-Flores, M (corresponding author), Univ Seville, Biodiversidad &amp; Ecol Acuat BECA, Dept Zool, Fac Biol, Ave Reina Mercedes 6, E-41012 Seville, Spain.</t>
  </si>
  <si>
    <t>nuez.monica@gmail.com</t>
  </si>
  <si>
    <t>Gomez-Uchida, Daniel/AAB-7043-2019</t>
  </si>
  <si>
    <t>Gomez-Uchida, Daniel/0000-0002-5150-2030; Nunez Flores, Monica/0000-0002-9692-1909</t>
  </si>
  <si>
    <t>Spanish Ministry of Economy, Industry, and Competitiveness [CTM2017-83920-P]; ANID-PCHA/Doctorado Nacional [2017-21170438]; Instituto Antartico Chileno (INACH) [DG_04_19]</t>
  </si>
  <si>
    <t>Spanish Ministry of Economy, Industry, and Competitiveness(Spanish Government); ANID-PCHA/Doctorado Nacional; Instituto Antartico Chileno (INACH)</t>
  </si>
  <si>
    <t>This research is supported by the project CTM2017-83920-P (DIVERSICORAL), Spanish Ministry of Economy, Industry, and Competitiveness (P. J. Lopez-Gonzalez). M. Nunez-Flores acknowledges partial support from ANID-PCHA/Doctorado Nacional/2017-21170438, and Instituto Antartico Chileno (INACH) grant number DG_04_19.</t>
  </si>
  <si>
    <t>10.1071/IS20078</t>
  </si>
  <si>
    <t>WW8GA</t>
  </si>
  <si>
    <t>WOS:000684583400001</t>
  </si>
  <si>
    <t>Li, F; Lu, LL; Suominen, M; Kujala, P</t>
  </si>
  <si>
    <t>Li, Fang; Lu, Liangliang; Suominen, Mikko; Kujala, Pentti</t>
  </si>
  <si>
    <t>Short-term statistics of ice loads on ship bow frames in floe ice fields: Full-scale measurements in the Antarctic ocean</t>
  </si>
  <si>
    <t>MARINE STRUCTURES</t>
  </si>
  <si>
    <t>Ice load statistics; Full-scale measurement; Floe ice field; Truncated distribution; Mixture distribution; Statistical inference</t>
  </si>
  <si>
    <t>Ship operation and ice loading in floe ice fields have received considerable interest during recent years. There have been several numerical simulators developed by different institutes which can simulate ship navigation through floe ice fields and estimate ship performance and local ice loads. However, public data obtained from full-scale measurement covering comprehensively ship performance and ice loads under various ice thicknesses, concentrations and floe sizes are rare. The 2018/19 Antarctic voyage of the Polar Supply and Research Vessel (PSRV) S.A. Agulhas II gathered considerable data of the ship in floe ice fields under various thicknesses, concentrations, and floe sizes. The aim of this paper is to carry out statistical analysis to seek suitable probability distributions which adequately fit the measured ice load and therefore suitable to be used as parent distributions for long-term estimation. For this aim, three categories of probability distributions, namely standard distributions, truncated distributions and mixture distributions are tested. It is found that truncated distributions can fit the load data better than standard distributions bounded at the threshold. In addition, mixture distributions are shown to have promising features, which fit the data well and are able to separate distribution components. Subsequentially, the well-performed distributions are used as parent distributions to make long-term load estimations. The estimation results demonstrate that long-term estimations are sensitive to the selection of parent distribution, which addresses the importance of finding correct distribution to model short-term ice loads. The data of ten selected cases will be published for the use of other researchers.</t>
  </si>
  <si>
    <t>[Li, Fang; Lu, Liangliang; Suominen, Mikko; Kujala, Pentti] Aalto Univ, Sch Engn, Espoo, Finland</t>
  </si>
  <si>
    <t>Aalto University</t>
  </si>
  <si>
    <t>Li, F (corresponding author), Aalto Univ, Sch Engn, Espoo, Finland.</t>
  </si>
  <si>
    <t>fang.li@aalto.fi</t>
  </si>
  <si>
    <t>Kujala, Pentti JS/B-3780-2011; Li, Fang/B-4861-2018; Suominen, Mikko/D-6571-2012</t>
  </si>
  <si>
    <t>Li, Fang/0000-0003-0589-9644; Suominen, Mikko/0000-0001-9758-9365; Lu, Liangliang/0000-0002-2616-0438</t>
  </si>
  <si>
    <t>Lloyd's Register Foundation</t>
  </si>
  <si>
    <t>This project has received funding from the Lloyd's Register Foundation, a charitable foundation, 563 helping to protect life and property by supporting engineering-related education, public engagement and the application of research www.lrfoundation.org.uk.We also than Andrei Sandru for providing the processed images; and Christof M. van Zijl, James-John Matthee and Annie Bekker from Stellenbosch University, who provide enormous helps on visual observation of ice condition during the SANAP 2018/2019 and Weddell Sea Expedition 2019.</t>
  </si>
  <si>
    <t>0951-8339</t>
  </si>
  <si>
    <t>1873-4170</t>
  </si>
  <si>
    <t>MAR STRUCT</t>
  </si>
  <si>
    <t>Mar. Struct.</t>
  </si>
  <si>
    <t>10.1016/j.marstruc.2021.103049</t>
  </si>
  <si>
    <t>Engineering, Marine; Engineering, Civil</t>
  </si>
  <si>
    <t>UY9FD</t>
  </si>
  <si>
    <t>WOS:000701820100001</t>
  </si>
  <si>
    <t>Komyakova, V; Chamberlain, D; Swearer, SE</t>
  </si>
  <si>
    <t>Komyakova, Valeriya; Chamberlain, Dean; Swearer, Stephen E.</t>
  </si>
  <si>
    <t>A multi-species assessment of artificial reefs as ecological traps</t>
  </si>
  <si>
    <t>ECOLOGICAL ENGINEERING</t>
  </si>
  <si>
    <t>Adaptive habitat selection; Artificial habitat; Ecological engineering; Green engineering; Management; Mortality rates</t>
  </si>
  <si>
    <t>MARINE PROTECTED AREAS; HABITAT USE; BEHAVIORAL-RESPONSES; POPULATION-DYNAMICS; DENSITY-DEPENDENCE; OCEAN SPRAWL; PREY REFUGES; FISH; PREDATION; MANAGEMENT</t>
  </si>
  <si>
    <t>All of the marine environments have been found to be affected by anthropogenic impacts with the sprawl of marine infrastructure being one of the most extreme factors modifying habitats. Artificial reefs (ARs) are a common type of these infrastructures, that are frequently used for fisheries management, species conservation and habitat restoration. Attractiveness of ARs for some species have been demonstrated, however little is known about the fitness of individuals that occupy ARs compared to natural reefs. ARs that provide lower fitness advantages may become ecological traps. We examined individual fitness of three species (Trachinops caudimaculatus, Vincentia conspersa and Trintafolkia clarkei) occupying three different habitat types: natural reefs, Reef Ball reefs (RBs) and custom-designed artificial reefs (CDARs) in Port Phillip Bay, Victoria, Australia, through comparing a range of condition indices (hepato-somatic, gonado-somatic and relative weight index). Additionally, we investigated mortality rates of new recruits and juveniles of T. caudimaculatus among habitat types. T. caudimaculatus exhibited nine times higher instantaneous mortality rates on RBs than the other two habitat types. Combined with known habitat preference of T. caudimaculatus for RB, this suggests that RBs may act as an ecological trap for this species. V. conspersa exhibited higher fitness on RBs, while T. clarkei fitness proxies were context dependent. Although our results indicate that responses by fishes to artificial habitats are species-, location- and habitat-specific, this is one of the first studies to demonstrate the formation of ecological traps in the marine environment due to proliferation of artificial reefs. Poorly designed or placed ARs may lead to insufficient positive outcomes or even significant negative impacts on marine communities. Combined with high costs, these effects may lead to reduced social acceptance of new placements and could impede future management and conservation efforts.</t>
  </si>
  <si>
    <t>[Komyakova, Valeriya; Chamberlain, Dean; Swearer, Stephen E.] Univ Melbourne, Sch BioSci, Parkville, Vic 3010, Australia; [Komyakova, Valeriya] Univ Tasmania, Inst Marine &amp; Antarctic Studies, Hobart, Tas 7001, Australia; [Komyakova, Valeriya] Univ Tasmania, Ctr Marine Socioecol, Hobart, Tas, Australia; [Komyakova, Valeriya] Intitute Marine &amp; Antarctic Studies IMAS, 20 Castray Esplanade, Battery Point, Tas 7004, Australia</t>
  </si>
  <si>
    <t>University of Melbourne; University of Tasmania; University of Tasmania</t>
  </si>
  <si>
    <t>Komyakova, V (corresponding author), Univ Melbourne, Sch BioSci, Parkville, Vic 3010, Australia.;Komyakova, V (corresponding author), Intitute Marine &amp; Antarctic Studies IMAS, 20 Castray Esplanade, Battery Point, Tas 7004, Australia.</t>
  </si>
  <si>
    <t>valeriya.komyakova@utas.edu.au</t>
  </si>
  <si>
    <t>Swearer, Stephen/X-4882-2018; Komyakova, Valeriya/H-4632-2013</t>
  </si>
  <si>
    <t>Swearer, Stephen/0000-0001-6381-9943;</t>
  </si>
  <si>
    <t>Holsworth Wildlife Research Endowment - Equity Trustee Charitable Foundation; University of Melbourne's Animal Ethics Committee Project [1313000]</t>
  </si>
  <si>
    <t>Holsworth Wildlife Research Endowment - Equity Trustee Charitable Foundation; University of Melbourne's Animal Ethics Committee Project</t>
  </si>
  <si>
    <t>We thank Tom Coughlin and Dr. Joanna Vince for their valuable editorial comments and Stacey McCormack (www.visualknowledge.des ign) for the design of Fig. 4 and Graphical Abstract. We also thank Dr. Di Barton for her expert advice and assistance with the parasite identification. Finally, we thank all of the volunteers and Melbourne University staff that have contributed to the data collection. All research was conducted in accordance with the University of Melbourne's Animal Ethics Committee Project #1313000. Funding was provided through a Holsworth Wildlife Research Endowment -Equity Trustee Charitable Foundation Grant (to V. Komyakova). All authors declare no conflict of interest.</t>
  </si>
  <si>
    <t>0925-8574</t>
  </si>
  <si>
    <t>1872-6992</t>
  </si>
  <si>
    <t>ECOL ENG</t>
  </si>
  <si>
    <t>Ecol. Eng.</t>
  </si>
  <si>
    <t>10.1016/j.ecoleng.2021.106394</t>
  </si>
  <si>
    <t>Ecology; Engineering, Environmental; Environmental Sciences</t>
  </si>
  <si>
    <t>Environmental Sciences &amp; Ecology; Engineering</t>
  </si>
  <si>
    <t>UO8NM</t>
  </si>
  <si>
    <t>WOS:000694948100017</t>
  </si>
  <si>
    <t>Patra, A; Min, SK; Kumar, P; Wang, XL</t>
  </si>
  <si>
    <t>Patra, Anindita; Min, Seung-Ki; Kumar, Prashant; Wang, Xiaolan L.</t>
  </si>
  <si>
    <t>Changes in extreme ocean wave heights under 1.5 °C, 2 °C, and 3 °C global warming</t>
  </si>
  <si>
    <t>Extreme waves; Paris agreement; CMIP5; Southern annular mode; El Nino-Southern oscillation</t>
  </si>
  <si>
    <t>CLIMATE-CHANGE; PRECIPITATION EXTREMES; ANNULAR MODE; WIND-SPEED; CMIP5; TEMPERATURE; PROJECTIONS; TRENDS; 1.5-DEGREES-C; EUROPE</t>
  </si>
  <si>
    <t>This study inspects the global changes in seasonal extreme ocean wave heights under different levels of global warming (1.5 degrees C, 2 degrees C, and 3 degrees C) based on statistical wave projections derived from CMIP5 multi-model simulations. The results show robust increases in wave extremes up to 15% (similar to 1 m) over Southern Hemisphere high latitudes and tropical Pacific, particularly at 3 degrees C warming. Strong seasonality is observed, especially for the North Pacific. Under higher warming, stronger increases are identified in both amplitude and area of extreme wave heights. The change in magnitude translates into shorter return intervals of extreme wave events in a warmer world, particularly at 3 degrees C warming. Differences between 1.5 degrees C and 2 degrees C worlds reveal potential benefits of limiting global warming over large regions of global ocean. Strong inter-model relationships indicate that wave height increases are associated with intensified climate mode variability, particularly the Southern Annular Mode and El Nino-Southern Oscillation, in a warmer world. An important implication is the potential impact of increased wave extremes on West Antarctic ice shelves with respect to calving and associated loss of buttressing, which would facilitate sea level rise in a warmer world.</t>
  </si>
  <si>
    <t>[Patra, Anindita; Min, Seung-Ki] Pohang Univ Sci &amp; Technol, Div Environm Sci &amp; Engn, Pohang, Gyeongbuk, South Korea; [Min, Seung-Ki] Yonsei Univ, Inst Convergence Res &amp; Educ Adv Technol, Incheon, South Korea; [Kumar, Prashant] Natl Inst Technol Delhi, Dept Appl Sci, Delhi, India; [Wang, Xiaolan L.] Environm &amp; Climate Change Canada, Climate Res Div, Toronto, ON, Canada</t>
  </si>
  <si>
    <t>Pohang University of Science &amp; Technology (POSTECH); Yonsei University; National Institute of Technology (NIT System); National Institute of Technology Delhi; Environment &amp; Climate Change Canada</t>
  </si>
  <si>
    <t>Min, SK (corresponding author), Pohang Univ Sci &amp; Technol, Div Environm Sci &amp; Engn, Pohang, Gyeongbuk, South Korea.</t>
  </si>
  <si>
    <t>skmin@postech.ac.kr</t>
  </si>
  <si>
    <t>Min, Seung-Ki/B-1431-2010; Kumar, Prashant/V-7342-2019</t>
  </si>
  <si>
    <t>Min, Seung-Ki/0000-0002-6749-010X; Kumar, Prashant/0000-0001-8480-7490; PATRA, ANINDITA/0000-0002-7237-1607</t>
  </si>
  <si>
    <t>National Research Foundation of Korea (NRF) - South Korean government (MSIT) [NRF-2018R1A5A1024958, NRF-2021R1A2C3007366]</t>
  </si>
  <si>
    <t>National Research Foundation of Korea (NRF) - South Korean government (MSIT)</t>
  </si>
  <si>
    <t>This study was supported by a National Research Foundation of Korea (NRF) grant funded by the South Korean government (MSIT) (NRF-2018R1A5A1024958 and NRF-2021R1A2C3007366) . CMIP5-based ocean wave height data are available in the Open Government Portal (https://open.canada.ca/data/en/dataset/d82b1c57-e766-495 a-8a81-3bc1ebba87ae) and CMIP5 surface air temperature and sea level pressure data are available on the database (https://esgf-node.llnl. gov/search/cmip5/) .</t>
  </si>
  <si>
    <t>10.1016/j.wace.2021.100358</t>
  </si>
  <si>
    <t>UF0FQ</t>
  </si>
  <si>
    <t>WOS:000688257000003</t>
  </si>
  <si>
    <t>Cheng, Y; Xia, ML; Qiao, G; Lv, D; Li, YJ; Hai, G</t>
  </si>
  <si>
    <t>Cheng, Yuan; Xia, Menglian; Qiao, Gang; Lv, Da; Li, Yanjun; Hai, Gang</t>
  </si>
  <si>
    <t>Imminent calving accelerated by increased instability of the Brunt Ice Shelf, in response to climate warming</t>
  </si>
  <si>
    <t>Antarctica; remote sensing; iceberg calving; rifts; glacier dynamics; Brunt Ice Shelf</t>
  </si>
  <si>
    <t>ANTARCTICA; DRIVEN; VARIABILITY; MODEL; FLOW</t>
  </si>
  <si>
    <t>Ice shelves in the Southern Weddell Sea have large areas and volumes, and have previously been stable due to their setting in a region of cold near-surface and sub-surface ocean water. The Brunt Ice Shelf (BIS), one of the ice shelves closest to the continental shelf break in the region, just released an iceberg with an area of similar to 1,270 km(2) in late February 2021 and another large calving event is imminent. However, recent changes in the BIS, since 2017, have not been studied to date. In this study, we used multi-source remote sensing data (including satellite images, ice flow velocity products, digital elevation models, and altimetry data) to conclude that the instability of the ice shelf has been increasing. The increased instability is manifested by rapidly increasing ice flow velocity and the propagation rate of full-thickness rifts. The velocity at the front of the BIS accelerated by more than doubled from 2013-2021, and the width of Chasm 1 increased by almost three-fold from 2012-2021. Based on the expansion of Chasm 1 and the strain rate changes, an iceberg with an area of similar to 1,675 km(2) is predicted to be released from the BIS during October 2022. We used meteorological data, ocean synthesis, and field observations to attribute the increased instability of the BIS to warm inflow onto the continental shelf, which emphasizes the importance of further observation and analysis. Additionally, owing to its special location, the BIS could be an indicator of the evolution of other ice shelves in the Southern Weddell Sea. (C) 2021 Elsevier B.V. All rights reserved.</t>
  </si>
  <si>
    <t>[Cheng, Yuan; Xia, Menglian; Qiao, Gang; Lv, Da; Li, Yanjun; Hai, Gang] Tongji Univ, Ctr Spatial Informat Sci &amp; Sustainable Dev Applic, 1239 Siping Rd, Shanghai, Peoples R China; [Cheng, Yuan; Xia, Menglian; Qiao, Gang; Lv, Da; Li, Yanjun; Hai, Gang] Tongji Univ, Coll Surveying &amp; Geoinformat, 1239 Siping Rd, Shanghai, Peoples R China</t>
  </si>
  <si>
    <t>Tongji University; Tongji University</t>
  </si>
  <si>
    <t>Xia, ML; Qiao, G (corresponding author), Tongji Univ, Coll Surveying &amp; Geoinformat, 1239 Siping Rd, Shanghai, Peoples R China.</t>
  </si>
  <si>
    <t>chengyuan_1994@tongji.edu.cn; menglianxia@tongji.edu.cn; qiaogang@tongji.edu.cn; lvda@tongji.edu.cn; yanjunli_1995@outlook.com; ganghai@tongji.edu.cn</t>
  </si>
  <si>
    <t>Qiao, Gang/AAU-5717-2020</t>
  </si>
  <si>
    <t>Li, Yanjun/0000-0002-4206-4833; Lv, Da/0000-0002-4869-2304; Cheng, Yuan/0000-0003-1336-0331</t>
  </si>
  <si>
    <t>National Science Foundation of China [41941006, 41771471, 42111530185]</t>
  </si>
  <si>
    <t>National Science Foundation of China(National Natural Science Foundation of China (NSFC))</t>
  </si>
  <si>
    <t>This research was supported by the National Science Foundation of China (41941006, 41771471, 42111530185). All original data used in this study are available online. We would like to thank the United States Geological Survey (USGS) for providing Landsat images (https://earthexplorer.usgs.gov/); the National Snow and Ice Data Center (NSIDC) for MEaSUREs velocity products (https://nsidc.org/data/nsidc-0720), ITS_LIVE velocity products (https://nsidc.org/apps/itslive/), ICESat-2 ATL06 data (https://nsidc.org/data/atl06), and ICESat-2 ATL11 data (https://nsidc.org/data/atl11); the Polar Geospatial Center at the University of Minnesota for REMA DEM (http://data.pgc.umn.edu/elev/dem/setsm/REMA/); and British Antarctic Survey (BAS) for air temperature data from Halley Station (https://legacy.bas.ac.uk/met/READER/surface/Halley.All.temperature.html).</t>
  </si>
  <si>
    <t>10.1016/j.epsl.2021.117132</t>
  </si>
  <si>
    <t>UE0MY</t>
  </si>
  <si>
    <t>WOS:000687593800009</t>
  </si>
  <si>
    <t>Fan, S; Prior, DJ; Hager, TF; Cross, AJ; Goldsby, DL; Negrini, M</t>
  </si>
  <si>
    <t>Fan, Sheng; Prior, David J.; Hager, Travis F.; Cross, Andrew J.; Goldsby, David L.; Negrini, Marianne</t>
  </si>
  <si>
    <t>Kinking facilitates grain nucleation and modifies crystallographic preferred orientations during high-stress ice deformation</t>
  </si>
  <si>
    <t>ice; kinking; nucleation; crystallographic preferred orientation (CPO); electron backscatter diffraction (EBSD)</t>
  </si>
  <si>
    <t>DYNAMIC RECRYSTALLIZATION; CALCITE TWINS; MISORIENTATION; STRAIN; CREEP; MICROSTRUCTURES; DISLOCATIONS; TEMPERATURE; MECHANISMS; EVOLUTION</t>
  </si>
  <si>
    <t>Kinking is an important strain-accommodating process during crystal plastic deformation under relatively large stresses and may influence the mechanical properties of the Earth's lithosphere and planetary cryosphere. To better understand the origins, mechanisms, and microstructural effects of kinking, we present detailed microstructural analyses of coarse-grained (similar to 1300 mu m) ice samples deformed under uniaxial compression at -30 degrees C. Deformed samples show elongated (aspect ratio &gt;= 4) kink domains developing within or at the tips of remnant original grains (&gt;= 300 mu m, aspect ratio &lt; 4). Small, equiaxed subgrains also develop along the margins of remnant grains. Moreover, many remnant grains are surrounded by mantles of small, recrystallized grains (&lt;300 mu m, aspect ratio &lt; 4). Together, these observations indicate that grain nucleation is facilitated by both kinking and dynamic recrystallization. Low- (&lt;10 degrees) and high-angle (mostly &gt;10 degrees, many &gt;20 degrees) kink bands within remnant grains have misorientation axes that lie predominantly within the basal plane. The c-axes of most kink domains are oriented sub-perpendicular to the sample compression axis, indicating that kinking may produce or modify a crystallographic preferred orientation. Kink band densities are highest within remnant grains that have basal planes sub-parallel to the compression axis-these data are inconsistent with models suggesting that (if kinking is the only strain-accommodating process) there should be higher kink band densities within grains that have basal planes oblique to the compression axis. One way to rationalize this inconsistency between kink models and experimental observations is that kinking and dynamic recrystallization are both active during deformation, but their relative activities depend on the crystallographic orientations of individual grains. For grains with basal planes sub-parallel to the compression axis, strain-induced grain boundary migration (GBM) is inhibited, and large strain incompatibilities can be relaxed via kinking when other processes such as subgrain rotation (SGR) recrystallization are insufficient. For grains with basal planes oblique to the compression axis, strain-induced GBM might be efficient enough to relax the strain incompatibility via selective growth of these grains, and kinking is therefore less important. For grains with basal planes sub-perpendicular to the compression axis, kink bands are seldom observed-for these grains, the minimum shear stress required for kinking exceeds the applied compressive stress, such that kinks cannot nucleate. (c) 2021 Elsevier B.V. All rights reserved.</t>
  </si>
  <si>
    <t>[Fan, Sheng; Prior, David J.; Negrini, Marianne] Univ Otago, Dept Geol, 360 Leith St, Dunedin, New Zealand; [Hager, Travis F.; Cross, Andrew J.; Goldsby, David L.] Univ Penn, Dept Earth &amp; Environm Sci, Philadelphia, PA 19104 USA; [Cross, Andrew J.] Woods Hole Oceanog Inst, Dept Geol &amp; Geophys, Woods Hole, MA 02543 USA</t>
  </si>
  <si>
    <t>University of Otago; University of Pennsylvania; Woods Hole Oceanographic Institution</t>
  </si>
  <si>
    <t>Fan, S (corresponding author), Univ Otago, Dept Geol, 360 Leith St, Dunedin, New Zealand.</t>
  </si>
  <si>
    <t>sheng.fan@otago.ac.nz; david.prior@otago.ac.nz; thager94@gmail.com; across@whoi.edu; dgoldsby@sas.upenn.edu; marianne.negrini@otago.ac.nz</t>
  </si>
  <si>
    <t>Cross, Andrew/0000-0002-7481-7588; Negrini, Marianne/0000-0001-8439-8439; Hager, Travis/0000-0003-4728-8075; Prior, David/0000-0002-4653-2112; Fan, Sheng/0000-0002-0404-1374</t>
  </si>
  <si>
    <t>NASA fund [NNX15AM69G]; Royal Society of New Zealand [UOO1116, UOO052]; University of Otago doctoral scholarship; Antarctica New Zealand doctoral scholarship; New Zealand Ministry of Business, Innovation and Employment through the Antarctic Science Platform [ANTA1801, ASP-023-03]; New Zealand Antarctic Research Institute (NZARI) Early Career Researcher Seed Grant [NZARI 2020-1-5]</t>
  </si>
  <si>
    <t>NASA fund; Royal Society of New Zealand(Royal Society of New Zealand); University of Otago doctoral scholarship; Antarctica New Zealand doctoral scholarship; New Zealand Ministry of Business, Innovation and Employment through the Antarctic Science Platform(New Zealand Ministry of Business, Innovation and Employment (MBIE)); New Zealand Antarctic Research Institute (NZARI) Early Career Researcher Seed Grant</t>
  </si>
  <si>
    <t>We are thankful to Pat Langhorne for providing the cold-room facility at University of Otago. This work was supported by a NASA fund (grant no. NNX15AM69G) to David L. Goldsby and two Marsden Funds of the Royal Society of New Zealand (grant nos. UOO1116, UOO052) to David J. Prior. Sheng Fan was supported by the University of Otago doctoral scholarship, the Antarctica New Zealand doctoral scholarship, a research grant from New Zealand Ministry of Business, Innovation and Employment through the Antarctic Science Platform (ANTA1801) (grant no. ASP-023-03), and a New Zealand Antarctic Research Institute (NZARI) Early Career Researcher Seed Grant (grant no. NZARI 2020-1-5). We thank Marco Herwegh and an anonymous reviewer and editor Alex Webb for their insightful reviews and editorial handling that helped to improve the manuscript.</t>
  </si>
  <si>
    <t>10.1016/j.epsl.2021.117136</t>
  </si>
  <si>
    <t>WOS:000687593800011</t>
  </si>
  <si>
    <t>Kim, HH; Luo, YW; Ducklow, HW; Schofield, OM; Steinberg, DK; Doney, SC</t>
  </si>
  <si>
    <t>Kim, Hyewon Heather; Luo, Ya-Wei; Ducklow, Hugh W.; Schofield, Oscar M.; Steinberg, Deborah K.; Doney, Scott C.</t>
  </si>
  <si>
    <t>WAP-1D-VAR v1.0: development and evaluation of a one-dimensional variational data assimilation model for the marine ecosystem along the West Antarctic Peninsula</t>
  </si>
  <si>
    <t>PHYSICAL-BIOGEOCHEMICAL MODEL; PHYTOPLANKTON DYNAMICS; COMMUNITY COMPOSITION; CONTINENTAL-SHELF; GROWTH EFFICIENCY; ORGANIC-MATTER; SOUTHERN-OCEAN; SURFACE OCEAN; ROSS SEA; BACTERIAL</t>
  </si>
  <si>
    <t>The West Antarctic Peninsula (WAP) is a rapidly warming region, with substantial ecological and biogeo-chemical responses to the observed change and variability for the past decades, revealed by multi-decadal observations from the Palmer Antarctica Long-Term Ecological Research (LTER) program. The wealth of these long-term observations provides an important resource for ecosystem modeling, but there has been a lack of focus on the development of numerical models that simulate time-evolving plankton dynamics over the austral growth season along the coastal WAP. Here, we introduce a one-dimensional variational data assimilation planktonic ecosystem model (i.e., the WAP-1D-VAR v1.0 model) equipped with a model parameter optimization scheme. We first demonstrate the modified and newly added model schemes to the pre-existing food web and biogeo-chemical components of the other ecosystem models that WAP-1D-VAR model was adapted from, including diagnostic sea-ice forcing and trophic interactions specific to the WAP region. We then present the results from model experiments where we assimilate 11 different data types from an example Palmer LTER growth season (October 2002-March 2003) directly related to corresponding model state variables and flows between these variables. The iterative data assimilation procedure reduces the misfits between observations and model results by 58 %, compared to before optimization, via an optimized set of 12 parameters out of a total of 72 free parameters. The optimized model results capture key WAP ecological features, such as blooms during seasonal sea-ice retreat, the lack of macronutrient limitation, and modeled variables and flows comparable to other studies in the WAP region, as well as several important ecosystem metrics. One exception is that the model slightly underestimates particle export flux, for which we discuss potential underlying reasons. The data assimilation scheme of the WAP1D-VAR model enables the available observational data to constrain previously poorly understood processes, including the partitioning of primary production by different phyto-plankton groups, the optimal chlorophyll-to-carbon ratio of the WAP phytoplankton community, and the partitioning of dissolved organic carbon pools with different lability. The WAP-1D-VAR model can be successfully employed to link the snapshots collected by the available data sets together to explain and understand the observed dynamics along the coastal WAP.</t>
  </si>
  <si>
    <t>[Kim, Hyewon Heather] Woods Hole Oceanog Inst, Woods Hole, MA 02543 USA; [Kim, Hyewon Heather; Doney, Scott C.] Univ Virginia, Charlottesville, VA 22904 USA; [Luo, Ya-Wei] Xiamen Univ, Xiamen 361102, Fujian, Peoples R China; [Ducklow, Hugh W.] Columbia Univ, Lamont Doherty Earth Observ, Palisades, NY 10964 USA; [Schofield, Oscar M.] Rutgers State Univ, New Brunswick, NJ 80901 USA; [Steinberg, Deborah K.] Virginia Inst Marine Sci, Gloucester Point, VA 23062 USA</t>
  </si>
  <si>
    <t>Woods Hole Oceanographic Institution; University of Virginia; Xiamen University; Columbia University; Rutgers University System; Rutgers University New Brunswick; William &amp; Mary; Virginia Institute of Marine Science</t>
  </si>
  <si>
    <t>Kim, HH (corresponding author), Woods Hole Oceanog Inst, Woods Hole, MA 02543 USA.;Kim, HH (corresponding author), Univ Virginia, Charlottesville, VA 22904 USA.</t>
  </si>
  <si>
    <t>hkim@whoi.edu</t>
  </si>
  <si>
    <t>Luo, Ya-Wei/C-9990-2016; Doney, Scott/F-9247-2010; Kim, Heather Hyewon/M-8039-2017</t>
  </si>
  <si>
    <t>Luo, Ya-Wei/0000-0001-6106-7901; Doney, Scott/0000-0002-3683-2437; Kim, Heather Hyewon/0000-0002-1280-3340; Steinberg, Deborah K./0000-0001-9884-4655</t>
  </si>
  <si>
    <t>National Aeronautics and Space Administration Ocean Biology and Biogeochemistry Program [NNX14AL86G]; US National Science Foundation Office of Polar Programs [PLR-1440435]; Investment in Science Fund; Reuben F. and Elizabeth B. Richards Endowed Fund from Woods Hole Oceanographic Institution; US NSF [PLR-1440435]; National Natural Science Foundation of China [41890802]; NASA [679094, NNX14AL86G] Funding Source: Federal RePORTER</t>
  </si>
  <si>
    <t>National Aeronautics and Space Administration Ocean Biology and Biogeochemistry Program; US National Science Foundation Office of Polar Programs(National Science Foundation (NSF)); Investment in Science Fund; Reuben F. and Elizabeth B. Richards Endowed Fund from Woods Hole Oceanographic Institution; US NSF(National Science Foundation (NSF)); National Natural Science Foundation of China(National Natural Science Foundation of China (NSFC)); NASA(National Aeronautics &amp; Space Administration (NASA))</t>
  </si>
  <si>
    <t>Hyewon Heather Kim and Scott C. Doney were supported by the National Aeronautics and Space Administration Ocean Biology and Biogeochemistry Program (grant no. NNX14AL86G) and the US National Science Foundation Office of Polar Programs (grant no. PLR-1440435 to Hugh W. Ducklow at Columbia University; Palmer LTER). Hyewon Heather Kim was additionally supported by the Investment in Science Fund and the Reuben F. and Elizabeth B. Richards Endowed Fund from Woods Hole Oceanographic Institution. Oscar M. Schofield and Deborah K. Steinberg were supported by US NSF grant no. PLR-1440435. Ya-Wei Luo was supported by National Natural Science Foundation of China project no. 41890802.</t>
  </si>
  <si>
    <t>AUG 12</t>
  </si>
  <si>
    <t>10.5194/gmd-14-4939-2021</t>
  </si>
  <si>
    <t>UA5TC</t>
  </si>
  <si>
    <t>WOS:000685223400001</t>
  </si>
  <si>
    <t>Wu, XW; Hutchings, P; Murray, A; Xu, KD</t>
  </si>
  <si>
    <t>Wu, Xuwen; Hutchings, Pat; Murray, Anna; Xu, Kuidong</t>
  </si>
  <si>
    <t>Laetmonice iocasica sp. nov., a new polychaete species (Annelida: Aphroditidae) from seamounts in the tropical Western Pacific, with remarks on L. producta Grube, 1877</t>
  </si>
  <si>
    <t>JOURNAL OF OCEANOLOGY AND LIMNOLOGY</t>
  </si>
  <si>
    <t>Polychaeta; taxonomy; biodiversity; deep-sea</t>
  </si>
  <si>
    <t>1ST REPORT; PHYLOGENY; OCEAN</t>
  </si>
  <si>
    <t>Laetmonice Kinberg, 1856 is a remarkable genus characterized by having harpoon notochaetae in the polychaete family Aphroditidae. We describe a new species of Laetmonice, Laetmonice iocasica sp. nov., found from seamounts on the Caroline Ridge in the tropical Western Pacific. The new species is readily distinguished from congeners, particularly those distributed in the Indo-Pacific Ocean by possessing 45 segments with 18 pairs of elytra, and the tuberculated harpoon notochaetae in the elytrigerous segments, which are replaced by tuberculated notochaetae without recurved fangs on segments 4 and 5. Laetmonice iocasica sp. nov. is closely related to L. producta Grube, 1877, but differs in both morphology and the genetic distance of the mitochondrial cytochrome oxidase subunit I (COI) sequences. Laetmonice producta Grube, 1877 contained five varieties reported in various marine areas, which have been raised to species level. However, the records of L. producta from the Sagami Bay and Suruga Bay in Japan and in the south-eastern Australia remain obscure and probably represent a different species. The data indicate that L. producta, which was originally described from Kerguelen Islands in the Southern Ocean and later commonly found on the Antarctic shelf, is probably distributed only at high latitudes of the Southern Hemisphere.</t>
  </si>
  <si>
    <t>[Wu, Xuwen; Xu, Kuidong] Chinese Acad Sci, Ctr Ocean Megasci, Inst Oceanol, Lab Marine Organism Taxon &amp; Phytogeny,Shandong Pr, Qingdao 266071, Peoples R China; [Xu, Kuidong] Southern Marine Sci &amp; Engn Guangdong Lab Zhuhai, Zhuhai 519082, Peoples R China; [Hutchings, Pat; Murray, Anna] Australian Museum, Res Inst, Sydney, NSW 2000, Australia; [Hutchings, Pat; Murray, Anna] Macquarie Univ, North Ryde, N Ryde, NSW 2109, Australia; [Xu, Kuidong] Univ Chinese Acad Sci, Beijing 100049, Peoples R China</t>
  </si>
  <si>
    <t>Chinese Academy of Sciences; Institute of Oceanology, CAS; Southern Marine Science &amp; Engineering Guangdong Laboratory; Southern Marine Science &amp; Engineering Guangdong Laboratory (Zhuhai); Australian Museum; Macquarie University; Chinese Academy of Sciences; University of Chinese Academy of Sciences, CAS</t>
  </si>
  <si>
    <t>Xu, KD (corresponding author), Chinese Acad Sci, Ctr Ocean Megasci, Inst Oceanol, Lab Marine Organism Taxon &amp; Phytogeny,Shandong Pr, Qingdao 266071, Peoples R China.;Xu, KD (corresponding author), Southern Marine Sci &amp; Engn Guangdong Lab Zhuhai, Zhuhai 519082, Peoples R China.;Xu, KD (corresponding author), Univ Chinese Acad Sci, Beijing 100049, Peoples R China.</t>
  </si>
  <si>
    <t>kxu@qdio.ac.cn</t>
  </si>
  <si>
    <t>Wu, Xuwen/AAH-4783-2020</t>
  </si>
  <si>
    <t>Science Technology Basic Resources Investigation Program of China [2017FY100804]; National Natural Science Foundation of China [41930533]; Strategic Priority Research Program of the Chinese Academy of Sciences [XDB42000000]; Biological Resources Program, Chinese Academy of Sciences [KFJBRP-017-46]; Key Development Project of Centre for Ocean MegaResearch of Science, Chinese Academy of Sciences [COMS2019R01]; Senior User Project of R/V Kexue [KEXUE2019GZ04]</t>
  </si>
  <si>
    <t>Science Technology Basic Resources Investigation Program of China; National Natural Science Foundation of China(National Natural Science Foundation of China (NSFC)); Strategic Priority Research Program of the Chinese Academy of Sciences(Chinese Academy of Sciences); Biological Resources Program, Chinese Academy of Sciences; Key Development Project of Centre for Ocean MegaResearch of Science, Chinese Academy of Sciences; Senior User Project of R/V Kexue</t>
  </si>
  <si>
    <t>Supported by the Science &amp; Technology Basic Resources Investigation Program of China (No. 2017FY100804), the National Natural Science Foundation of China (No. 41930533), the Strategic Priority Research Program of the Chinese Academy of Sciences (No. XDB42000000), the Biological Resources Program, Chinese Academy of Sciences (No. KFJBRP-017-46), the Key Development Project of Centre for Ocean MegaResearch of Science, Chinese Academy of Sciences (No. COMS2019R01), and the Senior User Project of R/V Kexue (No. KEXUE2019GZ04)</t>
  </si>
  <si>
    <t>16 DONGHUANGCHENGGEN NORTH ST, Building 5, Room 411, BEIJING, 100009, PEOPLES R CHINA</t>
  </si>
  <si>
    <t>2096-5508</t>
  </si>
  <si>
    <t>2523-3521</t>
  </si>
  <si>
    <t>J OCEANOL LIMNOL</t>
  </si>
  <si>
    <t>J. Oceanol. Limnol.</t>
  </si>
  <si>
    <t>10.1007/s00343-021-0413-6</t>
  </si>
  <si>
    <t>WD2SE</t>
  </si>
  <si>
    <t>WOS:000684088300011</t>
  </si>
  <si>
    <t>Southwell, C; Smith, D; Bender, A; Emmerson, L</t>
  </si>
  <si>
    <t>Southwell, Colin; Smith, David; Bender, Angela; Emmerson, Louise</t>
  </si>
  <si>
    <t>A spatial reference and identification system for coastal ice-free land in East Antarctica</t>
  </si>
  <si>
    <t>Mapping; Geographic sites; Unique feature identifier</t>
  </si>
  <si>
    <t>We describe a spatial reference system that uniquely identifies 4884 coastal island and continental rock features across East Antarctica. The system comprises a series of maps and a related database, and can be a foundation tool for a wide range of environmental studies.</t>
  </si>
  <si>
    <t>[Southwell, Colin; Smith, David; Bender, Angela; Emmerson, Louise] Australian Antarctic Div, Dept Agr Water &amp; Environm, Channel Highway, Kingston, Tas 7050, Australia</t>
  </si>
  <si>
    <t>Australian Antarctic Division</t>
  </si>
  <si>
    <t>Southwell, C (corresponding author), Australian Antarctic Div, Dept Agr Water &amp; Environm, Channel Highway, Kingston, Tas 7050, Australia.</t>
  </si>
  <si>
    <t>colin.southwell@aad.gov.au</t>
  </si>
  <si>
    <t>AAS projects [2722, 4088, 4518]</t>
  </si>
  <si>
    <t>AAS projects</t>
  </si>
  <si>
    <t>The work was conducted under AAS projects 2722, 4088 and 4518. We thank Jonathon Kool and Ursula Harris from the Australian Antarctic Data Centre and an anonymous reviewer for helpful comments on the manuscript.</t>
  </si>
  <si>
    <t>e30</t>
  </si>
  <si>
    <t>10.1017/S0032247421000280</t>
  </si>
  <si>
    <t>TZ0NJ</t>
  </si>
  <si>
    <t>WOS:000684172800001</t>
  </si>
  <si>
    <t>Yuan, ZX; Qin, J; Li, SL; Huang, SJ; Mbululo, Y; Rehman, A</t>
  </si>
  <si>
    <t>Yuan, Zhengxuan; Qin, Jun; Li, Shuanglin; Huang, Sijing; Mbululo, Yassin; Rehman, Akhtar</t>
  </si>
  <si>
    <t>Impact of boreal autumn Antarctic oscillation on winter wet-cold weather in the middle-lower reaches of Yangtze River Basin</t>
  </si>
  <si>
    <t>Wet-cold weather; Antarctic oscillation; Southern ocean dipole; Northern Atlantic; Stratospheric pathway</t>
  </si>
  <si>
    <t>SEA-SURFACE TEMPERATURE; SUMMER MONSOON; INTERANNUAL VARIABILITY; STRATOSPHERIC PATHWAY; NORTHERN-HEMISPHERE; TIBETAN PLATEAU; SST ANOMALIES; ANNULAR MODE; SOUTHERN; PRECIPITATION</t>
  </si>
  <si>
    <t>The Antarctic Oscillation (AAO) is the dominant mode of the southern extratropical atmospheric mass variability which has potential influences on the Northern Hemisphere (NH). This study reveals a significantly negative correlation between the September-October (SO) AAO index (AAOI) and the occurrence rate of following January-February (JF) wet-cold weather (the latter is quantified by a Precipitation-Temperature (PT) Index) in Southern China (SC) especially the Middle and Lower Reaches of Yangtze River Basin (MLRY). JF PT of SC (SCPT) is modulated by both northerly air flow in the lower troposphere and southerly air flow in the middle-lower troposphere. The SO AAO stimulates Southern Ocean Dipole (SOD) pattern-like sea surface temperature anomalies (SST anomalies: SSTA), which induces a Northern Atlantic Oscillation (NAO)-like atmospheric response along with the tropical northern Atlantic (NA) precipitation anomalies in the following JF through ocean-air interaction. As for wet-cold conditions, there exists an eastward propagational wave train from the tropical-subtropical NA to the East Asian atmospheric patterns, in turn influencing the intensity of East Asian Winter Monsoon (EAWM) and Middle East Jet Stream (MEJS), subsequently the penetration of northerly cold flow and southerly wet flow into MLRY. The variation of JF SOD also regulates the local meridional-vertical cells, in turn influencing the intensity of precipitation over the tropical NA and SC, accompanied with the penetration of wet-warm flow into SC and the adjacent regions. In addition to the tropospheric processes, the stratospheric Quasi Biennial Oscillation (QBO) may serve as the stratospheric pathway for the impact of SOD on NH climate, inducing/reducing the JF SCPT response to SOD SST. To summarize, SO AAO affects the JF SCPT by modulating both dry-cold northerly air flow and wet-warm southerly air flow through tropospheric and stratospheric pathway.</t>
  </si>
  <si>
    <t>[Yuan, Zhengxuan; Qin, Jun; Li, Shuanglin; Huang, Sijing; Mbululo, Yassin; Rehman, Akhtar] Univ Geosci Wuhan, Sch Environm Studies, Dept Atmospher Sci, Wuhan 430074, Hubei, Peoples R China; [Mbululo, Yassin] Sokoine Univ Agr, Dept Geog &amp; Environm Studies, Morogoro, Tanzania</t>
  </si>
  <si>
    <t>Sokoine University of Agriculture</t>
  </si>
  <si>
    <t>Qin, J (corresponding author), Univ Geosci Wuhan, Sch Environm Studies, Dept Atmospher Sci, Wuhan 430074, Hubei, Peoples R China.</t>
  </si>
  <si>
    <t>qinjun@cug.edu.cn</t>
  </si>
  <si>
    <t>Li, Shuanglin/D-5695-2013</t>
  </si>
  <si>
    <t>Strategic Priority Research Program of the Chinese Academy of Sciences [XDA19070402]</t>
  </si>
  <si>
    <t>Strategic Priority Research Program of the Chinese Academy of Sciences(Chinese Academy of Sciences)</t>
  </si>
  <si>
    <t>This study is supported by the Strategic Priority Research Program of the Chinese Academy of Sciences (Grant NO. XDA19070402).</t>
  </si>
  <si>
    <t>1-2</t>
  </si>
  <si>
    <t>10.1007/s00382-021-05906-6</t>
  </si>
  <si>
    <t>YP3AF</t>
  </si>
  <si>
    <t>WOS:000684492100001</t>
  </si>
  <si>
    <t>Anderson, B; Mackintosh, AN; Dadic, R; Oerlemans, J; Zammit, C; Doughty, A; Sood, A; Mullan, B</t>
  </si>
  <si>
    <t>Anderson, B.; Mackintosh, A. N.; Dadic, R.; Oerlemans, J.; Zammit, C.; Doughty, A.; Sood, A.; Mullan, B.</t>
  </si>
  <si>
    <t>Modelled response of debris-covered and lake-calving glaciers to climate change, Ka over bar Tiritiri o te Moana/Southern Alps, New Zealand</t>
  </si>
  <si>
    <t>Glacier; Climate change; Debris-cover; Lake-calving</t>
  </si>
  <si>
    <t>ENERGY-BALANCE MODEL; TASMAN GLACIER; MASS-LOSS; ICE FLOW; FUTURE EVOLUTION; SOUTHERN NORWAY; INTERPOLATION; SENSITIVITY; RADIATION; CAP</t>
  </si>
  <si>
    <t>Glaciers will lose mass during the next decades as the climate warms. While the largest uncertainty in this mass loss is the global greenhouse gas emissions pathway, on a local or regional scale there are large uncertainties in some processes that influence glacier response. We explore the competing processes of reduced ablation under debris cover and increased ablation from calving by applying a coupled mass-balance/ice-flow model in the central Southern Alps/Ka over bar Tiritiri o te Moana of New Zealand. Glacier volume loss is assessed over the period from AD 1880 to AD 2099, driven by observed climate data before 2005, and perturbing the modern climate state and imposing representative concentration pathway (RCP) scenarios 2.6-8.5 as expressed by six global circulation models (GCMs) which leads to a regional warming of between 1-4 degrees C (2006-2099). Key findings are (1) modelled ice volume reduced from 47 km3 to 29 km3 between AD 1880 and 2005; (2) over the period 2006-2099 further volume loss to 24 km3 (19% reduction) is committed under present-day climate; (3) modelled ice volume at AD 2099 is estimated at 2 km3 +/- 6 km3 (RCP8.5) to 15 km3 +/- 6 km3 (RCP2.6), a reduction of 50-92% relative to present day. The wide range of projected ice volumes reflects the large range of temperature projections between RCP2.6 and RCP8.5. The mode and timing of ice loss provides insight into processes that will drive future glacier behavior. Under RCP2.6 at 2099, the glaciers retain a similar configuration to present, although clean-ice glaciers will retreat significantly, and some debris-covered tongues will disconnect from their accumulation areas. For RCP4.5, RCP6.0 and RCP8.5 the clean-ice glaciers will retreat to become small remnants in the high mountains. Experiments where the debris cover is removed shows a much faster loss of ice, whereas experiments with no lake calving slows ice loss. However, under all but the most moderate warming scenarios, by 2099 the strong climatic forcing overwhelms these processes as there is little ice left at low elevations where debris cover and lake calving occur.</t>
  </si>
  <si>
    <t>[Anderson, B.; Dadic, R.] Victoria Univ Wellington, Antarctic Res Ctr, POB 600, Wellington, New Zealand; [Mackintosh, A. N.] Monash Univ, Sch Earth Atmosphere &amp; Environm, Melbourne, Vic, Australia; [Oerlemans, J.] Univ Utrecht, Inst Marine &amp; Atmospher Res, Utrecht, Netherlands; [Doughty, A.] Univ Maine, Sch Earth &amp; Climate Sci, Orono, ME 04469 USA; [Zammit, C.; Sood, A.; Mullan, B.] Natl Inst Water &amp; Atmospher Res NIWA, Auckland, New Zealand</t>
  </si>
  <si>
    <t>Victoria University Wellington; Monash University; Melbourne Genomics Health Alliance; Utrecht University; University of Maine System; University of Maine Orono; National Institute of Water &amp; Atmospheric Research (NIWA) - New Zealand</t>
  </si>
  <si>
    <t>Anderson, B (corresponding author), Victoria Univ Wellington, Antarctic Res Ctr, POB 600, Wellington, New Zealand.</t>
  </si>
  <si>
    <t>brian.anderson@vuw.ac.nz</t>
  </si>
  <si>
    <t>Sood, Abha/0000-0002-0231-5757; Dadic, Ruzica/0000-0003-1303-1896; Mackintosh, Andrew/0000-0002-6430-4711</t>
  </si>
  <si>
    <t>10.1016/j.gloplacha.2021.103593</t>
  </si>
  <si>
    <t>WOS:000694744000005</t>
  </si>
  <si>
    <t>Munini, R; Vannuccini, E; Boezio, M; von Doetinchem, P; Gerrity, C; Lenni, A; Marcelli, N; Quinn, S; Rogers, F; Ryan, JL; Stoessl, A; Xiao, M; Saffold, N; Tiberio, A; Yamatani, M</t>
  </si>
  <si>
    <t>Munini, R.; Vannuccini, E.; Boezio, M.; von Doetinchem, P.; Gerrity, C.; Lenni, A.; Marcelli, N.; Quinn, S.; Rogers, F.; Ryan, J. L.; Stoessl, A.; Xiao, M.; Saffold, N.; Tiberio, A.; Yamatani, M.</t>
  </si>
  <si>
    <t>The antinucleus annihilation reconstruction algorithm of the GAPS experiment</t>
  </si>
  <si>
    <t>ASTROPARTICLE PHYSICS</t>
  </si>
  <si>
    <t>Dark matter; Cosmic-rays; Annihilation</t>
  </si>
  <si>
    <t>The General AntiParticle Spectrometer (GAPS) is an Antarctic balloon-borne detector designed to measure low-energy cosmic antinuclei (&lt; 0.25 GeV/n), with a specific focus on antideuterons, as a distinctive signal from dark matter annihilation or decay in the Galactic halo. The instrument consists of a tracker, made up of ten planes of lithium-drifted Silicon Si(Li) detectors, surrounded by a plastic scintillator Time-of-Flight system. GAPS uses a novel particle identification method based on exotic atom capture and decay with the emission of pions, protons, and atomic X-rays from a common annihilation vertex. An important ingredient for the antinuclei identification is the reconstruction of the annihilation star topology. A custom antinucleus annihilation reconstruction algorithm, called the star-finding algorithm, was developed to reconstruct the annihilation star fully, determining the annihilation vertex position and reconstructing the tracks of the primary and secondary charged particles. The reconstruction algorithm and its performances were studied on simulated data obtained with the Geant4-based GAPS simulation software, which fully reproduced the detector geometry. This custom algorithm was found to have better performance in the vertex resolution and reconstruction efficiency compared with a standard Hough-3D algorithm.</t>
  </si>
  <si>
    <t>[Munini, R.; Boezio, M.; Lenni, A.] Ist Nazl Fis Nucl, Sez Trieste, I-34149 Trieste, Italy; [Munini, R.; Boezio, M.; Lenni, A.] IFPU, I-34014 Trieste, Italy; [Vannuccini, E.; Tiberio, A.] Ist Nazl Fis Nucl, Sez Firenze, I-50019 Florence, Italy; [von Doetinchem, P.; Gerrity, C.; Stoessl, A.] Univ Hawaii Manoa, Dept Phys &amp; Astron, 2505 Correa Rcl, Honolulu, HI 96822 USA; [Lenni, A.] Univ Trieste, I-34127 Trieste, Italy; [Marcelli, N.] Univ Roma Tor Vergata, Dept Phys, I-00133 Rome, Italy; [Marcelli, N.] Ist Nazl Fis Nucl, Sez Rome Tor Vergata, I-00133 Rome, Italy; [Quinn, S.; Ryan, J. L.] Univ Calif Los Angeles, Dept Phys &amp; Astron, Los Angeles, CA 90095 USA; [Rogers, F.; Xiao, M.] MIT, Dept Phys, 77 Massachusetts Ave, Cambridge, MA 02139 USA; [Saffold, N.] Columbia Univ, Columbia Astrophys Lab, 550 W 120th St, New York, NY 10027 USA; [Yamatani, M.] Japan Aerosp Explorat Agcy ISAS JAXA, Inst Space &amp; Astronaut Sci, Sagamihara, Kanagawa 2525210, Japan</t>
  </si>
  <si>
    <t>Istituto Nazionale di Fisica Nucleare (INFN); Istituto Nazionale di Fisica Nucleare (INFN); University of Hawaii System; University of Hawaii Manoa; University of Trieste; University of Rome Tor Vergata; Istituto Nazionale di Fisica Nucleare (INFN); University of California System; University of California Los Angeles; Massachusetts Institute of Technology (MIT); Columbia University; Japan Aerospace Exploration Agency (JAXA); Institute of Space &amp; Astronautical Science (ISAS)</t>
  </si>
  <si>
    <t>Munini, R (corresponding author), Ist Nazl Fis Nucl, Sez Trieste, I-34149 Trieste, Italy.</t>
  </si>
  <si>
    <t>riccardo.munini@ts.infn.it</t>
  </si>
  <si>
    <t>Vannuccini, Elena/ABH-4180-2020; Boezio, Mirko/ABC-4188-2020; Tiberio, Alessio/HNS-4570-2023; Tiberio, Alessio/AAW-4372-2020</t>
  </si>
  <si>
    <t>Boezio, Mirko/0000-0002-8015-2981; Tiberio, Alessio/0000-0002-8016-8844; Quinn, Sean/0000-0002-7213-5794; Rogers, Field/0000-0003-3791-0107; Xiao, Mengjiao/0000-0002-6397-617X; Ryan, James/0000-0001-6662-5925; von Doetinchem, Philip/0000-0002-7801-3376; Marcelli, Nadir/0000-0001-9375-735X</t>
  </si>
  <si>
    <t>NASA APRA grants [NNX17AB44G, NNX17AB45G, 279NNX17AB46G, NNX17AB47G]; JAXA/ISAS Small Science Program [FY2017.280]; National Science Foundation, USA [PHY-1551980]; National Science Foundation Graduate Research Fellowship, USA [1122374]; NASA FINESST, USA [80NSSC19K1425]; Istituto Nazionale di Fisica Nucleare (INFN); Italian Space Agency through the ASI INFN [2018-28-HH.0]; NASA [NNX17AB45G, NNX17AB44G, 1002557, 1003295, NNX17AB47G, 1003701] Funding Source: Federal RePORTER</t>
  </si>
  <si>
    <t>NASA APRA grants; JAXA/ISAS Small Science Program; National Science Foundation, USA(National Science Foundation (NSF)); National Science Foundation Graduate Research Fellowship, USA; NASA FINESST, USA; Istituto Nazionale di Fisica Nucleare (INFN)(Istituto Nazionale di Fisica Nucleare (INFN)); Italian Space Agency through the ASI INFN; NASA(National Aeronautics &amp; Space Administration (NASA))</t>
  </si>
  <si>
    <t>This work is supported in the U.S. by NASA APRA grants (NNX17AB44G, NNX17AB45G, 279NNX17AB46G, and NNX17AB47G) and in Japan by JAXA/ISAS Small Science Program FY2017.280. P. von Doetinchem received support from the National Science Foundation, USA under award PHY-1551980. F. Rogers is supported through the National Science Foundation Graduate Research Fellowship, USA under Grant No. 1122374. M. Xiao receives support from the Heising-Simons Foundation, USA. C. Gerrity was supported by NASA FINESST, USA under Grant No. 80NSSC19K1425. This work is supported in Italy by Istituto Nazionale di Fisica Nucleare (INFN) and by the Italian Space Agency through the ASI INFN agreement n. 2018-28-HH.0: Partecipazione italiana al GAPS - General AntiParticle Spectrometer. The technical support and advanced computing resources from the University of Hawaii Information Technology Services - Cyberinfrastructure are gratefully acknowledged.</t>
  </si>
  <si>
    <t>0927-6505</t>
  </si>
  <si>
    <t>1873-2852</t>
  </si>
  <si>
    <t>ASTROPART PHYS</t>
  </si>
  <si>
    <t>Astropart Phys.</t>
  </si>
  <si>
    <t>10.1016/j.astropartphys.2021.102640</t>
  </si>
  <si>
    <t>UK7GW</t>
  </si>
  <si>
    <t>WOS:000692135400001</t>
  </si>
  <si>
    <t>Kirby, A; Hernández-Molina, FJ; Rodriguez, P; Conti, B</t>
  </si>
  <si>
    <t>Kirby, A.; Hernandez-Molina, F. J.; Rodriguez, P.; Conti, B.</t>
  </si>
  <si>
    <t>Sedimentary stacking pattern of plastered drifts: An example from the Cenozoic on the Uruguayan continental slope</t>
  </si>
  <si>
    <t>Deep-water sedimentation; Contourites; Plastered drifts; Continental margin; Cenozoic; Uruguay</t>
  </si>
  <si>
    <t>CONTOURITE DEPOSITIONAL SYSTEM; ANTARCTIC CIRCUMPOLAR CURRENT; NORTHERN ARGENTINE MARGIN; BOTTOM CURRENT ACTIVITY; PUNTA-DEL-ESTE; INTERNAL WAVES; SEISMIC EXPRESSION; WATER; CIRCULATION; GULF</t>
  </si>
  <si>
    <t>Plastered drifts are a complex type of contouritic drift, very common along continental slopes, although their precise sedimentary stacking pattern and long-term evolution are not well understood. In this work we used 3D and 2D multichannel reflection seismic and well datasets to characterize a Paleogene plastered drift along the Uruguayan continental margin. A large buried drift running parallel to the middle and lower slope was identified, comprising five main seismic units (SU1-SU5) and a number of subunits subdivided by internal widespread erosive discontinuities. An extensive contourite terrace is developed on the landward top of the drift, while smaller-scale bottom current features (channels and bedforms) denote a hierarchy of features related to water mass circulation and interfaces, as well as associated oceanographic processes. Four long-term evolutionary stages were decoded in the plastered drift formation: I) Onset Stage (66 Ma - 56 Ma), whose basal surface represents a prominent erosional surface marking the onset of drift, after which extensive sheeted deposits develop; II) Growth Stage (Eocene similar to 56 - similar to 38 Ma) with a prominent backstepping sedimentary stacking pattern; III) Maintained Stage (similar to 38 Ma - similar to 20 Ma) of limited growth of the drift, characterised by aggradational sheeted deposits and extensive erosion; and IV) Burial Stage (&lt;20 Ma), which determines a major change in the margin evolution -the main depocenter shifts to deeper domains, leading to the final burial of the drift. The plastered drift formation is attributed to the influence of a deeper and weak water mass and a shallower but more vigorous water mass, as well as their interface. The aforementioned evolutionary stages and the greatest changes in the drift depositional style would be a consequence of spatial and vertical changes in these water masses over millions of years, the Growth Stage being related to the expansion and intensification of deep-water circulation that modulated the formation of the proximal terrace at its top and resulted in the backstepping stacking pattern. The smaller lateral and vertical changes in the seismic units and subunits along the drift are linked to local bottom current processes and their interaction with the slope morphology, the slope gradient playing a key role in the lateral bottom current behavior. This study shows the complex lateral and temporal sedimentary stacking pattern and evolution of a contouritic drift, and decodes the dominant oceanographic and depositional processes in its long-term formation. In doing so, we demonstrate the requirement of extensive 2D and 3D seismic datasets for accurate characterisations. Still, similar research in other continental margins is needed to better understand how and when (in geological time) large contouritic drifts are generated, in light of their implications for basin analysis, paleoceanographic reconstructions, and energy geosciences.</t>
  </si>
  <si>
    <t>[Kirby, A.; Hernandez-Molina, F. J.] Royal Holloway Univ London, Dept Earth Sci, Egham TW20 0EX, Surrey, England; [Rodriguez, P.; Conti, B.] ANCAP, Explorac &amp; Prod, Paysandu S-N Esq Av Libertador, Montevideo 11100, Uruguay</t>
  </si>
  <si>
    <t>Rodriguez Watorek, Pablo/0000-0003-2015-7032</t>
  </si>
  <si>
    <t>BP of The Drifters Research Group at Royal Holloway University of London (RHUL); ENI of The Drifters Research Group at Royal Holloway University of London (RHUL); ExxonMobil of The Drifters Research Group at Royal Holloway University of London (RHUL); TOTAL of The Drifters Research Group at Royal Holloway University of London (RHUL); Wintershall Dea of The Drifters Research Group at Royal Holloway University of London (RHUL); TGS of The Drifters Research Group at Royal Holloway University of London (RHUL)</t>
  </si>
  <si>
    <t>This study was funded through a Joint Industry Project supported by BP, ENI, ExxonMobil, TOTAL, Wintershall Dea and TGS, within the framework of The Drifters Research Group at Royal Holloway University of London (RHUL). Our thanks to ANCAP (Administracion Nacional Combustibles, Alcohol y Portland -Uruguay) for allowing access to office space, equipment, and all 2D/3D seismic and well data used. Furthermore, thank you to Debora Duarte and Oswaldo Mantilla for aiding in the preparation of surface figures. We would like to thank the editor and the two anonymous reviewers for improving the preliminary submitted manuscript with their positive and detailed suggestions.</t>
  </si>
  <si>
    <t>10.1016/j.margeo.2021.106567</t>
  </si>
  <si>
    <t>UH1QU</t>
  </si>
  <si>
    <t>WOS:000689714900023</t>
  </si>
  <si>
    <t>Mizuta, G; Fukamachi, Y; Simizu, D; Matsumura, Y; Kitade, Y; Hirano, D; Fujii, M; Nogi, Y; Ohshima, KI</t>
  </si>
  <si>
    <t>Mizuta, Genta; Fukamachi, Yasushi; Simizu, Daisuke; Matsumura, Yoshimasa; Kitade, Yujiro; Hirano, Daisuke; Fujii, Masakazu; Nogi, Yoshifumi; Ohshima, Kay, I</t>
  </si>
  <si>
    <t>Seasonal Evolution of Cape Darnley Bottom Water Revealed by Mooring Measurements</t>
  </si>
  <si>
    <t>sea ice; seasonal evolution; mooring measurement; Cape Darnley Bottom Water; Antarctic Bottom Water</t>
  </si>
  <si>
    <t>CONTINENTAL-SLOPE; CIRCULATION; SHELF</t>
  </si>
  <si>
    <t>This study examines the seasonal evolution of Cape Darnley Bottom Water (CDBW), using the results of mooring and hydrographic measurements in the slope region off Cape Darnley in 2008-2009 and 2013-2014. Newly formed CDBW began reaching the western and nearshore part of the slope region off Cape Darnley in April, spread to the offshore and eastern part in May, and reached the easternmost part in September. The potential temperature and salinity decreased and the neutral density increased when newly formed CDBW reached mooring sites. Potential temperature-salinity properties of CDBW changed over time and location. The salinity of the source water of CDBW estimated from potential temperature-salinity diagrams started to increase at a nearshore mooring in late April, which is about 2 months after the onset of sea-ice production, and continued to increase during the ice production season. It is most probable that the accumulation of brine in the Cape Darnley polynya produces the seasonal variation of potential temperature-salinity properties of CDBW. Two types of CDBW were identified. Cold and less saline CDBW and warm and saline CDBW were present in Wild and Daly Canyons, respectively. This indicates that the salinity of the source water of CDBW increased in the westward direction. CDBW exhibited short-term variability induced by baroclinic instability.</t>
  </si>
  <si>
    <t>[Mizuta, Genta] Hokkaido Univ, Grad Sch Environm Earth Sci, Sapporo, Hokkaido, Japan; [Fukamachi, Yasushi; Hirano, Daisuke; Ohshima, Kay, I] Hokkaido Univ, Arctic Res Ctr, Sapporo, Hokkaido, Japan; [Fukamachi, Yasushi] Hokkaido Univ, Global Inst Collaborat Res &amp; Educ, Global Stn Arctic Res, Sapporo, Hokkaido, Japan; [Simizu, Daisuke; Hirano, Daisuke; Fujii, Masakazu; Nogi, Yoshifumi] Natl Inst Polar Res, Tachikawa, Tokyo, Japan; [Matsumura, Yoshimasa] Univ Tokyo, Atmosphere &amp; Ocean Res Inst, Kashiwa, Chiba, Japan; [Kitade, Yujiro] Tokyo Univ Marine Sci &amp; Technol, Grad Sch Marine Sci &amp; Technol, Dept Marine Resources &amp; Environm, Tokyo, Japan; [Hirano, Daisuke; Ohshima, Kay, I] Hokkaido Univ, Inst Low Temp Sci, Sapporo, Hokkaido, Japan; [Hirano, Daisuke; Fujii, Masakazu; Nogi, Yoshifumi] Grad Univ Adv Studies, Sch Multidisciplinary Sci, Dept Polar Sci, Tachikawa, Tokyo, Japan</t>
  </si>
  <si>
    <t>Hokkaido University; Hokkaido University; Hokkaido University; Research Organization of Information &amp; Systems (ROIS); National Institute of Polar Research (NIPR) - Japan; University of Tokyo; Tokyo University of Marine Science &amp; Technology; Hokkaido University; Graduate University for Advanced Studies - Japan</t>
  </si>
  <si>
    <t>Mizuta, G (corresponding author), Hokkaido Univ, Grad Sch Environm Earth Sci, Sapporo, Hokkaido, Japan.</t>
  </si>
  <si>
    <t>mizuta@ees.hokudai.ac.jp</t>
  </si>
  <si>
    <t>Hirano, Daisuke/P-3963-2019; Matsumura, Yoshimasa/D-9456-2012; Ohshima, Kay I/D-6909-2012</t>
  </si>
  <si>
    <t>SIMIZU, Daisuke/0000-0003-4214-6756</t>
  </si>
  <si>
    <t>Ministry of Education, Culture, Sports, Science and Technology in Japan [20221001, 20540419, 25241001, 17H01157, 17H06317, 20H05707, 23340135]; Science Program of Japanese Antarctic Research Expedition; Grants-in-Aid for Scientific Research [20540419, 25241001, 17H06317, 23340135, 20H04961, 20H05707] Funding Source: KAKEN</t>
  </si>
  <si>
    <t>Ministry of Education, Culture, Sports, Science and Technology in Japan(Ministry of Education, Culture, Sports, Science and Technology, Japan (MEXT)); Science Program of Japanese Antarctic Research Expedition; Grants-in-Aid for Scientific Research(Ministry of Education, Culture, Sports, Science and Technology, Japan (MEXT)Japan Society for the Promotion of ScienceGrants-in-Aid for Scientific Research (KAKENHI))</t>
  </si>
  <si>
    <t>The present study was supported by Grants-in-Aid for Scientific Research (20221001, 20540419, 25241001, 17H01157, 17H06317, 20H05707, and 23340135) of the Ministry of Education, Culture, Sports, Science and Technology in Japan, and the Science Program of Japanese Antarctic Research Expedition.</t>
  </si>
  <si>
    <t>AUG 11</t>
  </si>
  <si>
    <t>10.3389/fmars.2021.657119</t>
  </si>
  <si>
    <t>UB9TL</t>
  </si>
  <si>
    <t>WOS:000686180000001</t>
  </si>
  <si>
    <t>Ardiningsih, I; Seyitmuhammedov, K; Sander, SG; Stirling, CH; Reichart, GJ; Arrigo, KR; Gerringa, LJA; Middag, R</t>
  </si>
  <si>
    <t>Ardiningsih, Indah; Seyitmuhammedov, Kyyas; Sander, Sylvia G.; Stirling, Claudine H.; Reichart, Gert-Jan; Arrigo, Kevin R.; Gerringa, Loes J. A.; Middag, Rob</t>
  </si>
  <si>
    <t>Fe-binding organic ligands in coastal and frontal regions of the western Antarctic Peninsula</t>
  </si>
  <si>
    <t>IRON COMPLEXING LIGANDS; DISSOLVED IRON; SOUTHERN-OCEAN; HYDROXAMATE SIDEROPHORES; CHEMICAL SPECIATION; COMMUNITY STRUCTURE; SEA-ICE; COMPLEXATION; SEAWATER; WATERS</t>
  </si>
  <si>
    <t>Organic ligands are a key factor determining the availability of dissolved iron (DFe) in the high-nutrient low-chlorophyll (HNLC) areas of the Southern Ocean. In this study, organic speciation of Fe is investigated along a natural gradient of the western Antarctic Peninsula, from an ice-covered shelf to the open ocean. An electrochemical approach, competitive ligand exchange - adsorptive cathodic stripping voltammetry (CLE-AdCSV), was applied. Our results indicated that organic ligands in the surface water on the shelf are associated with ice-algal exudates, possibly combined with melting of sea ice. Organic ligands in the deeper shelf water are supplied via the resuspension of slope or shelf sediments. Further offshore, organic ligands are most likely related to the development of phytoplankton blooms in open ocean waters. On the shelf, total ligand concentrations ([L-t]) were between 1.2 and 6.4 nM eq. Fe. The organic ligands offshore ranged between 1.0 and 3.0 nM eq. Fe. The southern boundary of the Antarctic Circumpolar Current (SB ACC) separated the organic ligands on the shelf from bloomassociated ligands offshore. Overall, organic ligand concentrations always exceeded DFe concentrations (excess ligand concentration, [L'] = 0.8-5.0 nM eq. Fe). The [L'] made up to 80 % of [L-t], suggesting that any additional Fe input can be stabilized in the dissolved form via organic complexation. The denser modified Circumpolar Deep Water (mCDW) on the shelf showed the highest complexation capacity of Fe (alpha Fe'L; the product of [L'] and conditional binding strength of ligands, K-Fe'L(cond)). Since Fe is also supplied by shelf sediments and glacial discharge, the high complexation capacity over the shelf can keep Fe dissolved and available for local primary productivity later in the season upon sea-ice melting.</t>
  </si>
  <si>
    <t>[Ardiningsih, Indah; Reichart, Gert-Jan; Gerringa, Loes J. A.; Middag, Rob] NIOZ Royal Netherlands Inst Sea Res, Dept Ocean Syst, NL-1797 SH Texel, Netherlands; [Ardiningsih, Indah; Reichart, Gert-Jan; Gerringa, Loes J. A.; Middag, Rob] Univ Utrecht, NL-1797 SH Texel, Netherlands; [Seyitmuhammedov, Kyyas; Stirling, Claudine H.; Middag, Rob] Univ Otago, Ctr Trace Element Anal, Dunedin, New Zealand; [Seyitmuhammedov, Kyyas; Stirling, Claudine H.; Middag, Rob] Univ Otago, Dunedin, New Zealand; [Sander, Sylvia G.] IAEA, 4a Quai Antoine Ler, MC-98000 Principality Of Monaco, Monaco; [Reichart, Gert-Jan] Univ Utrecht, Fac Geosci, Earth Sci Dept, NL-3512 JE Utrecht, Netherlands; [Arrigo, Kevin R.] Stanford Univ, Dept Earth Syst Sci, Stanford, CA USA</t>
  </si>
  <si>
    <t>Utrecht University; Royal Netherlands Institute for Sea Research (NIOZ); Utrecht University; University of Otago; University of Otago; Utrecht University; Stanford University</t>
  </si>
  <si>
    <t>Ardiningsih, I (corresponding author), NIOZ Royal Netherlands Inst Sea Res, Dept Ocean Syst, NL-1797 SH Texel, Netherlands.;Ardiningsih, I (corresponding author), Univ Utrecht, NL-1797 SH Texel, Netherlands.</t>
  </si>
  <si>
    <t>Indah.ardiningsih@nioz.nl</t>
  </si>
  <si>
    <t>Sander, Sylvia/AAC-3559-2022; Reichart, Gert-Jan/N-6308-2018; Middag, Rob/D-6423-2013</t>
  </si>
  <si>
    <t>Sander, Sylvia/0000-0001-9581-9737; Ardiningsih, Indah/0000-0002-3537-6927; Reichart, Gert-Jan/0000-0002-7256-2243; Middag, Rob/0000-0002-3326-530X; Arrigo, Kevin/0000-0002-7364-876X</t>
  </si>
  <si>
    <t>Koninklijk Nederlands Instituut voor Onderzoek der Zee (OCS); Indonesia Endowment Fund for Education (LPDP); University of Otago; National Science Foundation Office of Polar Programs [ANT-1063592]</t>
  </si>
  <si>
    <t>Koninklijk Nederlands Instituut voor Onderzoek der Zee (OCS); Indonesia Endowment Fund for Education (LPDP); University of Otago; National Science Foundation Office of Polar Programs(National Science Foundation (NSF)NSF - Directorate for Geosciences (GEO))</t>
  </si>
  <si>
    <t>This research has been supported by the Koninklijk Nederlands Instituut voor Onderzoek der Zee (OCS). Indah Ardiningsih was financed by the Indonesia Endowment Fund for Education (LPDP), and Kyyas Seyitmuhammedov received a scholarship from the University of Otago. Kevin R. Arrigo was funded by a grant from the National Science Foundation Office of Polar Programs (ANT-1063592).</t>
  </si>
  <si>
    <t>10.5194/bg-18-4587-2021</t>
  </si>
  <si>
    <t>UA4ZA</t>
  </si>
  <si>
    <t>WOS:000685170200001</t>
  </si>
  <si>
    <t>De Castro-Fernández, P; Cardona, L; Avila, C</t>
  </si>
  <si>
    <t>De Castro-Fernandez, Paula; Cardona, Luis; Avila, Conxita</t>
  </si>
  <si>
    <t>Distribution of trace elements in benthic infralittoral organisms from the western Antarctic Peninsula reveals no latitudinal gradient of pollution</t>
  </si>
  <si>
    <t>KING-GEORGE ISLAND; LIMPET NACELLA-CONCINNA; HEAVY-METALS; MARINE ORGANISMS; ADMIRALTY BAY; TROPHIC RELATIONSHIPS; BASE-LINE; POLYCHLORINATED-BIPHENYLS; SEASONAL-VARIATIONS; MCMURDO SOUND</t>
  </si>
  <si>
    <t>Antarctica is considered one of the most pristine regions on Earth, but evidences of global and local anthropogenic pollution exist. Chromium (Cr), lead (Pb) and mercury (Hg) are bioaccumulated and sometimes biomagnified through the trophic web. We aim to determine whether a latitudinal gradient of these trace elements exists in benthic organisms along the rocky shores of the Antarctic Peninsula and the South Shetland Islands. Levels of Cr, Pb, and Hg were measured by ICP-MS in two macroalgae (Palmaria decipiens and Desmarestia anceps or Desmarestia menziesii), one gastropod (Nacella concinna), two starfishes (Odontaster validus and Diplasterias brucei), and suspended particulate organic matter (SPOM) from five sampling sites ranging in latitude from 62 degrees 11 ' 17 '' S to 67 degrees 33 ' 47 '' S. Levels of trace elements differed among sites and species, but no latitudinal gradient was observed for these pollutants. Levels of Hg and Pb in animals were consistent with biomagnifications along the food web, as were higher is starfish than in limpets. However, macroalgae and SPOM are unlikely to be the main primary producers supporting those consumers, as Hg levels in macroalgae and Pb levels in SPOM were much higher than in animals. The levels of trace elements detected were similar or higher than in other Antarctic places and other regions of the world, thus indicating that the Antarctic Peninsula area is as polluted as the rest of the world.</t>
  </si>
  <si>
    <t>[De Castro-Fernandez, Paula] Univ Barcelona, Dept Evolutionary Biol Ecol &amp; Environm Sci, Diagonal Ave 643, Barcelona 08028, Catalonia, Spain; Univ Barcelona, Biodivers Res Inst IRBio, Diagonal Ave 643, Barcelona 08028, Catalonia, Spain</t>
  </si>
  <si>
    <t>University of Barcelona; University of Barcelona</t>
  </si>
  <si>
    <t>De Castro-Fernández, P (corresponding author), Univ Barcelona, Dept Evolutionary Biol Ecol &amp; Environm Sci, Diagonal Ave 643, Barcelona 08028, Catalonia, Spain.</t>
  </si>
  <si>
    <t>p.decastro@ub.edu</t>
  </si>
  <si>
    <t>Cardona, Luis/L-1680-2014; Avila, Conxita/B-9466-2008</t>
  </si>
  <si>
    <t>Cardona, Luis/0000-0002-7892-1323; de Castro-Fernandez, Paula/0000-0003-3863-7042; Avila, Conxita/0000-0002-5489-8376</t>
  </si>
  <si>
    <t>DISTANTCOM [CTM2013-42667/ANT]; BLUEBIO [CTM2016-78901/ANT]; FPU Grant of the MEFP (Spain) [2016-02877]</t>
  </si>
  <si>
    <t>DISTANTCOM; BLUEBIO; FPU Grant of the MEFP (Spain)(German Research Foundation (DFG))</t>
  </si>
  <si>
    <t>This work was performed under the projects DISTANTCOM (CTM2013-42667/ANT) and BLUEBIO (CTM2016-78901/ANT). We would like to thank the researchers who participated in the DISTANTCOM cruise for their help in collecting samples. Thanks are also due to all the technicians at the Unit of Metal Analysis of the Scientific and Technological Centers (CCiT) of the University of Barcelona, specially P. Menendez, M. Romero, and R. Martinez. Thanks are also due to A. Gomez-Garreta, J. Rull-Lluch, and R. Martin-Martin for the macroalgae identification, E. Lloret-Lloret for helping with the sample processing, and F. Saporiti for the constant advice and support in the laboratory. This is an AntIcon (SCAR) contribution. P. D. acknowledges financial support from an FPU Grant (2016-02877) of the MEFP (Spain). We acknowledge the QGIS Development Team and the Norwegian Polar Institute's Quantarctica package.</t>
  </si>
  <si>
    <t>10.1038/s41598-021-95681-5</t>
  </si>
  <si>
    <t>TZ2ZB</t>
  </si>
  <si>
    <t>WOS:000684343800007</t>
  </si>
  <si>
    <t>Sigmund, A; Dujardin, J; Comola, F; Sharma, V; Huwald, H; Melo, DB; Hirasawa, N; Nishimura, K; Lehning, M</t>
  </si>
  <si>
    <t>Sigmund, Armin; Dujardin, Jerome; Comola, Francesco; Sharma, Varun; Huwald, Hendrik; Melo, Daniela Brito; Hirasawa, Naohiko; Nishimura, Kouichi; Lehning, Michael</t>
  </si>
  <si>
    <t>Evidence of Strong Flux Underestimation by Bulk Parametrizations During Drifting and Blowing Snow</t>
  </si>
  <si>
    <t>BOUNDARY-LAYER METEOROLOGY</t>
  </si>
  <si>
    <t>Eddy-covariance technique; Large-eddy simulations; Monin-Obukhov similarity theory; Snow transport; Turbulent heat fluxes</t>
  </si>
  <si>
    <t>FREQUENCY-RESPONSE CORRECTIONS; SURFACE MASS-BALANCE; EDDY-COVARIANCE; WATER-VAPOR; SNOWDRIFT SUBLIMATION; SCALAR ROUGHNESS; SEA-ICE; WIND; HEAT; ANTARCTICA</t>
  </si>
  <si>
    <t>The influence of drifting and blowing snow on surface mass and energy exchange is difficult to quantify due to limitations in both measurements and models, but is still potentially very important over large areas with seasonal or perennial snow cover. We present a unique set of measurements that make possible the calculation of turbulent moisture, heat, and momentum fluxes during conditions of drifting and blowing snow. From the data, Monin-Obukhov estimation of bulk fluxes is compared to eddy-covariance-derived fluxes. In addition, large-eddy simulations with sublimating particles are used to more completely understand the vertical profiles of the fluxes. For a storm period at the Syowa S17 station in East Antarctica, the bulk parametrization severely underestimates near-surface heat and moisture fluxes. The large-eddy simulations agree with the eddy-covariance fluxes when the measurements are minimally disturbed by the snow particles. We conclude that overall exchange over snow surfaces is much more intense than current models suggest, which has implications for the total mass balance of the Antarctic ice sheet and the cryosphere.</t>
  </si>
  <si>
    <t>[Sigmund, Armin; Dujardin, Jerome; Comola, Francesco; Sharma, Varun; Huwald, Hendrik; Melo, Daniela Brito; Lehning, Michael] Ecole Polytech Fed Lausanne, Sch Architecture Civil &amp; Environm Engn, Lausanne, Switzerland; [Dujardin, Jerome; Sharma, Varun; Huwald, Hendrik; Lehning, Michael] WSL Inst Snow &amp; Avalanche Res SLF, Davos, Switzerland; [Hirasawa, Naohiko] Natl Inst Polar Res, Tokyo, Japan; [Nishimura, Kouichi] Nagoya Univ, Grad Sch Environm Studies, Nagoya, Aichi, Japan</t>
  </si>
  <si>
    <t>Swiss Federal Institutes of Technology Domain; Ecole Polytechnique Federale de Lausanne; Swiss Federal Institutes of Technology Domain; Swiss Federal Institute for Forest, Snow &amp; Landscape Research; Research Organization of Information &amp; Systems (ROIS); National Institute of Polar Research (NIPR) - Japan; Nagoya University</t>
  </si>
  <si>
    <t>Sigmund, A (corresponding author), Ecole Polytech Fed Lausanne, Sch Architecture Civil &amp; Environm Engn, Lausanne, Switzerland.</t>
  </si>
  <si>
    <t>armin.sigmund@epfl.ch</t>
  </si>
  <si>
    <t>Huwald, Hendrik/S-3688-2019; Sigmund, Armin/AAD-2653-2022; Lehning, Michael/AFS-9462-2022</t>
  </si>
  <si>
    <t>Huwald, Hendrik/0000-0003-3769-7342; Sigmund, Armin/0000-0003-3587-1132; Lehning, Michael/0000-0002-8442-0875; Comola, Francesco/0000-0002-3867-732X; NISHIMURA, Kouichi/0000-0003-2521-2491; Brito Melo, Daniela/0000-0003-1685-9197; Dujardin, Jerome/0000-0001-5404-7734</t>
  </si>
  <si>
    <t>Swiss National Science Foundation (SNSF) [179130]; Swiss National Supercomputing Centre (CSCS) [s873, s1031]</t>
  </si>
  <si>
    <t>Swiss National Science Foundation (SNSF)(Swiss National Science Foundation (SNSF)); Swiss National Supercomputing Centre (CSCS)</t>
  </si>
  <si>
    <t>We thank two anonymous reviewers for their valuable and constructive comments. We thank the team of the Japanese Antarctic Research Expedition for supporting the field campaign. This study was supported by grants from the Swiss National Science Foundation (SNSF) under project number 179130 and from the Swiss National Supercomputing Centre (CSCS) under the project ID's s873 and s1031. Franziska Gerber is acknowledged for valuable discussions about the data analysis. Measurement and simulation data are provided on request; please contact the authors.</t>
  </si>
  <si>
    <t>0006-8314</t>
  </si>
  <si>
    <t>1573-1472</t>
  </si>
  <si>
    <t>BOUND-LAY METEOROL</t>
  </si>
  <si>
    <t>Bound.-Layer Meteor.</t>
  </si>
  <si>
    <t>10.1007/s10546-021-00653-x</t>
  </si>
  <si>
    <t>YD3FA</t>
  </si>
  <si>
    <t>WOS:000684041600001</t>
  </si>
  <si>
    <t>Labrousse, S; Iles, D; Viollat, L; Fretwell, P; Trathan, PN; Zitterbart, DP; Jenouvrier, S; LaRue, M</t>
  </si>
  <si>
    <t>Labrousse, Sara; Iles, David; Viollat, Lise; Fretwell, Peter; Trathan, Philip N.; Zitterbart, Daniel P.; Jenouvrier, Stephanie; LaRue, Michelle</t>
  </si>
  <si>
    <t>Quantifying the causes and consequences of variation in satellite-derived population indices: a case study of emperor penguins</t>
  </si>
  <si>
    <t>Emperor penguin; intra-seasonal variability; population estimates; population trend; satellite imagery; VHR imagery</t>
  </si>
  <si>
    <t>BEHAVIOR; DYNAMICS; ECOLOGY</t>
  </si>
  <si>
    <t>Very high-resolution satellite (VHR) imagery is a promising tool for estimating the abundance of wildlife populations, especially in remote regions where traditional surveys are limited by logistical challenges. Emperor penguins Aptenodytes forsteri were the first species to have a circumpolar population estimate derived via VHR imagery. Here we address an untested assumption from Fretwell et al. (2012) that a single image of an emperor penguin colony is a reasonable representation of the colony for the year the image was taken. We evaluated satellite-related and environmental variables that might influence the calculated area of penguin pixels to reduce uncertainties in satellite-based estimates of emperor penguin populations in the future. We focused our analysis on multiple VHR images from three representative colonies: Atka Bay, Stancomb-Wills (Weddell Sea sector) and Coulman Island (Ross Sea sector) between September and December during 2011. We replicated methods in Fretwell et al. (2012), which included using supervised classification tools in ArcGIS 10.7 software to calculate area occupied by penguins (hereafter referred to as 'population indices') in each image. We found that population indices varied from 2 to nearly 6-fold, suggesting that penguin pixel areas calculated from a single image may not provide a complete understanding of colony size for that year. Thus, we further highlight the important roles of: (i) sun azimuth and elevation through image resolution and (ii) penguin patchiness (aggregated vs. distributed) on the calculated areas. We found an effect of wind and temperature on penguin patchiness. Despite intra-seasonal variability in population indices, simulations indicate that reliable, robust population trends are possible by including satellite-related and environmental covariates and aggregating indices across time and space. Our work provides additional parameters that should be included in future models of population size for emperor penguins.</t>
  </si>
  <si>
    <t>[Labrousse, Sara; LaRue, Michelle] Univ Minnesota, Dept Earth &amp; Environm Sci, Minneapolis, MN USA; [Labrousse, Sara; Iles, David; Viollat, Lise; Zitterbart, Daniel P.; Jenouvrier, Stephanie] Woods Hole Oceanog Inst, Mail Stop 50,266 Woods Hole Rd, Woods Hole, MA 02543 USA; [Iles, David] Environm &amp; Climate Change, Canadian Wildlife Serv, Ottawa, ON, Canada; [Fretwell, Peter; Trathan, Philip N.] British Antarctic Survey, Cambridge, England; [Zitterbart, Daniel P.] Friedrich Alexander Univ Erlangen Nurnberg, Dept Phys, Erlangen, Germany; [LaRue, Michelle] Univ Canterbury, Sch Earth &amp; Environm, Christchurch, New Zealand</t>
  </si>
  <si>
    <t>University of Minnesota System; University of Minnesota Twin Cities; Woods Hole Oceanographic Institution; Environment &amp; Climate Change Canada; Canadian Wildlife Service; UK Research &amp; Innovation (UKRI); Natural Environment Research Council (NERC); NERC British Antarctic Survey; University of Erlangen Nuremberg; University of Canterbury</t>
  </si>
  <si>
    <t>Labrousse, S (corresponding author), Woods Hole Oceanog Inst, Mail Stop 50,266 Woods Hole Rd, Woods Hole, MA 02543 USA.</t>
  </si>
  <si>
    <t>sara.labrousse@gmail.com</t>
  </si>
  <si>
    <t>Zitterbart, Daniel P/N-7489-2013</t>
  </si>
  <si>
    <t>Labrousse, Sara/0000-0002-8099-3254; Zitterbart, Daniel/0000-0001-9429-4350; Viollat, Lise/0000-0002-1382-213X</t>
  </si>
  <si>
    <t>Polar Geospatial Center under NSF-OPP [1043681, 1559691]; NCAR- PPC visitor funds; WWF-UK [GB095701]; Penzance Endowed Fund; Grayce B. Kerr Fund in Support of Assistant Scientists; NSF [OPP 1744794]; NERC [bas0100035] Funding Source: UKRI</t>
  </si>
  <si>
    <t>Polar Geospatial Center under NSF-OPP; NCAR- PPC visitor funds; WWF-UK; Penzance Endowed Fund; Grayce B. Kerr Fund in Support of Assistant Scientists; NSF(National Science Foundation (NSF)); NERC(UK Research &amp; Innovation (UKRI)Natural Environment Research Council (NERC))</t>
  </si>
  <si>
    <t>Geospatial support for this work was provided by the Polar Geospatial Center under NSF-OPP awards 1043681 and 1559691. NCAR- PPC visitor funds and Ian Nisbet that supported the internship of LV. WWF-UK supported PNT and PTF under grant GB095701. DZ was supported by The Penzance Endowed Fund and The Grayce B. Kerr Fund in Support of Assistant Scientists. To SJ, ML, SL, LV, NSF OPP 1744794. We thank Rose Foster-Dyer for analysing one image of Coulman Island for comparison and to Frederic Le Manach for figure designs.</t>
  </si>
  <si>
    <t>10.1002/rse2.233</t>
  </si>
  <si>
    <t>WOS:000683894600001</t>
  </si>
  <si>
    <t>Szufa, KM; Mietelski, JW; Olech, MA</t>
  </si>
  <si>
    <t>Szufa, K. M.; Mietelski, J. W.; Olech, M. A.</t>
  </si>
  <si>
    <t>Assessment of internal radiation exposure to Antarctic biota due to selected natural radionuclides in terrestrial and marine environment</t>
  </si>
  <si>
    <t>JOURNAL OF ENVIRONMENTAL RADIOACTIVITY</t>
  </si>
  <si>
    <t>The Antarctic; Doses to biota; Potassium; Thorium; Uranium</t>
  </si>
  <si>
    <t>IONIZING-RADIATION; HUMAN CONSUMERS; LICHENS; MOSSES; CS-137; AM-241; SR-90; SOIL; PU239+240; PU-238</t>
  </si>
  <si>
    <t>The present article introduces data on natural radioactivity (K-40, Th-230,Th-232, U-234,U-238) in the Antarctic marine and terrestrial environment. Various biota samples were analysed due to internal exposure to K-40, Th-230,Th-232, U-234,U-238. Activity concentration of 40 K was the highest in both marine and terrestrial samples. Mean values of 40 K activity concentration are 1340 Bq/kg and 370 Bq/kg for the marine and terrestrial samples respectively. U-234/U-238 ratios analysis revealed that sea waters and sea spray are the main source of the uranium in the terrestrial samples. Average Th-230,Th-232, U-234,U-238 activity concentrations in the Antarctic biota do not exceed 6 Bq/kg. Weighted internal dose rates are relatively low; they range from approximately 0.1 to 0.6 mu Gy/h. Statistically significant differences in radionuclide accumulation were discovered between the mosses and lichens. It may point to various mechanisms of the nutrient absorption from the environment by these organisms.</t>
  </si>
  <si>
    <t>[Szufa, K. M.] Jan Dlugosz Univ Czestochowa, Dept Expt &amp; Appl Phys, Armii Krajowej 13-15, PL-42200 Czestochowa, Poland; [Szufa, K. M.; Mietelski, J. W.] Polish Acad Sci, Inst Nucl Phys, Radzikowskiego 152, PL-31342 Krakow, Poland; [Olech, M. A.] Jagiellonian Univ, Inst Bot, Gronostajowa 3, PL-30387 Krakow, Poland; [Olech, M. A.] Polish Acad Sci, Inst Biochem &amp; Biophys, Dept Antarctic Biol, Pawinskiego 5a, PL-02109 Warsaw, Poland</t>
  </si>
  <si>
    <t>Jan Dlugosz University; Polish Academy of Sciences; Institute of Nuclear Physics - Polish Academy of Sciences; Jagiellonian University; Polish Academy of Sciences; Institute of Biochemistry &amp; Biophysics - Polish Academy of Sciences</t>
  </si>
  <si>
    <t>Szufa, KM (corresponding author), Jan Dlugosz Univ Czestochowa, Dept Expt &amp; Appl Phys, Armii Krajowej 13-15, PL-42200 Czestochowa, Poland.</t>
  </si>
  <si>
    <t>k.szufa@gmail.com</t>
  </si>
  <si>
    <t>Mietelski, Jerzy Wojciech/AAO-5241-2021</t>
  </si>
  <si>
    <t>Mietelski, Jerzy Wojciech/0000-0002-9430-1386; Szufa, Katarzyna/0000-0002-6973-0920</t>
  </si>
  <si>
    <t>National Science Centre, Poland [2015/17/N/ST10/03116]</t>
  </si>
  <si>
    <t>This work was supported by National Science Centre, Poland [research project no. 2015/17/N/ST10/03116] .</t>
  </si>
  <si>
    <t>0265-931X</t>
  </si>
  <si>
    <t>1879-1700</t>
  </si>
  <si>
    <t>J ENVIRON RADIOACTIV</t>
  </si>
  <si>
    <t>J. Environ. Radioact.</t>
  </si>
  <si>
    <t>10.1016/j.jenvrad.2021.106713</t>
  </si>
  <si>
    <t>UL7JE</t>
  </si>
  <si>
    <t>WOS:000692822400001</t>
  </si>
  <si>
    <t>Balasco, N; Alba, J; D'Abramo, M; Vitagliano, L</t>
  </si>
  <si>
    <t>Balasco, Nicole; Alba, Josephine; D'Abramo, Marco; Vitagliano, Luigi</t>
  </si>
  <si>
    <t>Quaternary Structure Transitions of Human Hemoglobin: An Atomic-Level View of the Functional Intermediate States</t>
  </si>
  <si>
    <t>JOURNAL OF CHEMICAL INFORMATION AND MODELING</t>
  </si>
  <si>
    <t>CRYSTAL-STRUCTURE; TREMATOMUS-NEWNESI; 4-OXALOCROTONATE TAUTOMERASE; TETRAMERIC HEMOGLOBIN; ALLOSTERIC TRANSITION; PK(A) VALUES; ACTIVE-SITE; T-STATE; BERNACCHII; DYNAMICS</t>
  </si>
  <si>
    <t>Human hemoglobin (HbA) is one of the prototypal systems used to investigate structure-function relationships in proteins. Indeed, HbA has been used to develop the basic concepts of protein allostery, although the atomic-level mechanism underlying the HbA functionality is still highly debated. This is due to the fact that most of the three-dimensional structural information collected over the decades refers to the endpoints of HbA functional transition with little data available for the intermediate states. Here, we report molecular dynamics (MD) simulations by focusing on the relevance of the intermediate states of the protein functional transition unraveled by the crystallographic studies carried out on vertebrate Hbs. Fully atomistic simulations of the HbA T-state indicate that the protein undergoes a spontaneous transition toward the R-state. The inspection of the trajectory structures indicates that the protein significantly populates the intermediate HL-(C) state previously unraveled by crystallography. In the structural transition, it also assumes the intermediate states crystallographically detected in Antarctic fish Hbs. This finding suggests that HbA and Antarctic fish Hbs, in addition to the endpoints of the transitions, also share a similar deoxygenation pathway despite a distace of hundreds of millions of years in the evolution scale. Finally, using the essential dynamic sampling methodology, we gained some insights into the reverse R to T transition that is not spontaneously observed in classic MD simulations.</t>
  </si>
  <si>
    <t>[Balasco, Nicole; Vitagliano, Luigi] CNR, Inst Biostruct &amp; Bioimaging, I-80134 Naples, Italy; [Alba, Josephine; D'Abramo, Marco] Univ Rome Sapienza, Dept Chem, I-00185 Rome, Italy; [Alba, Josephine] Univ Fribourg, Fribourg, Switzerland</t>
  </si>
  <si>
    <t>Consiglio Nazionale delle Ricerche (CNR); Istituto di Biostrutture e Bioimmagini (IBB-CNR); Sapienza University Rome; University of Fribourg</t>
  </si>
  <si>
    <t>Vitagliano, L (corresponding author), CNR, Inst Biostruct &amp; Bioimaging, I-80134 Naples, Italy.;D'Abramo, M (corresponding author), Univ Rome Sapienza, Dept Chem, I-00185 Rome, Italy.</t>
  </si>
  <si>
    <t>marco.dabramo@uniroma1.it; luigi.vitagliano@unina.it</t>
  </si>
  <si>
    <t>Alba, Josephine/ABE-9055-2021; D'Abramo, Marco/B-7035-2008; Balasco, Nicole/JFK-4445-2023</t>
  </si>
  <si>
    <t>Alba, Josephine/0000-0002-5467-4751; D'Abramo, Marco/0000-0001-6020-8581; Balasco, Nicole/0000-0001-7862-9448</t>
  </si>
  <si>
    <t>CINECA Supercomputing [HP10C1G4W3 HsHbDYN]</t>
  </si>
  <si>
    <t>CINECA Supercomputing(CINECA, Italy)</t>
  </si>
  <si>
    <t>The authors thank Luca De Luca and Maurizio Amendola for their technical support. CINECA Supercomputing (framework ISCRA@CINECA -project code HP10C1G4W3 HsHbDYN) is acknowledged for computational support.</t>
  </si>
  <si>
    <t>1549-9596</t>
  </si>
  <si>
    <t>1549-960X</t>
  </si>
  <si>
    <t>J CHEM INF MODEL</t>
  </si>
  <si>
    <t>J. Chem Inf. Model.</t>
  </si>
  <si>
    <t>10.1021/acs.jcim.1c00315</t>
  </si>
  <si>
    <t>Chemistry, Medicinal; Chemistry, Multidisciplinary; Computer Science, Information Systems; Computer Science, Interdisciplinary Applications</t>
  </si>
  <si>
    <t>Pharmacology &amp; Pharmacy; Chemistry; Computer Science</t>
  </si>
  <si>
    <t>UE9ZU</t>
  </si>
  <si>
    <t>WOS:000688241800024</t>
  </si>
  <si>
    <t>Jafari, V; Maccapan, D; Careddu, G; Sporta Caputi, S; Calizza, E; Rossi, L; Costantini, ML</t>
  </si>
  <si>
    <t>Jafari, Vahideh; Maccapan, Deborah; Careddu, Giulio; Sporta Caputi, Simona; Calizza, Edoardo; Rossi, Loreto; Costantini, Maria Letizia</t>
  </si>
  <si>
    <t>Spatial and temporal diet variability of Adelie (Pygoscelis adeliae) and Emperor (Aptenodytes forsteri) Penguin: a multi tissue stable isotope analysis</t>
  </si>
  <si>
    <t>Penguin ecology; Ross Sea; Sea ice; Krill; Fish</t>
  </si>
  <si>
    <t>ROSS SEA; SEASONAL-VARIATION; FORAGING BEHAVIOR; PRE-MOLT; FOOD; ICE; HABITAT; NITROGEN; CARBON; FISH</t>
  </si>
  <si>
    <t>The Ross Sea, Antarctica, supports large populations of Emperor Penguin (Aptenodytes forsteri) and Adelie Penguin (Pygoscelis adeliae), two key meso-predators that occupy high trophic levels. Despite these species are largely studied, little is known about their diet outside the breeding period. In the present study, we investigated the intra-annual diet of Adelie and Emperor Penguins belonging to five colonies in the Ross Sea through the stable isotope analysis of different tissues (feathers and shell membranes), synthetized in different seasons, and guano that indicates recent diet. Penguin samples and prey (krill and fish) were collected during the Antarctic spring-summer. delta C-13 and delta N-15 of tissues and guano indicate spatio-temporal variation in the penguin diet. The krill consumption by Adelie Penguins was lowest in winter except in the northernmost colony, where it was always very high. It peaked in spring and remained prevalent in summer. The greatest krill contribution to Emperor Penguin's diet occurred in summer. The relative krill and fish consumption by both species changed in relation to the prey availability, which is influenced by seasonal sea ice dynamics, and according to the penguin life cycle phases. The results highlight a strong trophic plasticity in the Adelie Penguin, whose dietary variability has been already recognized, and in the Emperor Penguin, which had not previously reported. Our findings can help understand how these species might react to resource variation due to climate change or anthropogenic overexploitation. Furthermore, data provides useful basis for future comparisons in the Ross Sea MPA and for planning conservation actions.</t>
  </si>
  <si>
    <t>[Jafari, Vahideh; Maccapan, Deborah; Careddu, Giulio; Sporta Caputi, Simona; Calizza, Edoardo; Rossi, Loreto; Costantini, Maria Letizia] Sapienza Univ Rome, Dept Environm Biol, Via Sardi 70, I-00185 Rome, Italy</t>
  </si>
  <si>
    <t>Sapienza University Rome</t>
  </si>
  <si>
    <t>Calizza, E (corresponding author), Sapienza Univ Rome, Dept Environm Biol, Via Sardi 70, I-00185 Rome, Italy.</t>
  </si>
  <si>
    <t>edoardo.calizza@uniroma1.it</t>
  </si>
  <si>
    <t>Italian National Antarctic Research Program (PNRA) [PNRA2015/AZ1.01, PNRA16_00291]</t>
  </si>
  <si>
    <t>This work was funded by the Italian National Antarctic Research Program (PNRA), PNRA2015/AZ1.01 to MLC, and PNRA16_00291 to LR. We thank the PNRA for logistic and operational support, and Italian Colleagues for the collaboration in the field. We thank Loic N. Michel, other two anonymous Reviewers and the Editor for their helpful comments and suggestions, which substantially improved the manuscript.</t>
  </si>
  <si>
    <t>10.1007/s00300-021-02925-1</t>
  </si>
  <si>
    <t>UC8UO</t>
  </si>
  <si>
    <t>WOS:000683708300002</t>
  </si>
  <si>
    <t>Tistechok, S; Skvortsova, M; Mytsyk, Y; Fedorenko, V; Parnikoza, I; Luzhetskyy, A; Gromyko, O</t>
  </si>
  <si>
    <t>Tistechok, Stepan; Skvortsova, Maryna; Mytsyk, Yuliia; Fedorenko, Victor; Parnikoza, Ivan; Luzhetskyy, Andriy; Gromyko, Oleksandr</t>
  </si>
  <si>
    <t>The diversity and antibacterial activity of culturable actinobacteria isolated from the rhizosphere soil of Deschampsia antarctica (Galindez Island, Maritime Antarctic)</t>
  </si>
  <si>
    <t>Antarctic actinobacteria; Deschampsia antarctica; Galindez Island; Umezawaea sp; Biosynthetic potential</t>
  </si>
  <si>
    <t>ANTIMICROBIAL ACTIVITY; NATURAL-PRODUCTS; POLYKETIDE; SEQUENCES; BACTERIA; NOV.; RESISTANCE; DISCOVERY; PROPOSAL; INSIGHT</t>
  </si>
  <si>
    <t>Antarctic actinobacteria, which can be isolated from both soils and marine sediments, demonstrate a wide range of antimicrobial activities as well as significant biosynthetic potential as the producers of biologically active compounds. However, the actinobacterial diversity of the Antarctic region has not yet been sufficiently studied. The present study sought to examine the diversity and antibacterial activity of culturable actinobacteria isolated from the rhizosphere soil of Deschampsia antarctica (e. Desv.), which was collected from Galindez Island, Maritime Antarctic. Among the actinobacteria isolated using a 16S rRNA gene sequence-based phylogenetic analysis process, five genera, namely Streptomyces, Micromonospora, Umezawaea, Kribbella and Micrococcus, were identified. To the best of our knowledge, this is the first report to describe the isolation and initial characterisation of members of the genus Umezawaea from the Antarctic. The isolated actinobacteria were assayed to determine their activity against Gram-positive bacteria, Gram-negative bacteria and yeast. Among the isolated strains, only 30.2% were able to inhibit the growth of at least one of the tested pathogens. The polymerase chain reaction-based screening of the biosynthetic genes revealed the presence of type I polyketide synthases (65.1%), type II polyketide synthases (25.6%) and non-ribosomal peptide synthetases (9.3%) in the actinobacteria strains. The examination of the sensitivity/resistance to antibiotics profile of the actinobacteria strains revealed their high sensitivity in relation to the tested antibiotics. Taken together, the results showed that Antarctic actinobacteria demonstrate potential as the producers of natural bioactive compounds, which means that they represent a valuable prospect for further studies.</t>
  </si>
  <si>
    <t>[Tistechok, Stepan; Skvortsova, Maryna; Mytsyk, Yuliia; Fedorenko, Victor; Gromyko, Oleksandr] Ivan Franko Natl Univ Lviv, Dept Genet &amp; Biotechnol, UA-75005 Lvov, Ukraine; [Parnikoza, Ivan] Inst Mol Biol &amp; Genet NAS Ukraine, UA-03143 Kiev, Ukraine; [Parnikoza, Ivan] Natl Antarctic Sci Ctr Ukraine, UA-01601 Kiev, Ukraine; [Luzhetskyy, Andriy] Saarland Univ, Dept Pharmaceut Biotechnol, D-66123 Saarbrucken, Germany; [Luzhetskyy, Andriy] Helmholtz Inst Pharmaceut Res Saarland HIPS, D-66123 Saarbrucken, Germany</t>
  </si>
  <si>
    <t>Ministry of Education &amp; Science of Ukraine; Ivan Franko National University Lviv; National Academy of Sciences Ukraine; Institute of Molecular Biology &amp; Genetics of NASU; Ministry of Education &amp; Science of Ukraine; State Institution National Antarctic Scientific Center; Saarland University; Helmholtz Association</t>
  </si>
  <si>
    <t>Gromyko, O (corresponding author), Ivan Franko Natl Univ Lviv, Dept Genet &amp; Biotechnol, UA-75005 Lvov, Ukraine.</t>
  </si>
  <si>
    <t>oleksandr.gromyko@lnu.edu.ua</t>
  </si>
  <si>
    <t>Parnikoza, Ivan/I-2398-2016; Tistechok, Stepan/L-1683-2017; Gromyko, Oleksandr/K-9562-2017; Fedorenko, Victor/K-1792-2014</t>
  </si>
  <si>
    <t>Tistechok, Stepan/0000-0003-2116-746X; Gromyko, Oleksandr/0000-0002-8107-0128; Ivan, Parnikoza/0000-0002-0490-8134; Fedorenko, Victor/0000-0002-7672-1897</t>
  </si>
  <si>
    <t>rhizosphere, Island Galindez (Antarctica) [H/309-2003]; Ministry of Education and Science of Ukraine</t>
  </si>
  <si>
    <t>rhizosphere, Island Galindez (Antarctica); Ministry of Education and Science of Ukraine</t>
  </si>
  <si>
    <t>This study was performed and partially funded under the State Target Scientific and Technical program of the research in Antarctica for 2011-2020 within project: Study of Actinomycetes from Deschampsia antarctica E. Desv. rhizosphere, Island Galindez (Antarctica) (contract dated 1 October 2018 No. 19) and was supported by Grant H/309-2003 from Ministry of Education and Science of Ukraine.</t>
  </si>
  <si>
    <t>10.1007/s00300-021-02924-2</t>
  </si>
  <si>
    <t>WOS:000683708300003</t>
  </si>
  <si>
    <t>Campbell, MD; Schoeman, DS; Venables, W; Abu-Alhaija, R; Batten, SD; Chiba, S; Coman, F; Davies, CH; Edwards, M; Eriksen, RS; Everett, JD; Fukai, Y; Fukuchi, M; Garrote, OE; Hosie, G; Huggett, JA; Johns, DG; Kitchener, JA; Koubbi, P; McEnnulty, FR; Muxagata, E; Ostle, C; Robinson, KV; Slotwinski, A; Swadling, KM; Takahashi, KT; Tonks, M; Uribe-Palomino, J; Verheye, HM; Wilson, WH; Worship, MM; Yamaguchi, A; Zhang, WC; Richardson, AJ</t>
  </si>
  <si>
    <t>Campbell, Max D.; Schoeman, David S.; Venables, William; Abu-Alhaija, Rana; Batten, Sonia D.; Chiba, Sanae; Coman, Frank; Davies, Claire H.; Edwards, Martin; Eriksen, Ruth S.; Everett, Jason D.; Fukai, Yutaka; Fukuchi, Mitsuo; Garrote, Octavio Esquivel; Hosie, Graham; Huggett, Jenny A.; Johns, David G.; Kitchener, John A.; Koubbi, Philippe; McEnnulty, Felicity R.; Muxagata, Erik; Ostle, Clare; Robinson, Karen, V; Slotwinski, Anita; Swadling, Kerrie M.; Takahashi, Kunio T.; Tonks, Mark; Uribe-Palomino, Julian; Verheye, Hans M.; Wilson, William H.; Worship, Marco M.; Yamaguchi, Atsushi; Zhang, Wuchang; Richardson, Anthony J.</t>
  </si>
  <si>
    <t>Testing Bergmann's rule in marine copepods</t>
  </si>
  <si>
    <t>ECOGRAPHY</t>
  </si>
  <si>
    <t>allometry; chlorophyll; continuous plankton recorder; ectotherms; environmental drivers; invertebrate; macroecology; statistical modelling; temperature-size rule; zooplankton</t>
  </si>
  <si>
    <t>DIEL VERTICAL MIGRATION; CONTINUOUS PLANKTON RECORDER; BODY-SIZE VARIATION; CLIMATE-CHANGE; CHLOROPHYLL-A; RELATIVE IMPORTANCE; CALANOID COPEPODS; FOOD AVAILABILITY; SPECIES RICHNESS; PRACTICAL GUIDE</t>
  </si>
  <si>
    <t>Macroecological relationships provide insights into rules that govern ecological systems. Bergmann's rule posits that members of the same clade are larger at colder temperatures. Whether temperature drives this relationship is debated because several other potential drivers covary with temperature. We conducted a near-global comparative analysis on marine copepods (97 830 samples, 388 taxa) to test Bergmann's rule, considering other potential drivers. Supporting Bergmann's rule, we found temperature better predicted size than did latitude or oxygen, with body size decreasing by 43.9% across the temperature range (-1.7 to 30oC). Body size also decreased by 26.9% across the range in food availability. Our results provide strong support for Bergman's rule in copepods, but emphasises the importance of other drivers in modifying this pattern. As the world warms, smaller copepod species are likely to emerge as 'winners', potentially reducing rates of fisheries production and carbon sequestration.</t>
  </si>
  <si>
    <t>[Campbell, Max D.] Univ New South Wales, Sch Math &amp; Stat, Kensington, NSW, Australia; [Campbell, Max D.] Griffith Univ, Sch Environm &amp; Sci, Australian Rivers Inst Coasts &amp; Estuaries, Nathan, Qld, Australia; [Schoeman, David S.] Univ Sunshine Coast, Sch Sci &amp; Engn, Global Change Ecol Res Grp, Maroochydore, Qld, Australia; [Venables, William] Commonwealth Sci &amp; Ind Res Org CSIRO Data61, Ecosci Precinct, Dutton Pk, Qld, Australia; [Venables, William; Everett, Jason D.; Richardson, Anthony J.] Univ Queensland, Sch Math &amp; Phys, St Lucia, Qld, Australia; [Abu-Alhaija, Rana] Cyprus Inst, Nicosia, Cyprus; [Batten, Sonia D.] Marine Biol Assoc MBA, CPR Survey, Nanaimo, BC, Canada; [Batten, Sonia D.] North Pacific Marine Sci Org PICES, Sidney, BC, Canada; [Chiba, Sanae] Japan Agcy Marine Earth Sci &amp; Technol JAMSTEC, Yokohama, Kanagawa, Japan; [Chiba, Sanae] UNEP WCMC, Cambridge, England; [Coman, Frank; Everett, Jason D.; Slotwinski, Anita; Tonks, Mark; Uribe-Palomino, Julian; Richardson, Anthony J.] Commonwealth Sci &amp; Ind Res Org CSIRO Oceans &amp; Atm, BioSci Precinct QBP, St Lucia, Qld, Australia; [Davies, Claire H.; Eriksen, Ruth S.; McEnnulty, Felicity R.] Commonwealth Sci &amp; Ind Res Org CSIRO Oceans &amp; Atm, Hobart, Tas, Australia; [Edwards, Martin; Hosie, Graham; Johns, David G.; Ostle, Clare; Wilson, William H.] Marine Biol Assoc MBA, CPR Survey, Plymouth, Devon, England; [Fukai, Yutaka; Yamaguchi, Atsushi] Hokkaido Univ, Grad Sch Fisheries Sci, Hakodate, Hokkaido, Japan; [Fukuchi, Mitsuo; Takahashi, Kunio T.] Natl Inst Polar Res, Tokyo, Japan; [Garrote, Octavio Esquivel; Muxagata, Erik] Univ Fed Rio Grande FURG, Lab Zooplancton, Rio Grande, Brazil; [Huggett, Jenny A.; Verheye, Hans M.] Univ Cape Town, Dept Biol Sci, Cape Town, South Africa; [Huggett, Jenny A.; Verheye, Hans M.] Univ Cape Town, Marine Res Inst, Cape Town, South Africa; [Huggett, Jenny A.; Worship, Marco M.] Oceans &amp; Coasts Res, Dept Forestry &amp; Fisheries &amp; Environm, Cape Town, South Africa; [Kitchener, John A.] Dept Agr Water &amp; Environm, Australian Antarctic Div, Kingston, Australia; [Koubbi, Philippe] IFREMER, Lab Halieut Manche Mer Nord, Boulogne Sur Mer, France; [Koubbi, Philippe] UFR 918 Terre Environm Biodiversite, Paris, France; [Robinson, Karen, V] Natl Inst Water &amp; Atmospher Res NIWA, Christchurch, New Zealand; [Swadling, Kerrie M.] Univ Tasmania, Inst Marine Antarctic Studies, Sandy Bay, Tas, Australia; [Zhang, Wuchang] Chinese Acad Sci, Inst Oceanol, Qingdao, Peoples R China</t>
  </si>
  <si>
    <t>University of New South Wales Sydney; Griffith University; University of the Sunshine Coast; Commonwealth Scientific &amp; Industrial Research Organisation (CSIRO); University of Queensland; Japan Agency for Marine-Earth Science &amp; Technology (JAMSTEC); United Nations Environment Programme; Commonwealth Scientific &amp; Industrial Research Organisation (CSIRO); Commonwealth Scientific &amp; Industrial Research Organisation (CSIRO); Hokkaido University; Research Organization of Information &amp; Systems (ROIS); National Institute of Polar Research (NIPR) - Japan; Universidade Federal do Rio Grande; University of Cape Town; University of Cape Town; Australian Antarctic Division; Ifremer; National Institute of Water &amp; Atmospheric Research (NIWA) - New Zealand; University of Tasmania; Chinese Academy of Sciences; Institute of Oceanology, CAS</t>
  </si>
  <si>
    <t>Campbell, MD (corresponding author), Univ New South Wales, Sch Math &amp; Stat, Kensington, NSW, Australia.;Campbell, MD (corresponding author), Griffith Univ, Sch Environm &amp; Sci, Australian Rivers Inst Coasts &amp; Estuaries, Nathan, Qld, Australia.</t>
  </si>
  <si>
    <t>maxcampbe@gmail.com</t>
  </si>
  <si>
    <t>Davies, Claire H/G-6888-2013; Koubbi, Philippe/D-5873-2015; Muxagata, Erik/M-6563-2015; Richardson, Anthony J/B-3649-2010; Yamaguchi, Atsushi/A-8613-2012; Everett, Jason/C-4557-2008; Eriksen, Ruth/J-7760-2014</t>
  </si>
  <si>
    <t>Davies, Claire H/0000-0002-0424-1835; Muxagata, Erik/0000-0002-4210-5252; Richardson, Anthony J/0000-0002-9289-7366; Yamaguchi, Atsushi/0000-0002-5646-3608; Uribe-Palomino, Julian/0000-0002-6867-2108; Schoeman, David/0000-0003-1258-0885; Venables, Bill/0000-0001-8432-3365; McEnnulty, Felicity/0000-0002-3819-044X; Everett, Jason/0000-0002-6681-8054; Abualhaija, Rana/0000-0001-5245-7596; Eriksen, Ruth/0000-0002-5184-2465; Kitchener, John/0000-0003-4642-3044; Coman, Frank/0000-0001-6743-5154; Campbell, Max D./0000-0003-2860-1580; Chiba, Sanae/0000-0002-2838-1840; Edwards, Martin/0000-0002-5716-4714</t>
  </si>
  <si>
    <t>DEFRA UK [ME-5308]; NSF USA [OCE-1657887]; DFO CA [F5955-150026/001/HAL]; NERC UK [NC-R8/H12/100]; IMR Norway; NERC [NE/R015953/1, SAH01001, NE/N006100/1] Funding Source: UKRI; Grants-in-Aid for Scientific Research [20K20573] Funding Source: KAKEN</t>
  </si>
  <si>
    <t>DEFRA UK(Department for Environment, Food &amp; Rural Affairs (DEFRA)); NSF USA(National Science Foundation (NSF)); DFO CA; NERC UK(UK Research &amp; Innovation (UKRI)Natural Environment Research Council (NERC)); IMR Norway; NERC(UK Research &amp; Innovation (UKRI)Natural Environment Research Council (NERC)); Grants-in-Aid for Scientific Research(Ministry of Education, Culture, Sports, Science and Technology, Japan (MEXT)Japan Society for the Promotion of ScienceGrants-in-Aid for Scientific Research (KAKENHI))</t>
  </si>
  <si>
    <t>Funding that supports the running of the North Atlantic CPR network used in this project includes DEFRA UK ME-5308, NSF USA OCE-1657887, DFO CA F5955-150026/001/HAL, NERC UK NC-R8/H12/100 and IMR Norway.</t>
  </si>
  <si>
    <t>0906-7590</t>
  </si>
  <si>
    <t>1600-0587</t>
  </si>
  <si>
    <t>Ecography</t>
  </si>
  <si>
    <t>10.1111/ecog.05545</t>
  </si>
  <si>
    <t>UJ9GZ</t>
  </si>
  <si>
    <t>Green Published, Green Submitted, Green Accepted</t>
  </si>
  <si>
    <t>WOS:000683315200001</t>
  </si>
  <si>
    <t>Wang, HJ; Liu, HW; Yu, Q; Fan, FH; Liu, SH; Feng, GH; Zhang, PY</t>
  </si>
  <si>
    <t>Wang, Huijuan; Liu, Hongwei; Yu, Qian; Fan, Fenghua; Liu, Shenghao; Feng, Guihua; Zhang, Pengying</t>
  </si>
  <si>
    <t>A CPD photolyase gene PnPHR1 from Antarctic moss Pohlia nutans is involved in the resistance to UV-B radiation and salinity stress</t>
  </si>
  <si>
    <t>Abiotic stress; Antarctic moss; Cyclobutane pyrimidine dimers (CPDs); Photolyase; Photoreactivation</t>
  </si>
  <si>
    <t>PHOTOLYASE/CRYPTOCHROME FAMILY; DNA PHOTOLYASE; SALT TOLERANCE; VISIBLE-LIGHT; EXPRESSION; REPAIR; PLANT; IDENTIFICATION; METABOLISM; DYNAMICS</t>
  </si>
  <si>
    <t>In Antarctic continent, the organisms are exposed to high ultraviolet (UV) radiation because of damaged stratospheric ozone. UV causes DNA lesions due to the accumulation of photoproducts. Photolyase can repair UVdamaged DNA in a light-dependent process by electron transfer mechanism. Here, we isolated a CPD photolyase gene PnPHR1 from Antarctic moss Pohlia nutans, which encodes a protein of theoretical molecular weight of 69.1 KDa. The expression level of PnPHR1 was increased by UV-B irradiation. Enzyme activity assay in vitro showed that PnPHR1 exhibited photoreactivation activity, which can repair CPD photoproducts in a light-dependent manner. The complementation assay of repair-deficient E. coli strain SY2 demonstrated that PnPHR1 gene enhanced the survival rate of SY2 strain after UV-B radiation. Additionally, overexpression of PnPHR1 enhanced the Arabidopsis resistance to UV-B radiation and salinity stress, which also conferred plant tolerance to oxidative stress by decreasing ROS production and increasing ROS clearance. Our work shows that PnPHR1 encodes an active CPD photolyase, which may participate in the adaptation of P. nutans to polar environments.</t>
  </si>
  <si>
    <t>[Wang, Huijuan; Liu, Hongwei; Yu, Qian; Fan, Fenghua; Feng, Guihua; Zhang, Pengying] Shandong Univ, Natl Glycoengn Res Ctr, 72 Binhai Rd, Qingdao 266237, Peoples R China; [Wang, Huijuan; Liu, Hongwei; Yu, Qian; Fan, Fenghua; Feng, Guihua; Zhang, Pengying] Shandong Univ, Sch Life Sci, 72 Binhai Rd, Qingdao 266237, Peoples R China; [Liu, Shenghao] Nat Resources Minist, Inst Oceanog 1, Marine Ecol Res Ctr, Qingdao 266061, Peoples R China; [Liu, Hongwei] Shinan Dist Hlth Bur, Med Adm Dept, Qingdao 266073, Peoples R China</t>
  </si>
  <si>
    <t>Shandong University; Shandong University</t>
  </si>
  <si>
    <t>Zhang, PY (corresponding author), Shandong Univ, Natl Glycoengn Res Ctr, 72 Binhai Rd, Qingdao 266237, Peoples R China.;Zhang, PY (corresponding author), Shandong Univ, Sch Life Sci, 72 Binhai Rd, Qingdao 266237, Peoples R China.</t>
  </si>
  <si>
    <t>zhangpy80@sdu.edu.cn</t>
  </si>
  <si>
    <t>wang, hui/GRS-4730-2022; wang, huimin/HDM-8421-2022; wang, hui/HSG-6135-2023; Liu, Shenghao/ISU-3076-2023; WANG, HUIYUAN/IXX-2427-2023; Wang, Hui/HMU-9512-2023; wang, hao/HSE-7975-2023; wang, jian/HRB-9588-2023</t>
  </si>
  <si>
    <t>Liu, Shenghao/0000-0002-1449-3526;</t>
  </si>
  <si>
    <t>National Natural Science Foundation of China [41976225]; Key Technology Research and Development Program of Shandong Province [2019GSF107064]; Scientific Fund for National Public Research Institutes of China [GY0219Q05]</t>
  </si>
  <si>
    <t>National Natural Science Foundation of China(National Natural Science Foundation of China (NSFC)); Key Technology Research and Development Program of Shandong Province; Scientific Fund for National Public Research Institutes of China</t>
  </si>
  <si>
    <t>We are grateful to Prof. Shinji Yasuhira (Kyoto University) for provision of Escherichia coli strain SY2. This work was supported by the National Natural Science Foundation of China (41976225), Key Technology Research and Development Program of Shandong Province (2019GSF107064), Scientific Fund for National Public Research Institutes of China (GY0219Q05).</t>
  </si>
  <si>
    <t>10.1016/j.plaphy.2021.08.005</t>
  </si>
  <si>
    <t>WB7VA</t>
  </si>
  <si>
    <t>WOS:000703775900022</t>
  </si>
  <si>
    <t>February, FJ; Piazzola, J; Altieri, KE; Van Eijk, AMJ</t>
  </si>
  <si>
    <t>February, Faith J.; Piazzola, Jacques; Altieri, Katye E.; Van Eijk, Alexander M. J.</t>
  </si>
  <si>
    <t>Contribution of sea spray to aerosol size distributions measured in a South African coastal zone</t>
  </si>
  <si>
    <t>Aerosols; Sea spray; Size distributions; Pure marine</t>
  </si>
  <si>
    <t>SPATIAL VARIATION; MARINE AEROSOLS; BOUNDARY-LAYER; WIND-SPEED; MACE HEAD; PARTICLE; OCEAN; SALT; WHITECAPS; FLUXES</t>
  </si>
  <si>
    <t>The atmospheric aerosol has a large influence on global climate through its ability of scattering and absorbing electromagnetic radiation, which affect the Earth's radiative balance. Characteristics, such as size distribution, chemical composition and hygroscopic properties are important for improving global climate model projections of natural sea spray aerosols, which are numerically dominant in the global aerosol budget. Previous experimental studies in coastal locations revealed a complex mixing between natural and anthropogenic aerosols. This complexity makes it difficult to characterize the behavior of natural sea spray aerosols in a simplified form that is suitable for global models. The aim of the present paper is to characterize the size distributions of natural sea spray aerosols at a coastal site in False Bay, South Africa. The opening of False Bay towards the Southern Ocean with unlimited fetch from Antarctica provides a unique opportunity to measure and focus on pristine marine air masses solely. A large observational data set from the First European-South African Transmission Experiment (FESTER) was analyzed and two case studies are presented to illustrate the contribution of sea spray to aerosol size distributions under pure marine and mixed air mass conditions, respectively. A set of conditions for measuring pure marine aerosols in False Bay was established. The results of the relationship of aerosol concentrations with wind speed reveals the distinct behavior of natural sea spray aerosols and demonstrates the pure marine influence of the Southern Ocean in False Bay. Comparison of the aerosol size distributions to a coastal site in the Mediterranean Sea, attest to the contribution of sea spray to aerosol size distributions in False Bay.</t>
  </si>
  <si>
    <t>[February, Faith J.; Altieri, Katye E.] Univ Cape Town, Dept Oceanog, Private Bag X3, ZA-7701 Rondebosch, South Africa; [Piazzola, Jacques] Univ Toulon &amp; Var, Mediterranean Inst Oceanog MD UM 110, Toulon, France; [Van Eijk, Alexander M. J.] Netherlands Org Appl Sci Res TNO, The Hague, Netherlands; [Van Eijk, Alexander M. J.] Fraunhofer Inst Optron, Syst Technol, Image Exploitat IOSB, Ettlingen, Germany; [Van Eijk, Alexander M. J.] Ecole Ctr Nantes, LHEEA UMR 6598, Nantes, France</t>
  </si>
  <si>
    <t>University of Cape Town; Universite de Toulon; Netherlands Organization Applied Science Research; Fraunhofer Gesellschaft; Fraunhofer Optronics, System Technologies &amp; Image Exploitation Ettlingen</t>
  </si>
  <si>
    <t>February, FJ (corresponding author), Univ Cape Town, Dept Oceanog, Private Bag X3, ZA-7701 Rondebosch, South Africa.</t>
  </si>
  <si>
    <t>fbrfai001@myuct.ac.za; piazzola@univ-tln.fr; katye.altieri@uct.ac.za; lex.vaneijk@tno.nl</t>
  </si>
  <si>
    <t>Altieri, Katye/GWV-4512-2022</t>
  </si>
  <si>
    <t>Altieri, Katye/0000-0002-6778-4079</t>
  </si>
  <si>
    <t>South African National Research Foundation through a South African National Antarctic Programme Postgraduate Fellowship [110732]; University of Cape Town; South African Navy; Bundeswehr Technical Center for Weapons and Ammunition, WTD 91 in Meppen; Royal Netherlands Navy</t>
  </si>
  <si>
    <t>South African National Research Foundation through a South African National Antarctic Programme Postgraduate Fellowship; University of Cape Town; South African Navy; Bundeswehr Technical Center for Weapons and Ammunition, WTD 91 in Meppen; Royal Netherlands Navy</t>
  </si>
  <si>
    <t>This research was supported by the South African National Research Foundation through a South African National Antarctic Programme Postgraduate Fellowship to F.J.F. and Grant to K.E.A. (110732); University of Cape Town support to F.J.F. through the Advancing Womxn Ocean Womxn Fellowship programme and to K.E.A. through a Vice Chancellor Future Leaders 2030 Grant. Participation by the Institute for Maritime Technology (IMT) in FESTER was funded by the South African Navy. The work of Fraunhofer-IOSB was supported and funded by the Bundeswehr Technical Center for Weapons and Ammunition, WTD 91 in Meppen. Participation by TNO in FESTER was funded by the Royal Netherlands Navy. The sponsors had no involvement in the study design; in the collection, analysis, and interpretation of the data; in the writing of the report; and in the decision to submit the article for publication.</t>
  </si>
  <si>
    <t>10.1016/j.atmosres.2021.105790</t>
  </si>
  <si>
    <t>UJ7TL</t>
  </si>
  <si>
    <t>WOS:000691483700003</t>
  </si>
  <si>
    <t>Melnik, A; Melnik, L; Mashukova, O; Melnikov, V</t>
  </si>
  <si>
    <t>Melnik, Alexandr; Melnik, Lidia; Mashukova, Olga; Melnikov, Victor</t>
  </si>
  <si>
    <t>Field studies of bioluminescence in the Antarctic sector of the Atlantic Ocean in 2002 and 2020</t>
  </si>
  <si>
    <t>LUMINESCENCE</t>
  </si>
  <si>
    <t>Atlantic sector of Antarctica; bioluminescence intensity; euphotic zone; plankton</t>
  </si>
  <si>
    <t>KRILL EUPHAUSIA-SUPERBA</t>
  </si>
  <si>
    <t>In this work, IBSS materials on seawater bioluminescence intensity changes in the Atlantic sector of the Antarctic Ocean (the Weddell Sea area) with an interval of almost 20 years are presented. Data were obtained using a single instrument, the hydrobiophysical system Salpa-M, in the area of 50-63 degrees S, 62-49 degrees W in March 2002 (183 soundings at 45 stations during cruise 7 on RV Gorizont) and in February 2020 (122 soundings at 18 stations during cruise 79 on RV Academic Mstislav Keldysh). The bioluminescence studies were coupled with the simultaneous measurement of temperature, electrical conductivity, and photosynthetically active radiation, and they were compared with the data from processing plankton samples. Over the past 20 years, as a consequence of the appearance of a large number of gelatinous organisms and the resulting changes in the structure of the plankton community, the bioluminescence of Antarctic waters in the euphotic layer of this region has decreased almost two-fold, currently being in the range 8.4 x 10(-12) to 104.42 x 10(-12) W center dot cm(-2)center dot L-1.</t>
  </si>
  <si>
    <t>[Melnik, Alexandr; Melnik, Lidia; Mashukova, Olga; Melnikov, Victor] RAS, AO Kovalevsky Inst Biol Southern Seas, IBSS, Sevastopol, Russia</t>
  </si>
  <si>
    <t>Russian Academy of Sciences; AO Kovalevsky Institute of Biology of the Southern Seas of RAS (IBSS)</t>
  </si>
  <si>
    <t>Mashukova, O (corresponding author), RAS, AO Kovalevsky Inst Biol Southern Seas, IBSS, Sevastopol, Russia.</t>
  </si>
  <si>
    <t>olgamashukova@yandex.ru</t>
  </si>
  <si>
    <t>Melnik, Alexsandr/X-1393-2019; Melnik, Lidiya/HKN-6997-2023; Melnik, Aleksandr/AAG-8113-2021; Victor, Melnikov/N-9219-2014</t>
  </si>
  <si>
    <t>Melnik, Alexsandr/0000-0002-4371-384X; Melnik, Lidiya/0000-0002-7326-1581; Melnik, Aleksandr/0000-0002-4371-384X; Victor, Melnikov/0000-0001-6856-0467</t>
  </si>
  <si>
    <t>Russian Academy of Science [AAAA-A19-119100290162-0, AAAA-A18-118021490093-4]</t>
  </si>
  <si>
    <t>Russian Academy of Science(Russian Academy of Sciences)</t>
  </si>
  <si>
    <t>The authors expressed their sincere gratitude to the crew and captains of the RV Gorizont and RV Academic Mstislav Keldysh for the help in carrying out this study. This work received financial support from the Russian Academy of Science (project no. AAAA-A19-119100290162-0 and no. AAAA-A18-118021490093-4).</t>
  </si>
  <si>
    <t>1522-7235</t>
  </si>
  <si>
    <t>1522-7243</t>
  </si>
  <si>
    <t>Luminescence</t>
  </si>
  <si>
    <t>10.1002/bio.4125</t>
  </si>
  <si>
    <t>XH5AG</t>
  </si>
  <si>
    <t>WOS:000682960800001</t>
  </si>
  <si>
    <t>Mahajan, AS; Biswas, MS; Beirle, S; Wagner, T; Schönhardt, A; Benavent, N; Saiz-Lopez, A</t>
  </si>
  <si>
    <t>Mahajan, Anoop S.; Biswas, Mriganka S.; Beirle, Steffen; Wagner, Thomas; Schoenhardt, Anja; Benavent, Nuria; Saiz-Lopez, Alfonso</t>
  </si>
  <si>
    <t>Observations of iodine monoxide over three summers at the Indian Antarctic bases of Bharati and Maitri</t>
  </si>
  <si>
    <t>ABSORPTION CROSS-SECTIONS; BOUNDARY-LAYER HALOGENS; OZONE DESTRUCTION; TROPOSPHERIC BRO; SEA-ICE; EMISSIONS; NM; PHOTOCHEMISTRY; ATMOSPHERE; SCIAMACHY</t>
  </si>
  <si>
    <t>Iodine plays a vital role in oxidation chemistry over Antarctica, with past observations showing highly elevated levels of iodine oxide (IO) leading to severe depletion of boundary layer ozone inWest Antarctica. Here, we present MAX-DOAS-based (multi-axis differential absorption spectroscopy) observations of IO over three summers (20152017) at the Indian Antarctic bases of Bharati and Maitri. IO was observed during all the campaigns with mixing ratios below 2 pptv (parts per trillion by volume) for the three summers, which are lower than the peak levels observed in West Antarctica. This suggests that sources in West Antarctica are different or stronger than sources of iodine compounds in East Antarctica, the nature of which is still uncertain. Vertical profiles estimated using a profile retrieval algorithm showed decreasing gradients with a peak in the lower boundary layer. The ground-based instrument retrieved vertical column densities (VCDs) were approximately a factor of 3 to 5 higher than the VCDs reported using satellite-based instruments, which is most likely related to the sensitivities of the measurement techniques. Air mass back-trajectory analysis failed to highlight a source region, with most of the air masses coming from coastal or continental regions. This study highlights the variation in iodine chemistry in different regions in Antarctica and the importance of a long-term dataset to validate models estimating the impacts of iodine chemistry.</t>
  </si>
  <si>
    <t>[Mahajan, Anoop S.; Biswas, Mriganka S.] Minist Earth Sci, Indian Inst Trop Meteorol, Ctr Climate Change Res, Pune 411008, Maharashtra, India; [Biswas, Mriganka S.] Savitribai Phule Pune Univ, Atmospher &amp; Space Sci, Pune 411008, Maharashtra, India; [Beirle, Steffen; Wagner, Thomas] Max Planck Inst Chem MPI C, Satellitenfernerkundung, D-55128 Mainz, Germany; [Schoenhardt, Anja] Univ Bremen, Inst Environm Phys, Dept Phys &amp; Elect Engn, D-330440 Bremen, Germany; [Benavent, Nuria; Saiz-Lopez, Alfonso] CSIC, Inst Phys Chem Rocasolano, Dept Atmospher Chem &amp; Climate, Madrid 28006, Spain</t>
  </si>
  <si>
    <t>Ministry of Earth Sciences (MoES) - India; Indian Institute of Tropical Meteorology (IITM); Centre for Climate Change Research - India; Savitribai Phule Pune University; University of Bremen; Consejo Superior de Investigaciones Cientificas (CSIC); CSIC - Instituto de Quimica Fisica Rocasolano (IQFR)</t>
  </si>
  <si>
    <t>Mahajan, AS (corresponding author), Minist Earth Sci, Indian Inst Trop Meteorol, Ctr Climate Change Res, Pune 411008, Maharashtra, India.</t>
  </si>
  <si>
    <t>anoop@tropmet.res.in</t>
  </si>
  <si>
    <t>Saiz-Lopez, Alfonso/B-3759-2015; Biswas, Mriganka Sekhar/ABA-5670-2021; Mahajan, Anoop/D-2714-2012</t>
  </si>
  <si>
    <t>Saiz-Lopez, Alfonso/0000-0002-0060-1581; Biswas, Mriganka Sekhar/0000-0002-6657-4344; Mahajan, Anoop/0000-0002-2909-5432; Beirle, Steffen/0000-0002-7196-0901; Benavent, Nuria/0000-0003-3473-0629</t>
  </si>
  <si>
    <t>MOES, Government of India</t>
  </si>
  <si>
    <t>MOES, Government of India(Ministry of Earth Science (MoES), Government of India)</t>
  </si>
  <si>
    <t>We thank the logistical and scientific teams of the ISEA-34, ISEA-35, and ISEA-36 campaigns for enabling observations throughout the expeditions. The ISEA campaigns are organized by the National Centre for Polar and Ocean Research (NCPOR), Ministry of Earth Sciences (MOES), Government of India. IITM and NCPOR are funded by MOES, Government of India.</t>
  </si>
  <si>
    <t>AUG 9</t>
  </si>
  <si>
    <t>10.5194/acp-21-11829-2021</t>
  </si>
  <si>
    <t>TY8RH</t>
  </si>
  <si>
    <t>WOS:000684046700003</t>
  </si>
  <si>
    <t>Gianoli, E; Molina-Montenegro, MA</t>
  </si>
  <si>
    <t>Gianoli, Ernesto; Molina-Montenegro, Marco A.</t>
  </si>
  <si>
    <t>Evolution of physiological performance in invasive plants under climate change</t>
  </si>
  <si>
    <t>EVOLUTION</t>
  </si>
  <si>
    <t>Climate change; drought; experimental evolution; invasive plants; photosynthetic rate; warming</t>
  </si>
  <si>
    <t>TARAXACUM-OFFICINALE DANDELION; ECOPHYSIOLOGICAL TRAITS; PHENOTYPIC PLASTICITY; NATURAL-SELECTION; GLOBAL CHANGE; MODERN LIFE; SUCCESS; PATTERN; RATES; DIFFERENTIATION</t>
  </si>
  <si>
    <t>Climate change is expected to promote biological invasions. Invasive species often undergo adaptive evolution, but whether invasive species show greater evolutionary potential than their native counterparts under climate change has rarely been evaluated. We conducted experimental evolution trials comparing the evolution of physiological performance (light-saturated photosynthetic rate, A(max)) of coexisting and closely related (1) invasive-native species pairs from Arid, Alpine, and Antarctic ecosystems, and (2) an invasive-naturalized species pair from a Mediterranean ecosystem differing in invasiveness. Experiments were conducted over three generations and under four environments of temperature and water availability resembling typical and climate change conditions in each ecosystem. A(max) increased across generations for most species. Invasive species from Arid, Alpine, and Antarctic ecosystems showed similar, greater, and lesser evolution of A(max) than their native counterparts, respectively. The Mediterranean invasive species showed greater evolution of A(max) than its naturalized congener. Similar patterns were observed in all four experimental environments for each ecosystem, suggesting that comparable responses may be expected under climate change scenarios. All study species showed a positive association between A(max) and reproductive output. Results suggest that invasive plants and their native (or naturalized) counterparts would show similar evolutionary responses of physiological performance to global warming and drought.</t>
  </si>
  <si>
    <t>[Gianoli, Ernesto] Univ La Serena, Dept Biol, La Serena, Chile; [Gianoli, Ernesto] Univ Concepcion, Dept Bot, Concepcion, Chile; [Molina-Montenegro, Marco A.] Univ Talca, Inst Ciencias Biol, Talca, Chile; [Molina-Montenegro, Marco A.] Univ Catolica Norte, CEAZA, Coquimbo, Chile</t>
  </si>
  <si>
    <t>Universidad de La Serena; Universidad de Concepcion; Universidad Catolica del Norte</t>
  </si>
  <si>
    <t>Gianoli, E (corresponding author), Univ La Serena, Dept Biol, La Serena, Chile.;Gianoli, E (corresponding author), Univ Concepcion, Dept Bot, Concepcion, Chile.</t>
  </si>
  <si>
    <t>egianoli@userena.cl</t>
  </si>
  <si>
    <t>Gianoli, Ernesto/A-7984-2015</t>
  </si>
  <si>
    <t>Gianoli, Ernesto/0000-0003-4246-8640</t>
  </si>
  <si>
    <t>FONDECYT grant [1180334]</t>
  </si>
  <si>
    <t>FONDECYT grant(Comision Nacional de Investigacion Cientifica y Tecnologica (CONICYT)CONICYT FONDECYT)</t>
  </si>
  <si>
    <t>We thank M. J. Romero and F. Carrasco for their help with laboratory and greenhouse work. Permissions for research and collection of plant material in the Arid and Antarctic sites were granted by Corporacion Nacional Forestal (CONAF, permit no. 012/2018 to EG) and Instituto Antartico Chileno (INACH, permit no. 014/2017 to MAMM), respectively. TheMediterranean and Alpine sites were located in private land with free access. This study was supported by FONDECYT grant 1180334.</t>
  </si>
  <si>
    <t>0014-3820</t>
  </si>
  <si>
    <t>1558-5646</t>
  </si>
  <si>
    <t>Evolution</t>
  </si>
  <si>
    <t>10.1111/evo.14314</t>
  </si>
  <si>
    <t>Ecology; Evolutionary Biology; Genetics &amp; Heredity</t>
  </si>
  <si>
    <t>Environmental Sciences &amp; Ecology; Evolutionary Biology; Genetics &amp; Heredity</t>
  </si>
  <si>
    <t>XL5BO</t>
  </si>
  <si>
    <t>WOS:000683022300001</t>
  </si>
  <si>
    <t>Shi, CJ; Zhang, H; Yu, K; Wang, YY; Jiang, J; Ju, Y; Zhang, CAZ; Cheng, ZY; Kan, GF</t>
  </si>
  <si>
    <t>Shi, Cuijuan; Zhang, Hong; Yu, Kai; Wang, Yingying; Jiang, Jie; Ju, Yun; Zhang, Chuanzhou; Cheng, Ziyi; Kan, Guangfeng</t>
  </si>
  <si>
    <t>Molecular cloning and sequence analysis of a mitogen-activated protein kinase gene in the Antarctic yeast Rhodotorula mucilaginosa AN5</t>
  </si>
  <si>
    <t>Antarctica yeast; Mitogen-activated protein kinase; Sequence characterization; Abiotic stresses</t>
  </si>
  <si>
    <t>HOG PATHWAY; SACCHAROMYCES-CEREVISIAE; MAP KINASES; STRESS; TOLERANCE; EXPRESSION; SALT</t>
  </si>
  <si>
    <t>Background The mitogen-activated protein kinase (MAPK) cascades play important roles in various signaling transduction networks of biotic and abiotic stress responses. However, MAPK signaling pathways in cold-active yeast Rhodotorula mucilaginosa have not been reported comprehensively. Methods and results In the present study, MAPK gene (RmMAPK) was first cloned and characterized from Antarctic sea ice yeast R. mucilaginosa AN5. The full length of the RmMAPK gene is 1086 bp and encodes a 361 amino acids protein with a predicted molecular mass of 40.9 kDa and a pI of 5.25. The RmMAPK contains 11 MAPK conserved subdomains and the phosphorylation motif TGY located in the activation loop of the kinase. Quantitative real-time PCR and western blot assay revealed that the expression and phosphorylation level of RmMAPK up-regulated rapidly and significantly when yeast cells were subjected to low temperature (4 degrees C), high salinity (120 parts per thousand NaCl) and heavy metal (2 mmol/L CuCl2). Conclusions All data suggested that the MAPK cascades might act as a key function in response to extreme stresses, such as low temperature, high salinity and heavy metal.</t>
  </si>
  <si>
    <t>[Shi, Cuijuan; Zhang, Hong; Yu, Kai; Jiang, Jie; Ju, Yun; Zhang, Chuanzhou; Cheng, Ziyi; Kan, Guangfeng] Harbin Inst Technol Weihai, Sch Marine Sci &amp; Technol, Weihai 264209, Peoples R China; [Jiang, Jie; Kan, Guangfeng] Harbin Inst Technol, State Key Lab Urban Water Resource &amp; Environm, Harbin 150090, Heilongjiang, Peoples R China; [Wang, Yingying] Harbin Inst Technol Weihai, Dept Optoelect Sci, Weihai 264209, Peoples R China</t>
  </si>
  <si>
    <t>Kan, GF (corresponding author), Harbin Inst Technol Weihai, Sch Marine Sci &amp; Technol, Weihai 264209, Peoples R China.;Kan, GF (corresponding author), Harbin Inst Technol, State Key Lab Urban Water Resource &amp; Environm, Harbin 150090, Heilongjiang, Peoples R China.</t>
  </si>
  <si>
    <t>Wang, Ying/HJI-2509-2023; wang, yan/GSE-6489-2022; wang, yingying/GRS-3058-2022; wang, yingying/JCE-4984-2023; wang, yi/HOF-6668-2023; wang, yan/JBJ-7462-2023; Wang, Yingying/HOA-6227-2023; wang, yi/GVT-8516-2022</t>
  </si>
  <si>
    <t>Key Technologies R&amp;D Program of Shandong [2019GHY112047]; Natural Scientific Research Innovation Foundation in Harbin Institute of Technology [HIT.NSRIF.2016085]</t>
  </si>
  <si>
    <t>Key Technologies R&amp;D Program of Shandong; Natural Scientific Research Innovation Foundation in Harbin Institute of Technology(Harbin Institute of Technology)</t>
  </si>
  <si>
    <t>This work was supported by the Key Technologies R&amp;D Program of Shandong [2019GHY112047] and Natural Scientific Research Innovation Foundation in Harbin Institute of Technology [HIT.NSRIF.2016085].</t>
  </si>
  <si>
    <t>10.1007/s11033-021-06570-z</t>
  </si>
  <si>
    <t>UC8NL</t>
  </si>
  <si>
    <t>WOS:000683288300001</t>
  </si>
  <si>
    <t>Karunarathna, A; Tibpromma, S; Jayawardena, RS; Nanayakkara, C; Asad, S; Xu, JC; Hyde, KD; Karunarathna, SC; Stephenson, SL; Lumyong, S; Kumla, J</t>
  </si>
  <si>
    <t>Karunarathna, Anuruddha; Tibpromma, Saowaluck; Jayawardena, Ruvishika S.; Nanayakkara, Chandrika; Asad, Suhail; Xu, Jianchu; Hyde, Kevin D.; Karunarathna, Samantha C.; Stephenson, Steven L.; Lumyong, Saisamorn; Kumla, Jaturong</t>
  </si>
  <si>
    <t>Fungal Pathogens in Grasslands</t>
  </si>
  <si>
    <t>FRONTIERS IN CELLULAR AND INFECTION MICROBIOLOGY</t>
  </si>
  <si>
    <t>Ascomycetes; foliar diseases; graminicolous fungi; grassland ecology; human and plant disease; phytopathogens; soil-borne diseases</t>
  </si>
  <si>
    <t>PYRENOPHORA-TRITICI-REPENTIS; TAN SPOT RESISTANCE; TOXIN-PRODUCING ISOLATE; PLANT-SPECIES RICHNESS; DIVERSITY-PRODUCTIVITY RELATIONSHIP; RACE-NONSPECIFIC RESISTANCE; QUANTITATIVE TRAIT LOCI; CHROMOSOMAL LOCATION; WHEAT CULTIVARS; PTR TOXA</t>
  </si>
  <si>
    <t>Grasslands are major primary producers and function as major components of important watersheds. Although a concise definition of grasslands cannot be given using a physiognomic or structural approach, grasslands can be described as vegetation communities experiencing periodical droughts and with canopies dominated by grasses and grass-like plants. Grasslands have a cosmopolitan distribution except for the Antarctic region. Fungal interactions with grasses can be pathogenic or symbiotic. Herbivorous mammals, insects, other grassland animals, and fungal pathogens are known to play important roles in maintaining the biomass and biodiversity of grasslands. Although most pathogenicity studies on the members of Poaceae have been focused on economically important crops, the plant-fungal pathogenic interactions involved can extend to the full range of ecological circumstances that exist in nature. Hence, it is important to delineate the fungal pathogen communities and their interactions in man-made monoculture systems and highly diverse natural ecosystems. A better understanding of the key fungal players can be achieved by combining modern techniques such as next-generation sequencing (NGS) together with studies involving classic phytopathology, taxonomy, and phylogeny. It is of utmost importance to develop experimental designs that account for the ecological complexity of the relationships between grasses and fungi, both above and below ground. In grasslands, loss in species diversity increases interactions such as herbivory, mutualism, predation or infectious disease transmission. Host species density and the presence of heterospecific host species, also affect the disease dynamics in grasslands. Many studies have shown that lower species diversity increases the severity as well as the transmission rate of fungal diseases. Moreover, communities that were once highly diverse but have experienced decreased species richness and dominancy have also shown higher pathogenicity load due to the relaxed competition, although this effect is lower in natural communities. This review addresses the taxonomy, phylogeny, and ecology of grassland fungal pathogens and their interactions in grassland ecosystems.</t>
  </si>
  <si>
    <t>[Karunarathna, Anuruddha; Tibpromma, Saowaluck; Xu, Jianchu; Karunarathna, Samantha C.] Kunming Inst Bot, Ctr Mt Futures, Kunming, Yunnan, Peoples R China; [Karunarathna, Anuruddha] Chiang Mai Univ, Fac Agr, Dept Entomol &amp; Plant Pathol, Chiang Mai, Thailand; [Karunarathna, Anuruddha; Jayawardena, Ruvishika S.] Mae Fah Luang Univ, Ctr Excellence Fungal Res, Chiang Rai, Thailand; [Tibpromma, Saowaluck; Xu, Jianchu; Karunarathna, Samantha C.] World Agroforestry ICRAF, CIFOR ICRAF China Program, Kunming, Yunnan, Peoples R China; [Jayawardena, Ruvishika S.] Mae Fah Luang Univ, Sch Sci, Chiang Rai, Thailand; [Nanayakkara, Chandrika] Univ Colombo, Dept Plant Sci, Colombo, Sri Lanka; [Asad, Suhail] Yunnan Agr Univ, State Key Lab Conservat &amp; Utilizat Bio Resources, Kunming, Yunnan, Peoples R China; [Hyde, Kevin D.; Stephenson, Steven L.] Univ Arkansas, Dept Biol Sci, Fayetteville, AR 72701 USA; [Lumyong, Saisamorn; Kumla, Jaturong] Chiang Mai Univ, Fac Sci, Res Ctr Microbial Div &amp; Sustainable Utilizat, Chiang Mai, Thailand; [Lumyong, Saisamorn; Kumla, Jaturong] Chiang Mai Univ, Fac Sci, Dept Biol, Chiang Mai, Thailand; [Lumyong, Saisamorn] Royal Soc Thailand, Acad Sci, Bangkok, Thailand</t>
  </si>
  <si>
    <t>Chinese Academy of Sciences; Kunming Institute of Botany, CAS; Chiang Mai University; Mae Fah Luang University; Mae Fah Luang University; University of Colombo; Yunnan Agricultural University; University of Arkansas System; University of Arkansas Fayetteville; Chiang Mai University; Chiang Mai University</t>
  </si>
  <si>
    <t>Karunarathna, SC (corresponding author), Kunming Inst Bot, Ctr Mt Futures, Kunming, Yunnan, Peoples R China.;Karunarathna, SC (corresponding author), World Agroforestry ICRAF, CIFOR ICRAF China Program, Kunming, Yunnan, Peoples R China.</t>
  </si>
  <si>
    <t>samanthakarunarathna@gmail.com</t>
  </si>
  <si>
    <t>Tibpromma, Saowaluck/AAY-9436-2021; Karunarathna, Anuruddha -/U-1940-2017; Karunarathna, Samantha Chandranath/JCE-5110-2023; Hyde, Kevin/F-7890-2010; Jayawardena, Ruvishika/V-3592-2018</t>
  </si>
  <si>
    <t>Karunarathna, Anuruddha -/0000-0003-0956-6636; Karunarathna, Samantha Chandranath/0000-0001-7080-0781; Jayawardena, Ruvishika/0000-0001-7702-4885</t>
  </si>
  <si>
    <t>International Postdoctoral Exchange Fellowship Program [Y9180822S1]; CAS President's International Fellowship Initiative (PIFI) [2020PC0009]; China Postdoctoral Science Foundation; National Science Foundation of China (NSFC) [31850410488, 31851110759]; Yunnan Human Resources, and Security Department Foundation; Thailand Research Funds [RDG6130001]; Chiang Mai University; [2020FYC0002]</t>
  </si>
  <si>
    <t>International Postdoctoral Exchange Fellowship Program; CAS President's International Fellowship Initiative (PIFI); China Postdoctoral Science Foundation(China Postdoctoral Science Foundation); National Science Foundation of China (NSFC)(National Natural Science Foundation of China (NSFC)); Yunnan Human Resources, and Security Department Foundation; Thailand Research Funds(Thailand Research Fund (TRF)); Chiang Mai University;</t>
  </si>
  <si>
    <t>International Postdoctoral Exchange Fellowship Program(number Y9180822S1), CAS President's International Fellowship Initiative (PIFI) number 2020PC0009 and young staff under the grant number: 2020FYC0002, China Postdoctoral Science Foundation, National Science Foundation of China (NSFC) under the project codes 31850410488 and 31851110759, the Yunnan Human Resources, and Security Department Foundation and Thailand Research Funds for the grant Impact of climate change on fungal diversity and biogeography in the Greater Mekong Subregion (RDG6130001) are thanked for funding. This research work was partially supported by Chiang Mai University.</t>
  </si>
  <si>
    <t>2235-2988</t>
  </si>
  <si>
    <t>FRONT CELL INFECT MI</t>
  </si>
  <si>
    <t>Front. Cell. Infect. Microbiol.</t>
  </si>
  <si>
    <t>10.3389/fcimb.2021.695087</t>
  </si>
  <si>
    <t>Immunology; Microbiology</t>
  </si>
  <si>
    <t>UA4GV</t>
  </si>
  <si>
    <t>WOS:000685120200001</t>
  </si>
  <si>
    <t>Goncharenko, LP; Harvey, VL; Greer, KR; Zhang, SR; Coster, AJ; Paxton, LJ</t>
  </si>
  <si>
    <t>Goncharenko, Larisa P.; Harvey, V. Lynn; Greer, Katelynn R.; Zhang, Shun-Rong; Coster, Anthea J.; Paxton, Larry J.</t>
  </si>
  <si>
    <t>Impact of September 2019 Antarctic Sudden Stratospheric Warming on Mid-Latitude Ionosphere and Thermosphere Over North America and Europe</t>
  </si>
  <si>
    <t>sudden stratospheric warming; ionosphere</t>
  </si>
  <si>
    <t>LOWER ATMOSPHERE; VARIABILITY; EVENTS; STATE</t>
  </si>
  <si>
    <t>Limited observational evidence indicates that ionospheric changes caused by Arctic sudden stratospheric warmings (SSWs) occur at middle latitudes in the Southern Hemisphere. However, it is not known if a similar interhemispheric linkage is produced by Antarctic SSWs. Here we examine thermospheric and ionospheric anomalies observed in September 2019 at middle latitudes in the Northern Hemisphere. We report persistent (at least 30 days) and strong (up to 80%-100%) positive anomalies in the daytime total electron content (TEC) and increases in the thermospheric O/N-2 ratio in the western region of North America. However, central and eastern regions of North America experience moderate suppression of TEC reaching 20%-40% of the baseline. Different positive and negative anomalies are observed over the European sector. We hypothesize that regional differences in the TEC response could be related to modulation of thermospheric winds during SSWs, changes in thermospheric composition, and differences in declination angle.</t>
  </si>
  <si>
    <t>[Goncharenko, Larisa P.; Zhang, Shun-Rong; Coster, Anthea J.] MIT, Haystack Observ, Westford, MA 01886 USA; [Harvey, V. Lynn; Greer, Katelynn R.] Univ Colorado, Lab Atmospher &amp; Space Phys, Boulder, CO 80309 USA; [Paxton, Larry J.] Johns Hopkins Univ, Appl Phys Lab, Laurel, MD USA</t>
  </si>
  <si>
    <t>Massachusetts Institute of Technology (MIT); University of Colorado System; University of Colorado Boulder; Johns Hopkins University; Johns Hopkins University Applied Physics Laboratory</t>
  </si>
  <si>
    <t>Goncharenko, LP (corresponding author), MIT, Haystack Observ, Westford, MA 01886 USA.</t>
  </si>
  <si>
    <t>lpg@mit.edu</t>
  </si>
  <si>
    <t>Zhang, Shun-Rong/G-7593-2015; HARVEY, V LYNN/M-3995-2017; Paxton, Larry/D-1934-2015</t>
  </si>
  <si>
    <t>Zhang, Shun-Rong/0000-0002-1946-3166; HARVEY, V LYNN/0000-0002-7928-0804; Goncharenko, Larisa/0000-0001-9031-7439; Paxton, Larry/0000-0002-2597-347X</t>
  </si>
  <si>
    <t>NASA [80NSSC19K0262]; NSF [AGS-1952737]; ONR [N00014-17-1-2186]; MURI [FA9559-16-1-0364]</t>
  </si>
  <si>
    <t>NASA(National Aeronautics &amp; Space Administration (NASA)); NSF(National Science Foundation (NSF)); ONR(Office of Naval Research); MURI(MURI)</t>
  </si>
  <si>
    <t>Larisa P. Goncharenko, V. Lynn Harvey, and Katelynn R. Greer acknowledge support from NASA Grant 80NSSC19K0262. GNSS TEC data are provided at http://cedar.openmadrigal.org/by MIT under support from NSF grant AGS-1952737. Larisa P. Goncharenko, Anthea J. Coster, and Shun-Rong Zhang also acknowledge support from ONR grant N00014-17-1-2186; Shun-Rong Zhang acknowledges MURI grant FA9559-16-1-0364.</t>
  </si>
  <si>
    <t>AUG 8</t>
  </si>
  <si>
    <t>e2021GL094517</t>
  </si>
  <si>
    <t>10.1029/2021GL094517</t>
  </si>
  <si>
    <t>TY0YC</t>
  </si>
  <si>
    <t>WOS:000683510400002</t>
  </si>
  <si>
    <t>Naslund, AW; Davis, BE; Hobbs, JA; Fangue, NA; Todgham, AE</t>
  </si>
  <si>
    <t>Naslund, Andrew W.; Davis, Brittany E.; Hobbs, James A.; Fangue, Nann A.; Todgham, Anne E.</t>
  </si>
  <si>
    <t>Warming, not CO2-acidified seawater, alters otolith development of juvenile Antarctic emerald rockcod (Trematomus bernacchii)</t>
  </si>
  <si>
    <t>Antarctic fish; Ocean acidification; Warming; Climate change; Otoliths</t>
  </si>
  <si>
    <t>ELEVATED CARBON-DIOXIDE; OCEAN ACIDIFICATION; FISH; GROWTH; TEMPERATURE; CHEMISTRY</t>
  </si>
  <si>
    <t>The combustion of fossil fuels is currently causing rapid rates of ocean warming and acidification worldwide. Projected changes in these parameters have been repeatedly observed to stress the physiological limits and plasticity of many marine species from the molecular to organismal levels. High latitude oceans are among the fastest changing ecosystems; therefore, polar species are projected to be some of the most vulnerable to climate change. Antarctic species are particularly sensitive to environmental change, having evolved for millions of years under stable ocean conditions. Otoliths, calcified structures found in a fish's inner ear used to sense movement and direction, have been shown to be affected by both warming and CO2-acidified seawater in temperate and tropical fishes but there is no work to date on Antarctic fishes. In this study, juvenile emerald rockcod (Trematomus bernacchii) were exposed to projected seawater warming and CO2-acidification for the year 2100 over 28 days. Sagittal otoliths were analyzed for changes in area, perimeter, length, width and shape. We found ocean warming increased the growth rate of otoliths, while CO2-acidified seawater and the interaction of warming and acidification did not have an effect on otolith development. Elevated temperature also altered the shape of otoliths. If otolith development is altered under future warming scenarios, sensory functions such as hearing, orientation, and movement may potentially be impaired. Changes in these basic somatic abilities could have broad implications for the general capabilities and ecology of early life stages of Antarctic fishes.</t>
  </si>
  <si>
    <t>[Naslund, Andrew W.; Davis, Brittany E.; Todgham, Anne E.] Univ Calif Davis, Dept Anim Sci, One Shields Ave, Davis, CA 95616 USA; [Naslund, Andrew W.; Davis, Brittany E.; Hobbs, James A.; Fangue, Nann A.] Univ Calif Davis, Wildlife Fish &amp; Conservat Biol, One Shields Ave, Davis, CA 95616 USA; [Davis, Brittany E.] Calif Dept Water Resources, Div Environm Serv, POB 942836, Sacramento, CA 94236 USA</t>
  </si>
  <si>
    <t>University of California System; University of California Davis; University of California System; University of California Davis</t>
  </si>
  <si>
    <t>Todgham, AE (corresponding author), Univ Calif Davis, Dept Anim Sci, One Shields Ave, Davis, CA 95616 USA.</t>
  </si>
  <si>
    <t>todgham@ucdavis.edu</t>
  </si>
  <si>
    <t>Naslund, Andrew/AGO-6686-2022</t>
  </si>
  <si>
    <t>Fangue, Nann/0000-0001-5419-0282; Davis, Brittany/0000-0003-3752-1830; Todgham, Anne/0000-0003-1439-6985; Hobbs, James/0000-0002-4052-9000; Naslund, Andrew/0000-0002-3492-9702</t>
  </si>
  <si>
    <t>National Science Foundation (NSF) [ANT-1142122, ANT-1744999]; University of California Agricultural Experimental Station [CA-D-ASC-2252-H, CA-D-ASC-2098-H]</t>
  </si>
  <si>
    <t>National Science Foundation (NSF)(National Science Foundation (NSF)); University of California Agricultural Experimental Station</t>
  </si>
  <si>
    <t>This research was funded by the National Science Foundation (NSF ANT-1142122, ANT-1744999 to AET) and the University of California Agricultural Experimental Station (Grant Number CA-D-ASC-2252-H to AET and CA-D-ASC-2098-H to NAF). We are grateful to all the Antarctic Science Support who made this study possible, including the U.S. Antarctic Program, Lockheed Martin, the Crary Lab staff, ASC SCUBA divers Rob Robbins and Steve Rupp, and Trinh Nguyen for his R coding assistance. We would also like to thank our reviewers, Joyce Ong and an anonymous contributor, whose comments strengthened the publication.</t>
  </si>
  <si>
    <t>10.1007/s00300-021-02923-3</t>
  </si>
  <si>
    <t>WOS:000682643800001</t>
  </si>
  <si>
    <t>Sharma, R; Swearer, SE; Morris, RL; Strain, EMA</t>
  </si>
  <si>
    <t>Sharma, Rituraj; Swearer, Stephen E.; Morris, Rebecca L.; Strain, Elisabeth M. A.</t>
  </si>
  <si>
    <t>Testing the efficacy of sea urchin exclusion methods for restoring kelp</t>
  </si>
  <si>
    <t>Barriers; Ecklonia radiata; Heliocidaris erythrogramma; macroalgae; Sea urchin; Kelp restoration; Herbivore exclusion</t>
  </si>
  <si>
    <t>STABILITY; GRAZERS; FISH; BIODIVERSITY; RESILIENCE; HERBIVORES; INTERACT; BARRIERS; RECOVERY; IMPACT</t>
  </si>
  <si>
    <t>Kelps are ecosystem engineers, which collectively form forests that provide a variety of important ecosystem services for humans and other organisms. Kelp forests are threatened by multiple local and global stressors, one of the most notable is herbivory. Overabundant sea; urchins can consume kelp, leading to a phase shift from productive forests to unproductive; rocky barrens. Reducing sea urchin densities by directly removing them can reverse this; phase shift. However, maintaining low densities of sea urchins, is logistically and financially; challenging. Following a review of herbivore exclusion methods to date, we tested the efficacy of three different methods for excluding sea urchins from kelp in the laboratory: flexible fences; electricity; and copper anti-fouling paint. The results from the laboratory; experiment showed that flexible fencing was the most successful method for excluding sea urchins. To test the efficacy of this method in the field, sea urchins were removed from 1m(2) patches in barrens and intact kelp beds, and the effectiveness of flexible fences of two different heights (30 cm and 60 cm) at excluding sea urchins were tested. The results from the field study demonstrated that flexible fences of both heights were effective at maintaining low sea urchin densities in barrens but not in intact kelp beds, relative to unmanipulated; rocky barrens. These findings suggest that flexible fencing could be an important tool in restoring kelp in barrens, however the costs of fencing are likely to place limits on the scale at which this management strategy can be implemented.</t>
  </si>
  <si>
    <t>[Sharma, Rituraj; Swearer, Stephen E.; Morris, Rebecca L.; Strain, Elisabeth M. A.] Univ Melbourne, Natl Ctr Coasts &amp; Climate, Melbourne, Vic 3010, Australia; [Strain, Elisabeth M. A.] Univ Tasmania, Inst Marine &amp; Antarctic Studies IMAS, Hobart, Tas 7001, Australia</t>
  </si>
  <si>
    <t>University of Melbourne; Melbourne Genomics Health Alliance; University of Tasmania</t>
  </si>
  <si>
    <t>Sharma, R (corresponding author), Univ Melbourne, Natl Ctr Coasts &amp; Climate, Melbourne, Vic 3010, Australia.;Strain, EMA (corresponding author), Univ Tasmania, Inst Marine &amp; Antarctic Studies IMAS, Hobart, Tas 7001, Australia.</t>
  </si>
  <si>
    <t>rituraj8268@gmail.com; elisabeth.strain@utas.edu.au</t>
  </si>
  <si>
    <t>Swearer, Stephen/X-4882-2018; Strain, Elisabeth/U-3520-2017; Morris, Rebecca/AAB-3364-2020</t>
  </si>
  <si>
    <t>Swearer, Stephen/0000-0001-6381-9943; Sharma, Rituraj/0000-0002-2980-1173</t>
  </si>
  <si>
    <t>Earth Systems and Climate Change Hub by Australian Government's National Environmental Science Program; Victorian Government's Department of Environment, Land, Water and Planning through the Port Phillip Bay Fund</t>
  </si>
  <si>
    <t>We thank Alistair Poore for assistance with the literature review; Luke Holman for assistance with statistical analysis; Luke Adams, Alexander Coutts, and Tristan Graham for assistance with field work; Dean Chamberlain for technical advice and John Ahern for lab assistance. The National Centre for Coasts and Climate is funded through The Earth Systems and Climate Change Hub by the Australian Government's National Environmental Science Program. This project received funding from the Victorian Government's Department of Environment, Land, Water and Planning through the Port Phillip Bay Fund.</t>
  </si>
  <si>
    <t>10.1016/j.marenvres.2021.105439</t>
  </si>
  <si>
    <t>UK2DE</t>
  </si>
  <si>
    <t>WOS:000691784700008</t>
  </si>
  <si>
    <t>Belova, E; Kirkwood, S; Voelger, P; Chatterjee, S; Satheesan, K; Hagelin, S; Lindskog, M; Körnich, H</t>
  </si>
  <si>
    <t>Belova, Evgenia; Kirkwood, Sheila; Voelger, Peter; Chatterjee, Sourav; Satheesan, Karathazhiyath; Hagelin, Susanna; Lindskog, Magnus; Kornich, Heiner</t>
  </si>
  <si>
    <t>Validation of Aeolus winds using ground-based radars in Antarctica and in northern Sweden</t>
  </si>
  <si>
    <t>SATELLITE MISSION; LIDAR; PERFORMANCE; SPACE</t>
  </si>
  <si>
    <t>Winds measured by lidar from the Aeolus satellite are compared with winds measured by two ground-based radars - MARA in Antarctica (70.77 degrees S, 11.73 degrees E) and ES-RAD (67.88 degrees N, 21.10 degrees E) in Arctic Sweden - for the period 1 July-31 December 2019. Aeolus is a demonstrator mission to test whether winds measured by Doppler lidar from space can have sufficient accuracy to contribute to improved weather forecasting. A comprehensive programme of calibration and validation has been undertaken following the satellite launch in 2018, but, so far, direct comparison with independent measurements from the Arctic or Antarctic regions have not been made. The comparison covers heights from the low troposphere to just above the tropopause. Results for each radar site are presented separately for Rayleigh (clear) winds, Mie (cloudy) winds, sunlit (summer) and non-sunlit (winter) seasons, and ascending and descending satellite tracks. Horizontally projected line-of-sight (HLOS) winds from Aeolus, reprocessed using baseline 2B10, for passes within 100 km of the radar sites, are compared with HLOS winds calculated from 1 h averaged radar horizontal wind components. The agreement in most data subsets is very good, with no evidence of significant biases (&lt;1ms(-1)). Possible biases are identified for two subsets (about -2ms(-1) for the Rayleigh winds for the descending passes at MARA and about 2ms(-1) for the Mie winds for the ascending passes at ESRAD, both in winter), but these are only marginally significant. A robust significant bias of about 7ms(-1) is found for the Mie winds for the ascending tracks at MARA in summer. There is also some evidence for increased random error (by about 1ms(-1) / for the Aeolus Mie winds at MARA in summer compared to winter. This might be related to the presence of sunlight scatter over the whole of Antarctica as Aeolus transits across it during summer.</t>
  </si>
  <si>
    <t>[Belova, Evgenia; Kirkwood, Sheila; Voelger, Peter] Swedish Inst Space Phys, S-98128 Kiruna, Sweden; [Chatterjee, Sourav] Minist Earth Sci, Natl Ctr Polar &amp; Ocean Res, Vasco Da Gama 403804, Goa, India; [Satheesan, Karathazhiyath] Cochin Univ Sci &amp; Technol, Sch Marine Sci, Dept Atmospher Sci, Cochin 682016, Kerala, India; [Hagelin, Susanna; Lindskog, Magnus; Kornich, Heiner] Swedish Meteorol &amp; Hydrol Inst, S-60176 Norrkoping, Sweden</t>
  </si>
  <si>
    <t>Ministry of Earth Sciences (MoES) - India; National Centre for Polar and Ocean Research (NCPOR); Cochin University Science &amp; Technology; Swedish Meteorological &amp; Hydrological Institute</t>
  </si>
  <si>
    <t>Belova, E (corresponding author), Swedish Inst Space Phys, S-98128 Kiruna, Sweden.</t>
  </si>
  <si>
    <t>evgenia.belova@irf.se</t>
  </si>
  <si>
    <t>Chatterjee, Sourav/GLR-0397-2022; K, Satheesan/B-8495-2009</t>
  </si>
  <si>
    <t>Chatterjee, Sourav/0000-0003-4003-4371; K, Satheesan/0000-0003-1456-7203; Hagelin, Susanna/0000-0003-3167-3016; Kornich, Heiner/0000-0003-0524-6440</t>
  </si>
  <si>
    <t>Swedish National Space Agency [125/18, 279/18]</t>
  </si>
  <si>
    <t>Swedish National Space Agency(Swedish National Space Agency (SNSA))</t>
  </si>
  <si>
    <t>This research has been supported by the Swedish National Space Agency (grant nos. 125/18 and 279/18).</t>
  </si>
  <si>
    <t>AUG 6</t>
  </si>
  <si>
    <t>10.5194/amt-14-5415-2021</t>
  </si>
  <si>
    <t>TY4RG</t>
  </si>
  <si>
    <t>WOS:000683772700003</t>
  </si>
  <si>
    <t>Beaumet, J; Déqué, M; Krinner, G; Agosta, C; Alias, A; Favier, V</t>
  </si>
  <si>
    <t>Beaumet, Julien; Deque, Michel; Krinner, Gerhard; Agosta, Cecile; Alias, Antoinette; Favier, Vincent</t>
  </si>
  <si>
    <t>Significant additional Antarctic warming in atmospheric bias-corrected ARPEGE projections with respect to control run</t>
  </si>
  <si>
    <t>SURFACE MASS-BALANCE; SEA-ICE AREA; CLIMATE-CHANGE; MODEL; SHEET; CMIP5; ACCUMULATION; DRIVEN; OCEAN; WINDS</t>
  </si>
  <si>
    <t>In this study, we use run-time bias correction to correct for the Action de Recherche Petite Echelle Grande Echelle (ARPEGE) atmospheric model systematic errors on large-scale atmospheric circulation. The bias-correction terms are built using the climatological mean of the adjustment terms on tendency errors in an ARPEGE simulation relaxed towards ERA-Interim reanalyses. The bias reduction with respect to the Atmospheric Model Intercomparison Project (AMIP)-style uncorrected control run for the general atmospheric circulation in the Southern Hemisphere is significant for mean state and daily variability. Comparisons for the Antarctic Ice Sheet with the polar-oriented regional atmospheric models MAR and RACMO2 and in situ observations also suggest substantial bias reduction for near-surface temperature and precipitation in coastal areas. Applying the method to climate projections for the late 21st century (2071-2100) leads to large differences in the projected changes of the atmospheric circulation in the southern high latitudes and of the Antarctic surface climate. The projected poleward shift and strengthening of the southern westerly winds are greatly reduced. These changes result in a significant 0.7 to 0.9K additional warming and a 6% to 9% additional increase in precipitation over the grounded ice sheet. The sensitivity of precipitation increase to temperature increase (+7.7% K-1 and +9% K-1) found is also higher than previous estimates. The highest additional warming rates are found over East Antarctica in summer. In winter, there is a dipole of weaker warming and weaker precipitation increase over West Antarctica, contrasted by a stronger warming and a concomitant stronger precipitation increase from Victoria to Adelie Land, associated with a weaker intensification of the Amundsen Sea Low.</t>
  </si>
  <si>
    <t>[Beaumet, Julien; Krinner, Gerhard; Favier, Vincent] Univ Grenoble Alpes, CNRS, Inst Geosci Environm, F-38000 Grenoble, France; [Deque, Michel; Alias, Antoinette] Univ Toulouse, CNRM, Meteo France, CNRS, Toulouse, France; [Agosta, Cecile] Univ Paris Saclay, CEA CNRS UVSQ, LSCE IPSL, Lab Sci Climat &amp; Environm, F-91190 Gif Sur Yvette, France</t>
  </si>
  <si>
    <t>Centre National de la Recherche Scientifique (CNRS); Communaute Universite Grenoble Alpes; Universite Grenoble Alpes (UGA); Centre National de la Recherche Scientifique (CNRS); Universite de Toulouse; Meteo France; Universite Paris Cite; CEA; Centre National de la Recherche Scientifique (CNRS); Universite Paris Saclay</t>
  </si>
  <si>
    <t>Beaumet, J (corresponding author), Univ Grenoble Alpes, CNRS, Inst Geosci Environm, F-38000 Grenoble, France.</t>
  </si>
  <si>
    <t>julien.beaumet@univ-grenoble-alpes.fr</t>
  </si>
  <si>
    <t>Agosta, Cécile/HLQ-5577-2023; Krinner, Gerhard/A-6450-2011; Krinner, Gerhard/AAB-8837-2022; Agosta, Cecile/B-9625-2013; Favier, Vincent/T-1936-2017</t>
  </si>
  <si>
    <t>Krinner, Gerhard/0000-0002-2959-5920; Agosta, Cecile/0000-0003-4091-1653; Favier, Vincent/0000-0001-6024-9498</t>
  </si>
  <si>
    <t>PROTECT; European Union [869304]</t>
  </si>
  <si>
    <t>PROTECT; European Union(European Union (EU))</t>
  </si>
  <si>
    <t>This publication was supported by PROTECT. This project has received funding from the European Union's Horizon 2020 research and innovation program under grant agreement no. 869304. This is PROTECT contribution number 21.</t>
  </si>
  <si>
    <t>10.5194/tc-15-3615-2021</t>
  </si>
  <si>
    <t>TY4XW</t>
  </si>
  <si>
    <t>WOS:000683789900001</t>
  </si>
  <si>
    <t>Nakayama, Y; Menemenlis, D; Wang, O; Zhang, H; Fenty, I; Nguyen, AT</t>
  </si>
  <si>
    <t>Nakayama, Yoshihiro; Menemenlis, Dimitris; Wang, Ou; Zhang, Hong; Fenty, Ian; Nguyen, An T.</t>
  </si>
  <si>
    <t>Development of adjoint-based ocean state estimation for the Amundsen and Bellingshausen seas and ice shelf cavities using MITgcm-ECCO (66j)</t>
  </si>
  <si>
    <t>CIRCUMPOLAR DEEP-WATER; PINE ISLAND GLACIER; OCEANOGRAPHIC CONTROLS; GENERAL-CIRCULATION; ASSIMILATION; SHELF/OCEAN; SENSITIVITY; MELTWATER; DRIVEN; MELT</t>
  </si>
  <si>
    <t>The Antarctic coastal ocean impacts sea level rise, deep-ocean circulation, marine ecosystems, and the global carbon cycle. To better describe and understand these processes and their variability, it is necessary to combine the sparse available observations with the best-possible numerical descriptions of ocean circulation. In particular, high ice shelf melting rates in the Amundsen Sea have attracted many observational campaigns, and we now have some limited oceanographic data that capture seasonal and interannual variability during the past decade. One method to combine observations with numerical models that can maximize the information extracted from the sparse observations is the adjoint method, a.k.a. 4D-Var (4-dimensional variational assimilation), as developed and implemented for global ocean state estimation by the Estimating the Circulation and Climate of the Ocean (ECCO) project. Here, for the first time, we apply the adjoint-model estimation method to a regional configuration of the Amundsen and Bellings-shausen seas, Antarctica, including explicit representation of sub-ice-shelf cavities. We utilize observations available during 2010-2014, including ship-based and seal-tagged CTD measurements, moorings, and satellite sea-ice concentration estimates. After 20 iterations of the adjoint-method minimization algorithm, the cost function, here defined as a sum of the weighted model-data difference, is reduced by 65% relative to the baseline simulation by adjusting initial conditions, atmospheric forcing, and vertical diffusivity. The seaice and ocean components of the cost function are reduced by 59% and 70 %, respectively. Major improvements include better representations of (1) WinterWater (WW) characteristics and (2) intrusions of modified Circumpolar Deep Water (mCDW) towards the Pine Island Glacier. Sensitivity experiments show that similar to 40% and similar to 10% of improvements in sea ice and ocean state, respectively, can be attributed to the adjustment of air temperature and wind. This study is a preliminary demonstration of adjoint-method optimization with explicit representation of ice shelf cavity circulation. Despite the 65% cost reduction, substantial model-data discrepancies remain, in particular with annual and interannual variability observed by moorings in front of the Pine Island Ice Shelf. We list a series of possible causes for these residuals, including limitations of the model, the optimization methodology, and observational sampling. In particular, we hypothesize that residuals could be further reduced if the model could more accurately represent sea-ice concentration and coastal polynyas.</t>
  </si>
  <si>
    <t>[Nakayama, Yoshihiro; Menemenlis, Dimitris; Wang, Ou; Zhang, Hong; Fenty, Ian] CALTECH, Jet Prop Lab, Pasadena, CA 91125 USA; [Nakayama, Yoshihiro] Hokkaido Univ, Inst Low Temp Sci, Sapporo, Hokkaido, Japan; [Nguyen, An T.] Univ Texas Austin, Austin, TX 78712 USA</t>
  </si>
  <si>
    <t>National Aeronautics &amp; Space Administration (NASA); NASA Jet Propulsion Laboratory (JPL); California Institute of Technology; Hokkaido University; University of Texas System; University of Texas Austin</t>
  </si>
  <si>
    <t>Nakayama, Y (corresponding author), CALTECH, Jet Prop Lab, Pasadena, CA 91125 USA.;Nakayama, Y (corresponding author), Hokkaido Univ, Inst Low Temp Sci, Sapporo, Hokkaido, Japan.</t>
  </si>
  <si>
    <t>yoshihiro.nakayama@lowtem.hokudai.ac.jp</t>
  </si>
  <si>
    <t>Fenty, Ian/AAP-9569-2021; Nakayama, Yoshihiro/R-4325-2019; Menemenlis, Dimitris/G-8091-2017</t>
  </si>
  <si>
    <t>Fenty, Ian/0000-0001-6662-6346; Nakayama, Yoshihiro/0000-0001-6543-529X; Menemenlis, Dimitris/0000-0001-9940-8409</t>
  </si>
  <si>
    <t>Modeling, Analysis, and Prediction (MAP); Physical Oceanography (PO); Cryosphere programs; NASA Postdoctoral Program (NPP); Japanese Ministry of Education, Culture, Sports, Science and Technology [19K23447, 21K13989]; NSF [OPP-1603903]; Grants-in-Aid for Scientific Research [21K13989, 19K23447] Funding Source: KAKEN</t>
  </si>
  <si>
    <t>Modeling, Analysis, and Prediction (MAP); Physical Oceanography (PO); Cryosphere programs; NASA Postdoctoral Program (NPP)(National Aeronautics &amp; Space Administration (NASA)); Japanese Ministry of Education, Culture, Sports, Science and Technology(Ministry of Education, Culture, Sports, Science and Technology, Japan (MEXT)); NSF(National Science Foundation (NSF)); Grants-in-Aid for Scientific Research(Ministry of Education, Culture, Sports, Science and Technology, Japan (MEXT)Japan Society for the Promotion of ScienceGrants-in-Aid for Scientific Research (KAKENHI))</t>
  </si>
  <si>
    <t>Research was carried out at the Jet Propulsion Laboratory, California Institute of Technology, under a contract with the National Aeronautics and Space Administration (NASA) with support from the Modeling, Analysis, and Prediction (MAP); Physical Oceanography (PO); and Cryosphere programs. Yoshihiro Nakayama received additional support from the NASA Postdoctoral Program (NPP) and from the Grants-in-Aid for Scientific Research (19K23447, 21K13989) of the Japanese Ministry of Education, Culture, Sports, Science and Technology. An T. Nguyen is funded by grant NSF-OPP-1603903.</t>
  </si>
  <si>
    <t>10.5194/gmd-14-4909-2021</t>
  </si>
  <si>
    <t>TY4VY</t>
  </si>
  <si>
    <t>WOS:000683784900001</t>
  </si>
  <si>
    <t>Gushchina, D; Kolennikova, M; Dewitte, B; Yeh, SW</t>
  </si>
  <si>
    <t>Gushchina, Daria; Kolennikova, Maria; Dewitte, Boris; Yeh, Sang-Wook</t>
  </si>
  <si>
    <t>On the relationship between ENSO diversity and the ENSO atmospheric teleconnection to high-latitudes</t>
  </si>
  <si>
    <t>atmosphere circulation; ENSO; temperature anomalies; tropics-mid latitude teleconnection</t>
  </si>
  <si>
    <t>NINO-SOUTHERN-OSCILLATION; PACIFIC EL-NINO; NORTH-ATLANTIC; ARCTIC OSCILLATION; EASTERN-PACIFIC; ANTARCTIC OSCILLATION; JULIAN OSCILLATION; VARIABILITY; CIRCULATION; TEMPERATURE</t>
  </si>
  <si>
    <t>The El Nino-Southern Oscillation (ENSO) has experienced changes in its properties since the 1990s, particularly increased occurrence of Central Pacific El Nino events. These events have influenced atmospheric circulation in the mid to high-latitudes of both hemispheres through atmospheric teleconnection. Here it is shown that, in the Northern Hemisphere, the planetary circulation response to the Eastern Pacific (EP) event in boreal winter is associated with Rossby waves propagating poleward and is mostly confined to the Pacific region, while the Central Pacific (CP) event induces a negative phase of Arctic Oscillation (AO)-like circulation pattern at planetary scale. In the Southern Hemisphere (SH), the difference between the circulation patterns associated with the two types of El Nino in austral summer is rather small and the response of the tropospheric circulation consists of an Antarctic Oscillation (AAO)-like negative phase pattern. In the SH, the circulation response to CP Nino lasts longer than that to EP Nino. In particular, during EP Nino the composite circulation anomalies reverse sign from austral summer to winter, which is not the case during CP event. This adds an interhemispheric asymmetry dimension to the ENSO atmospheric teleconnection in the high-latitudes in relation to ENSO diversity. These changes in the circulation are associated with surface air-temperature anomalies that have the potential to exacerbate observed long-term trends. A subgroup of CMIP5 models that realistically simulate both ENSO nonlinearity (diversity) and the AO and AAO-like patterns are analysed, showing that in the warmer climate, the circulation response in the high-latitudes to both types of events is amplified in both hemispheres.</t>
  </si>
  <si>
    <t>[Gushchina, Daria; Kolennikova, Maria] Moscow State Univ MSU, Fac Geog, Moscow, Russia; [Gushchina, Daria] Russian State Hydrometeorol Univ RSHU, St Petersburg, Russia; [Dewitte, Boris] Ctr Estudios Avanzado Zonas Aridas CEAZA, La Serena, Chile; [Dewitte, Boris] Univ Catolica Norte, Fac Ciencias Mar, Dept Biol, Coquimbo, Chile; [Dewitte, Boris] Millennium Nucleus Ecol &amp; Sustainable Management, Coquimbo, Chile; [Dewitte, Boris] Univ Toulouse, CERFACS CNRS, CECI, Toulouse, France; [Yeh, Sang-Wook] Hanyang Univ ERICA, Marine Sci &amp; Convergent Technol, Ansan, South Korea</t>
  </si>
  <si>
    <t>Russian State Hydrometeorological University; Universidad Catolica del Norte; Universite de Toulouse; Centre National de la Recherche Scientifique (CNRS); CERFACS; Hanyang University</t>
  </si>
  <si>
    <t>Gushchina, D (corresponding author), Moscow MV Lomonosov State Univ, Fac Geog, Leninskie Gory 1, Moscow 119991, Russia.</t>
  </si>
  <si>
    <t>dasha155@mail.ru</t>
  </si>
  <si>
    <t>Tarasova, Maria/AGM-7923-2022; Yeh, Sang-Wook/G-3007-2014; Kolennikova, Maria/AAX-4986-2021</t>
  </si>
  <si>
    <t>Tarasova, Maria/0000-0003-1507-3088</t>
  </si>
  <si>
    <t>ANID (Concurso de Fortalecimiento al Desarrollo Cientifico de Centros Regionales) [2020-R20F0008-CEAZA, 1190276]; Korean Meteorological Administration Research and Development Program [KMI2020-01213]; Russian Science Foundation [19-17-00198]; ANR [ANR-18-CE01-0012]; Russian Science Foundation [19-17-00198] Funding Source: Russian Science Foundation; Agence Nationale de la Recherche (ANR) [ANR-18-CE01-0012] Funding Source: Agence Nationale de la Recherche (ANR)</t>
  </si>
  <si>
    <t>ANID (Concurso de Fortalecimiento al Desarrollo Cientifico de Centros Regionales); Korean Meteorological Administration Research and Development Program; Russian Science Foundation(Russian Science Foundation (RSF)); ANR(Agence Nationale de la Recherche (ANR)); Russian Science Foundation(Russian Science Foundation (RSF)); Agence Nationale de la Recherche (ANR)(Agence Nationale de la Recherche (ANR))</t>
  </si>
  <si>
    <t>ANID (Concurso de Fortalecimiento al Desarrollo Cientifico de Centros Regionales 2020-R20F0008-CEAZA and Grant 1190276); Korean Meteorological Administration Research and Development Program, Grant/Award Number: KMI2020-01213; Russian Science Foundation, Grant/Award Number: 19-17-00198; ANR, Grant/Award Number: ANR-18-CE01-0012</t>
  </si>
  <si>
    <t>10.1002/joc.7304</t>
  </si>
  <si>
    <t>YU3ZD</t>
  </si>
  <si>
    <t>WOS:000682099900001</t>
  </si>
  <si>
    <t>Saygili, B; Tsuyuki, S; Liu, J; Yamamoto, N; Kobayashi, K; Amakasu, K</t>
  </si>
  <si>
    <t>Saygili, Burak; Tsuyuki, Soma; Liu, Jing; Yamamoto, Natsuki; Kobayashi, Kenichi; Amakasu, Kazuo</t>
  </si>
  <si>
    <t>A broadband target strength measurement method for weakly scattering animals using a 50-ms-long linear frequency modulated signal in a small tank</t>
  </si>
  <si>
    <t>FISHERIES SCIENCE</t>
  </si>
  <si>
    <t>Distorted-wave Born approximation; Pulse compression processing; Sakura shrimp; Signal-to-noise ratio; Sound-speed contrast; Theoretical acoustic scattering models; Target strength spectra</t>
  </si>
  <si>
    <t>KRILL EUPHAUSIA-SUPERBA; SOUND SPEED CONTRASTS; ANTARCTIC KRILL; ACOUSTIC-SCATTERING; RESONANCE CLASSIFICATION; ZOOPLANKTON GROUPS; DENSITY; BACKSCATTERING; ORIENTATION; CYLINDERS</t>
  </si>
  <si>
    <t>We built a new pulse-echo system using a small tank (1 x 1 x 1 m) for measuring the broadband target strength of weakly scattering animals such as krill and shrimp. The system transmits a linear frequency modulated signal with a frequency sweep of 20-220 kHz. To increase the signal-to-noise ratio (SNR), a very long ( 50 ms) signal is used, and pulse compression processing is applied to received echoes. To determine the accuracy and effectiveness of the system and method, the obtained measurements were compared with predictions by theoretical acoustic scattering models. According to the verification experiment for a sphere and cylinders, the mean absolute errors were &lt; 0.30 dB and the correlation coefficients r were &gt; 0.97 in the frequency range above 20-dB SNR (40-210 kHz for the cylinders). Our measurement system was thus very accurate. We then performed the experiment for a commercially important shrimp, sakura shrimp Lucensosergia lucens. The measured spectra of three samples (35-38 mm) were in good agreement with the predicted spectra using an assumed sound-speed contrast. The r values were &gt; 0.88 in the frequency range above 20-dB SNR (approximately 110-190 kHz). The effectiveness of our new method for weakly scattering animals was confirmed.</t>
  </si>
  <si>
    <t>[Saygili, Burak; Tsuyuki, Soma; Liu, Jing; Yamamoto, Natsuki; Amakasu, Kazuo] Tokyo Univ Marine Sci &amp; Technol, Minato Ku, 4-5-7 Konan, Tokyo 1088477, Japan; [Tsuyuki, Soma] Cent Japan Railway Co, Minato Ku, JR Cent Shinagawa Bldg A Wing,2-1-85 Konan, Tokyo 1088204, Japan; [Kobayashi, Kenichi] Shizuoka Prefectural Res Inst Fishery &amp; Ocean, 136-24 Iwashigashima, Yaizu, Shizuoka 4250032, Japan</t>
  </si>
  <si>
    <t>Tokyo University of Marine Science &amp; Technology</t>
  </si>
  <si>
    <t>Amakasu, K (corresponding author), Tokyo Univ Marine Sci &amp; Technol, Minato Ku, 4-5-7 Konan, Tokyo 1088477, Japan.</t>
  </si>
  <si>
    <t>buraksaygili@gmail.com; amakasu@kaiyodai.ac.jp</t>
  </si>
  <si>
    <t>AMAKASU, Kazuo/O-1857-2014</t>
  </si>
  <si>
    <t>JSPS KAKENHI [JP17H05033]</t>
  </si>
  <si>
    <t>JSPS KAKENHI(Ministry of Education, Culture, Sports, Science and Technology, Japan (MEXT)Japan Society for the Promotion of ScienceGrants-in-Aid for Scientific Research (KAKENHI))</t>
  </si>
  <si>
    <t>The authors are very grateful to the officers and crew of the RV Suruga-maru of the Shizuoka Prefectural Research Institute of Fishery and Ocean (SPRIFO) for the sampling of live sakura shrimp. We also thank the officers and crew of the TV Shinyomaru of the Tokyo University of Marine Science and Technology (TUMSAT) for the sampling of live sakura shrimp in previous experiments. Dr. T. Sasakura of Fusion Inc. is acknowledged for his kind support in the construction of the broadband transducer. H. Nonaka, a former undergraduate student, of TUMSAT is also acknowledged for his contribution to this study. This study was conducted as the TUMSAT/SPRIFO joint research and supported by a JSPS KAKENHI grant number JP17H05033.</t>
  </si>
  <si>
    <t>0919-9268</t>
  </si>
  <si>
    <t>1444-2906</t>
  </si>
  <si>
    <t>FISHERIES SCI</t>
  </si>
  <si>
    <t>Fish. Sci.</t>
  </si>
  <si>
    <t>10.1007/s12562-021-01532-7</t>
  </si>
  <si>
    <t>UQ7ES</t>
  </si>
  <si>
    <t>WOS:000682425200001</t>
  </si>
  <si>
    <t>Hirano, D; Mizobata, K; Sasaki, H; Murase, H; Tamura, T; Aoki, S</t>
  </si>
  <si>
    <t>Hirano, Daisuke; Mizobata, Kohei; Sasaki, Hiroko; Murase, Hiroto; Tamura, Takeshi; Aoki, Shigeru</t>
  </si>
  <si>
    <t>Poleward eddy-induced warm water transport across a shelf break off Totten Ice Shelf, East Antarctica</t>
  </si>
  <si>
    <t>CIRCULATION; EXCHANGE</t>
  </si>
  <si>
    <t>Ice mass loss in the Wilkes Land sector of East Antarctica and the Amundsen and Bellingshausen Sea sectors of West Antarctica has contributed to a rise in sea levels over several decades. The massive continental ice behind the Totten Ice Shelf, equivalent to a few meters of sea-level rise, is grounded well below sea level and therefore, potentially vulnerable to oceanic heat. Here, we present analyses of comprehensive hydrographic observations at the continental slope and shelf break regions off Totten Ice Shelf. We provide robust evidence that the relatively warm Circumpolar Deep Water that originates at intermediate depths in the Antarctic Circumpolar Current is transported efficiently towards the shelf break by multiple cyclonic eddies. We propose that these semi-permanent cyclonic circulations play a critical role in transporting the available ocean heat towards Totten Ice Shelf, and melting it from underneath, thus eventually influencing the global climate. Circumpolar Deep Water is efficiently transported towards the shelf break off Totten Ice Shelf, East Antarctica by cyclonic eddies, suggest comprehensive hydrographic observations.</t>
  </si>
  <si>
    <t>[Hirano, Daisuke; Aoki, Shigeru] Hokkaido Univ, Inst Low Temp Sci, Sapporo, Hokkaido, Japan; [Hirano, Daisuke] Hokkaido Univ, Arctic Res Ctr, Sapporo, Hokkaido, Japan; [Hirano, Daisuke; Tamura, Takeshi] Natl Inst Polar Res, Tachikawa, Tokyo, Japan; [Hirano, Daisuke; Tamura, Takeshi] Grad Univ Adv Studies, Tachikawa, Tokyo, Japan; [Mizobata, Kohei; Murase, Hiroto] Tokyo Univ Marine Sci &amp; Technol, Tokyo, Japan; [Sasaki, Hiroko] Japan Fisheries Res &amp; Educ Agcy, Yokohama, Kanagawa, Japan</t>
  </si>
  <si>
    <t>Hokkaido University; Hokkaido University; Research Organization of Information &amp; Systems (ROIS); National Institute of Polar Research (NIPR) - Japan; Graduate University for Advanced Studies - Japan; Tokyo University of Marine Science &amp; Technology; Japan Fisheries Research &amp; Education Agency (FRA)</t>
  </si>
  <si>
    <t>Hirano, D (corresponding author), Hokkaido Univ, Inst Low Temp Sci, Sapporo, Hokkaido, Japan.;Hirano, D (corresponding author), Hokkaido Univ, Arctic Res Ctr, Sapporo, Hokkaido, Japan.;Hirano, D (corresponding author), Natl Inst Polar Res, Tachikawa, Tokyo, Japan.;Hirano, D (corresponding author), Grad Univ Adv Studies, Tachikawa, Tokyo, Japan.</t>
  </si>
  <si>
    <t>hirano.daisuke@nipr.ac.jp</t>
  </si>
  <si>
    <t>Hirano, Daisuke/P-3963-2019; Murase, Hiroto/W-3556-2019; Mizobata, Kohei/D-6369-2012</t>
  </si>
  <si>
    <t>Murase, Hiroto/0000-0001-7784-6555; Mizobata, Kohei/0000-0001-7531-2349</t>
  </si>
  <si>
    <t>Institute of Cetacean Research, Japan Fisheries Research and Education Agency and Fisheries Agency of Japan; Ministry of Education, Culture, Sports, Science and Technology [JP20H04961, JP20K12132, JP17H06316, JP17H06317, JP17H06322, JP17H01615, JP20H04970, JP21H04931]; Science Program of Japanese Antarctic Research Expedition (JARE) as Prioritized Research Project, National Institute of Polar Research (NIPR) [KP-303]; Center for the Promotion of Integrated Sciences of SOKENDAI; Joint Research Program of the Institute of Low Temperature Science, Hokkaido University</t>
  </si>
  <si>
    <t>Institute of Cetacean Research, Japan Fisheries Research and Education Agency and Fisheries Agency of Japan; Ministry of Education, Culture, Sports, Science and Technology(Ministry of Education, Culture, Sports, Science and Technology, Japan (MEXT)); Science Program of Japanese Antarctic Research Expedition (JARE) as Prioritized Research Project, National Institute of Polar Research (NIPR); Center for the Promotion of Integrated Sciences of SOKENDAI; Joint Research Program of the Institute of Low Temperature Science, Hokkaido University</t>
  </si>
  <si>
    <t>We are deeply grateful to the officers, crew, and scientists on board R/V Kaiyo-Maru and icebreaker Shirase for their assistance with hydrographic observations. The Kaiyo-Maru observations were supported by the Institute of Cetacean Research, Japan Fisheries Research and Education Agency and Fisheries Agency of Japan. This work was supported by Grants-in-Aids for Scientific Research (JP20H04961, JP20K12132, JP17H06316, JP17H06317, JP17H06322, JP17H01615, JP20H04970, and JP21H04931) of the Ministry of Education, Culture, Sports, Science and Technology, the Science Program of Japanese Antarctic Research Expedition (JARE) as Prioritized Research Project, National Institute of Polar Research (NIPR) through Project Research KP-303, the Center for the Promotion of Integrated Sciences of SOKENDAI, and the Joint Research Program of the Institute of Low Temperature Science, Hokkaido University. This paper was substantially improved based on the inputs of two anonymous reviewers.</t>
  </si>
  <si>
    <t>10.1038/s43247-021-00217-4</t>
  </si>
  <si>
    <t>TY5LB</t>
  </si>
  <si>
    <t>WOS:000683824800003</t>
  </si>
  <si>
    <t>Nash, SMB; Casa, MV; Kawaguchi, S; Staniland, I; Bjerregaard, P</t>
  </si>
  <si>
    <t>Nash, Susan M. Bengtson; Casa, Maria Valeria; Kawaguchi, So; Staniland, Iain; Bjerregaard, Poul</t>
  </si>
  <si>
    <t>Mercury levels in humpback whales, and other Southern Ocean marine megafauna</t>
  </si>
  <si>
    <t>Persistent contaminants; Antarctica; Biophysical drivers; Bioaccumulation; marine predators; Sentinel species</t>
  </si>
  <si>
    <t>KRILL EUPHAUSIA-SUPERBA; ANTARCTIC KRILL; ARCTOCEPHALUS-GAZELLA; STABLE-ISOTOPES; TRACE-ELEMENTS; GEORGE ISLAND; MINKE WHALES; DIET; PENGUINS; EXPOSURE</t>
  </si>
  <si>
    <t>Mercury is a known potent neurotoxin. The biogeochemical cycle of mercury in the remote Antarctic region is still poorly understood, with Polar climate change contributing added complexity. Longitudinal biomonitoring of mercury accumulation in Antarctic marine megafauna can contribute top-down insight into the bio-physical drivers of wildlife exposure. The bioaccumulative nature of organic mercury renders high trophic predators at the greatest risk of elevated exposure. Humpback whales represent secondary consumers of the Antarctic sea-ice ecosystem and an ideal biomonitoring species for persistent and bioaccumulative compounds due to their extended life-spans. This study provides the first results of mercury accumulation in humpback whales, and places findings within the context of mercury accumulation in both prey, as well as six other species of Antarctic marine megafauna. Combined, these findings contribute new baseline information regarding mercury exposure to Antarctic wildlife, and highlights methodological prerequisites for routine mercury biomonitoring in wildlife via non-lethally biopsied superficial tissues.</t>
  </si>
  <si>
    <t>[Nash, Susan M. Bengtson; Casa, Maria Valeria] Griffith Univ, Ctr Planetary Hlth &amp; Food Secur, Nathan, Qld 4111, Australia; [Kawaguchi, So] Australian Antarctic Div, Kingston, Tas 7050, Australia; [Staniland, Iain] British Antarctic Survey, Cambridge CB3 0ET, England; [Bjerregaard, Poul] Univ Southern Denmark, Dept Biol, DK-5230 Odense M, Denmark</t>
  </si>
  <si>
    <t>Griffith University; Australian Antarctic Division; UK Research &amp; Innovation (UKRI); Natural Environment Research Council (NERC); NERC British Antarctic Survey; University of Southern Denmark</t>
  </si>
  <si>
    <t>Nash, SMB (corresponding author), Griffith Univ, 170 Kessels Rd, Nathan, Qld 4111, Australia.</t>
  </si>
  <si>
    <t>Bengtson Nash, Susan/GMX-4611-2022; Staniland, Iain/I-4725-2012; Bjerregaard, Poul/G-3621-2013</t>
  </si>
  <si>
    <t>Bengtson Nash, Susan/0000-0001-5928-0850; Staniland, Iain/0000-0003-2736-9134; Bjerregaard, Poul/0000-0002-2065-7232</t>
  </si>
  <si>
    <t>10.1016/j.marpolbul.2021.112774</t>
  </si>
  <si>
    <t>UY9ZZ</t>
  </si>
  <si>
    <t>WOS:000701874400003</t>
  </si>
  <si>
    <t>Wong, JB; Lisovski, S; Alisauskas, RT; English, W; Giroux, MA; Harrison, AL; Kellett, D; Lecomte, N; Maftei, M; Nagy-MacArthur, A; Ronconi, RA; Smith, PA; Mallory, ML; Auger-Métheé M</t>
  </si>
  <si>
    <t>Wong, Joanna B.; Lisovski, Simeon; Alisauskas, Ray T.; English, Willow; Giroux, Marie-Andree; Harrison, Autumn-Lynn; Kellett, Dana; Lecomte, Nicolas; Maftei, Mark; Nagy-MacArthur, Avery; Ronconi, Robert A.; Smith, Paul A.; Mallory, Mark L.; Auger-Methe, Marie</t>
  </si>
  <si>
    <t>Arctic terns from circumpolar breeding colonies share common migratory routes</t>
  </si>
  <si>
    <t>Arctic tern; Migration; Timing; Geolocators; North America</t>
  </si>
  <si>
    <t>TRANS-EQUATORIAL MIGRATION; STERNA-PARADISAEA; POPULATION; ATLANTIC; SEABIRD; AREAS; FLEXIBILITY; TRACKING; STOPOVER; TRENDS</t>
  </si>
  <si>
    <t>The Arctic tern is an iconic seabird, famous for its annual migrations between the Arctic and the Antarctic. Its wide geographical range has impeded knowledge of potential population bottlenecks during its annual bi-hemispheric movements. Although Arctic terns breed in the Pacific, Atlantic, and Arctic coasts of North America, few tracking studies have been conducted on North American Arctic terns, and none in Canada, which represents a significant proportion of their circumpolar breeding range. Using light-level geolocators, we tracked 53 Arctic terns from 5 breeding colonies across a wide latitudinal and longitudinal range within North America. We compared the routes taken by birds in our study and migration timing to those previously tracked from Greenland, Iceland, The Netherlands, Sweden, Norway, Maine (USA), and S. Alaska (USA). Most Arctic terns tracked globally used one of 3 southbound migration routes: (1) Atlantic West Africa; (2) Atlantic Brazil; and (3) Pacific coastal, and one of 2 northbound migration routes: (1) Mid-ocean Atlantic and (2) Mid-ocean Pacific. Some other trans-equatorial seabirds also used these migration routes, suggesting that Arctic tern routes may be important for other species. The migration timing for southbound and northbound migrations was generally different between tracked tern colonies worldwide but generally fell within a 1-2 mo window. Our research suggests that conservation management of Arctic terns during their migration should dynamically adapt with the times of the year that terns use parts of their route. Future identification of common multi-species seabird flyways could aid the international negotiations required to conserve pelagic seabirds such as Arctic terns.</t>
  </si>
  <si>
    <t>[Wong, Joanna B.; Auger-Methe, Marie] Univ British Columbia, Inst Oceans &amp; Fisheries, Vancouver, BC V6T 1Z4, Canada; [Lisovski, Simeon] Helmholtz Zentrum Polar &amp; Meeresforsch, Polar Terr Environm Syst, Alfred Wegener Inst, D-14473 Potsdam, Germany; [Alisauskas, Ray T.; Kellett, Dana] Environm &amp; Climate Change Canada, Sci &amp; Technol Branch, Prairie &amp; Northern Wildlife Res Ctr, Saskatoon, SK S7N 0X4, Canada; [Alisauskas, Ray T.] Univ Saskatchewan, Dept Biol, Saskatoon, SK S7N 5E2, Canada; [English, Willow] Carleton Univ, Dept Biol, Ottawa, ON K1S 5B6, Canada; [Giroux, Marie-Andree] Univ Moncton, Dept Chim &amp; Biochim, KC Irving Res Chair Environm Sci &amp; Sustainable De, Moncton, NB E1A 3E9, Canada; [Harrison, Autumn-Lynn] Natl Zool Pk, Migratory Bird Ctr, Smithsonian Conservat Biol Inst, Washington, DC 20008 USA; [Lecomte, Nicolas] Univ Moncton, Canada Res Chair Polar &amp; Boreal Ecol, Moncton, NB E1A 3E9, Canada; [Lecomte, Nicolas] Univ Moncton, Ctr Northern Studies, Dept Biol, Moncton, NB E1A 3E9, Canada; [Maftei, Mark] High Arctic Gull Res Grp, Bamfield, BC V0R 3A0, Canada; [Nagy-MacArthur, Avery; Mallory, Mark L.] Acadia Univ, Dept Biol, Wolfville, NS B4P 2R6, Canada; [Ronconi, Robert A.] Environm &amp; Climate Change Canada, Canadian Wildlife Serv, Dartmouth, NS B2Y 2N6, Canada; [Smith, Paul A.] Environm &amp; Climate Change Canada, Wildlife Res Div, Ottawa, ON K1A 0H3, Canada; [Mallory, Mark L.] Acadia Univ, Canada Res Chair Coastal Ecosyst Resilience &amp; Con, Wolfville, NS B4P 2R6, Canada; [Auger-Methe, Marie] Univ British Columbia, Canada Res Chair Stat Ecol, Vancouver, BC V6T 1Z4, Canada; [Auger-Methe, Marie] Univ British Columbia, Dept Stat, Vancouver, BC V6T 1Z4, Canada</t>
  </si>
  <si>
    <t>University of British Columbia; Helmholtz Association; Alfred Wegener Institute, Helmholtz Centre for Polar &amp; Marine Research; Environment &amp; Climate Change Canada; University of Saskatchewan; Carleton University; University of Moncton; Smithsonian Institution; Smithsonian National Zoological Park &amp; Conservation Biology Institute; University of Moncton; University of Moncton; Acadia University; Environment &amp; Climate Change Canada; Canadian Wildlife Service; Environment &amp; Climate Change Canada; Canadian Wildlife Service; Wildlife Research Division - Environment Canada; Acadia University; University of British Columbia; University of British Columbia</t>
  </si>
  <si>
    <t>Wong, JB (corresponding author), Univ British Columbia, Inst Oceans &amp; Fisheries, Vancouver, BC V6T 1Z4, Canada.</t>
  </si>
  <si>
    <t>j.wong@oceans.ubc.ca</t>
  </si>
  <si>
    <t>English, Willow/GOV-3176-2022; Mallory, Mark L/A-1952-2017</t>
  </si>
  <si>
    <t>English, Willow/0000-0002-0863-8581; Wong, Joanna/0000-0003-4607-2803; Lecomte, Nicolas/0000-0002-8473-5375; Lisovski, Simeon/0000-0002-6399-0035</t>
  </si>
  <si>
    <t>Smithsonian Migratory Bird Center's Migratory Connectivity Project; ConocoPhillips Charitable Investments Global Signature Program; Environment and Climate Change Canada; Natural Resources Canada (Polar Continental Shelf Program); ConocoPhillips Alaska; Central Flyway Council; Canada Research Chairs Program; Natural Sciences and Engineering Research Council of Canada; Werner and Hildegard Hesse Fellowship in Ornithology; Ocean Leaders Graduate Fellowship; Mississippi Flyway Council</t>
  </si>
  <si>
    <t>Smithsonian Migratory Bird Center's Migratory Connectivity Project; ConocoPhillips Charitable Investments Global Signature Program; Environment and Climate Change Canada; Natural Resources Canada (Polar Continental Shelf Program); ConocoPhillips Alaska; Central Flyway Council; Canada Research Chairs Program(Canada Research Chairs); Natural Sciences and Engineering Research Council of Canada(Natural Sciences and Engineering Research Council of Canada (NSERC)CGIAR); Werner and Hildegard Hesse Fellowship in Ornithology; Ocean Leaders Graduate Fellowship; Mississippi Flyway Council</t>
  </si>
  <si>
    <t>We thank Tim Cashion and Ron Togunov for their support with code, and Gill Holmes and all field technicians with their support in the field. We thank BirdLife International for providing the Waterbird Flyways shapefile for use in this study. Finally, we appreciate the insightful comments of 4 referees for their input on the manuscript. Support to purchase the tracking units was provided by the Smithsonian Migratory Bird Center's Migratory Connectivity Project and funded by the ConocoPhillips Charitable Investments Global Signature Program. Environment and Climate Change Canada and Natural Resources Canada (Polar Continental Shelf Program), ConocoPhillips Alaska, and the Central and Mississippi Flyway Councils provided funding and logistic support to teams deploying geolocators. M.A.M. and M.L.M. were supported by the Canada Research Chairs Program and Natural Sciences and Engineering Research Council of Canada. J.B.W. was supported by the Werner and Hildegard Hesse Fellowship in Ornithology and the Ocean Leaders Graduate Fellowship.</t>
  </si>
  <si>
    <t>AUG 5</t>
  </si>
  <si>
    <t>10.3354/meps13779</t>
  </si>
  <si>
    <t>UJ5GR</t>
  </si>
  <si>
    <t>WOS:000691313900012</t>
  </si>
  <si>
    <t>Murphy, EJ; Johnston, NM; Hofmann, EE; Phillips, RA; Jackson, JA; Constable, AJ; Henley, SF; Melbourne-Thomas, J; Trebilco, R; Cavanagh, RD; Tarling, GA; Saunders, RA; Barnes, DKA; Costa, DP; Corney, SP; Fraser, CI; Höfer, J; Hughes, KA; Sands, CJ; Thorpe, SE; Trathan, PN; Xavier, JC</t>
  </si>
  <si>
    <t>Murphy, Eugene J.; Johnston, Nadine M.; Hofmann, Eileen E.; Phillips, Richard A.; Jackson, Jennifer A.; Constable, Andrew J.; Henley, Sian F.; Melbourne-Thomas, Jessica; Trebilco, Rowan; Cavanagh, Rachel D.; Tarling, Geraint A.; Saunders, Ryan A.; Barnes, David K. A.; Costa, Daniel P.; Corney, Stuart P.; Fraser, Ceridwen I.; Hofer, Juan; Hughes, Kevin A.; Sands, Chester J.; Thorpe, Sally E.; Trathan, Philip N.; Xavier, Jose C.</t>
  </si>
  <si>
    <t>Global Connectivity of Southern Ocean Ecosystems</t>
  </si>
  <si>
    <t>Southern Ocean; ecological connections; food webs; socio-economic; climate change; fisheries; global connectivity; scale</t>
  </si>
  <si>
    <t>PRINCE EDWARD ISLANDS; WHALES MEGAPTERA-NOVAEANGLIAE; MARINE LIVING RESOURCES; WHITE-CHINNED PETRELS; COMMUNITY STRUCTURE; HUMPBACK WHALES; CLIMATE-CHANGE; WANDERING ALBATROSSES; ANTHROPOGENIC CARBON; NORTH-ATLANTIC</t>
  </si>
  <si>
    <t>Southern Ocean ecosystems are globally important. Processes in the Antarctic atmosphere, cryosphere, and the Southern Ocean directly influence global atmospheric and oceanic systems. Southern Ocean biogeochemistry has also been shown to have global importance. In contrast, ocean ecological processes are often seen as largely separate from the rest of the global system. In this paper, we consider the degree of ecological connectivity at different trophic levels, linking Southern Ocean ecosystems with the global ocean, and their importance not only for the regional ecosystem but also the wider Earth system. We also consider the human system connections, including the role of Southern Ocean ecosystems in supporting society, culture, and economy in many nations, influencing public and political views and hence policy. Rather than Southern Ocean ecosystems being defined by barriers at particular oceanic fronts, ecological changes are gradual due to cross-front exchanges involving oceanographic processes and organism movement. Millions of seabirds and hundreds of thousands of cetaceans move north out of polar waters in the austral autumn interacting in food webs across the Southern Hemisphere, and a few species cross the equator. A number of species migrate into the east and west ocean-basin boundary current and continental shelf regions of the major southern continents. Human travel in and out of the Southern Ocean region includes fisheries, tourism, and scientific vessels in all ocean sectors. These operations arise from many nations, particularly in the Northern Hemisphere, and are important in local communities as well as national economic, scientific, and political activities. As a result of the extensive connectivity, future changes in Southern Ocean ecosystems will have consequences throughout the Earth system, affecting ecosystem services with socio-economic impacts throughout the world. The high level of connectivity also means that changes and policy decisions in marine ecosystems outside the Southern Ocean have consequences for ecosystems south of the Antarctic Polar Front. Knowledge of Southern Ocean ecosystems and their global connectivity is critical for interpreting current change, projecting future change impacts, and identifying integrated strategies for conserving and managing both the Southern Ocean and the broader Earth system.</t>
  </si>
  <si>
    <t>[Murphy, Eugene J.; Johnston, Nadine M.; Phillips, Richard A.; Jackson, Jennifer A.; Cavanagh, Rachel D.; Tarling, Geraint A.; Saunders, Ryan A.; Barnes, David K. A.; Hughes, Kevin A.; Sands, Chester J.; Thorpe, Sally E.; Trathan, Philip N.; Xavier, Jose C.] British Antarctic Survey, Cambridge, England; [Hofmann, Eileen E.] Old Dominion Univ, Ctr Coastal Phys Oceanog, Norfolk, VA USA; [Constable, Andrew J.] Australian Antarctic Div, Kingston, Tas, Australia; [Constable, Andrew J.] Univ Tasmania, Inst Marine &amp; Antarctic Studies, Ctr Marine Socioecol, Hobart, Tas, Australia; [Henley, Sian F.] Univ Edinburgh, Sch GeoSci, Edinburgh, Midlothian, Scotland; [Melbourne-Thomas, Jessica; Trebilco, Rowan] CSIRO Oceans &amp; Atmosphere, Hobart, Tas, Australia; [Costa, Daniel P.] Univ Calif Santa Cruz, Inst Marine Sci, Dept Ecol &amp; Evolutionary Biol, Santa Cruz, CA 95064 USA; [Corney, Stuart P.] Univ Tasmania, Inst Marine &amp; Antarctic Studies, Hobart, Tas, Australia; [Corney, Stuart P.] Australian Antarctic Program Partnership, Hobart, Tas, Australia; [Fraser, Ceridwen I.] Univ Otago, Dept Marine Sci, Dunedin, New Zealand; [Hofer, Juan] Pontificia Univ Catolica Valparaiso, Escuela Ciencias Mar, Valparaiso, Chile; [Hofer, Juan] Ctr Invest Dinam Ecosistemas Marinos Altas Latitu, Valdivia, Chile; [Xavier, Jose C.] Univ Coimbra, Marine &amp; Environm Sci Ctr, Dept Life Sci, Coimbra, Portugal</t>
  </si>
  <si>
    <t>UK Research &amp; Innovation (UKRI); Natural Environment Research Council (NERC); NERC British Antarctic Survey; Old Dominion University; Australian Antarctic Division; University of Tasmania; University of Edinburgh; Commonwealth Scientific &amp; Industrial Research Organisation (CSIRO); University of California System; University of California Santa Cruz; University of Tasmania; University of Otago; Pontificia Universidad Catolica de Valparaiso; Universidade de Coimbra</t>
  </si>
  <si>
    <t>Murphy, EJ (corresponding author), British Antarctic Survey, Cambridge, England.</t>
  </si>
  <si>
    <t>e.murphy@bas.ac.uk</t>
  </si>
  <si>
    <t>Jackson, Jennifer A/E-7997-2013; Melbourne-Thomas, Jess/N-2437-2019; Trebilco, Rowan/I-5311-2012; Xavier, José/KFB-6739-2024; Hughes, Kevin/JVZ-0793-2024; murphy, eugene/GZL-1620-2022</t>
  </si>
  <si>
    <t>Melbourne-Thomas, Jess/0000-0001-6585-876X; Trebilco, Rowan/0000-0001-9712-8016; /0000-0002-9621-6660; Sands, Chester/0000-0003-1028-0328; Hofer, Juan/0000-0002-5887-4929; Jackson, Jennifer/0000-0003-4158-1924; Johnston, Nadine M/0000-0003-2211-1492</t>
  </si>
  <si>
    <t>UK RI-Natural Environment Research Council (NERC) through the British Antarctic Survey (BAS) ALI-Science Southern Ocean ecosystems project of the BAS Ecosystems Programme; United States National Science Foundation [OPP-1643652]; United Kingdom Natural Environment Research Council [NE/K010034/1]; Rutherford Discovery Fellowship from the Royal Society of New Zealand [RDF-UOO1803]; New Zealand Antarctic Science Platform [3]; Australian Fisheries Research Development Corporation [FRDC2018/133]; FONDECYT [1211338]; strategic program of MARE (Marine and Environmental Sciences Centre) - Foundation for Science and Technology, Portugal [UIDB/04292/2020]; ANID [FONDAP-IDEAL 15150003]; NERC [bas0100035, NE/K010034/1, bas0100036] Funding Source: UKRI</t>
  </si>
  <si>
    <t>UK RI-Natural Environment Research Council (NERC) through the British Antarctic Survey (BAS) ALI-Science Southern Ocean ecosystems project of the BAS Ecosystems Programme; United States National Science Foundation(National Science Foundation (NSF)); United Kingdom Natural Environment Research Council(UK Research &amp; Innovation (UKRI)Natural Environment Research Council (NERC)); Rutherford Discovery Fellowship from the Royal Society of New Zealand(Royal Society of New Zealand); New Zealand Antarctic Science Platform; Australian Fisheries Research Development Corporation; FONDECYT(Comision Nacional de Investigacion Cientifica y Tecnologica (CONICYT)CONICYT FONDECYT); strategic program of MARE (Marine and Environmental Sciences Centre) - Foundation for Science and Technology, Portugal; ANID; NERC(UK Research &amp; Innovation (UKRI)Natural Environment Research Council (NERC))</t>
  </si>
  <si>
    <t>This work was supported by the UK RI-Natural Environment Research Council (NERC) through the British Antarctic Survey (BAS) ALI-Science Southern Ocean ecosystems project of the BAS Ecosystems Programme. EH was supported by the United States National Science Foundation Grant OPP-1643652. SH was supported by the United Kingdom Natural Environment Research Council through Grant NE/K010034/1. CF was also supported by a Rutherford Discovery Fellowship from the Royal Society of New Zealand (RDF-UOO1803) and by the New Zealand Antarctic Science Platform (Project 3). SC was also supported by the Australian Fisheries Research Development Corporation through Grant FRDC2018/133. JH was supported by ANID (FONDAP-IDEAL 15150003) and FONDECYT (Regular 1211338). ICED also co-supported JH attendance at the MEASO workshop. JX was supported by the strategic program of MARE (Marine and Environmental Sciences Centre), financed by the Foundation for Science and Technology, Portugal (UIDB/04292/2020).</t>
  </si>
  <si>
    <t>AUG 4</t>
  </si>
  <si>
    <t>10.3389/fevo.2021.624451</t>
  </si>
  <si>
    <t>UP2SW</t>
  </si>
  <si>
    <t>WOS:000695235600002</t>
  </si>
  <si>
    <t>Lagger, C; Neder, C; Merlo, P; Servetto, N; Jerosch, K; Sahade, R</t>
  </si>
  <si>
    <t>Lagger, Cristian; Neder, Camila; Merlo, Pablo; Servetto, Natalia; Jerosch, Kerstin; Sahade, Ricardo</t>
  </si>
  <si>
    <t>Tidewater glacier retreat in Antarctica: The table is set for fast-growing opportunistic species, is it?</t>
  </si>
  <si>
    <t>Newly ice-free areas; Climate change; Benthic assemblages; Malacobelemnon daytoni; Species distribution models; Antarctica</t>
  </si>
  <si>
    <t>KING GEORGE ISLAND; SUSPENDED PARTICULATE MATTER; POTTER COVE; CLIMATE-CHANGE; ICE CAP; GROWTH; FJORD; MACROZOOBENTHOS; COLONIZATION; COMMUNITIES</t>
  </si>
  <si>
    <t>The rapid warming of the West Antarctic Peninsula (WAP) is causing an important expansion of marine coastal areas due to glacier retreat. These new ice-free areas offer additional habitats for the colonization of benthic species in areas formerly occupied by ice. The establishment of benthic species can represent important negative feedback to the warming process due to the new carbon fixed and stored. Opportunistic, fast-growing, and high turnover species are expected to colonize these new emerging areas. At Potter Cove, the glacier retreat has opened wide areas of soft bottoms, which provides an excellent study area to assess the colonization process and the success of opportunistic species. Here, we examined the population response of the opportunistic soft coral Malacobelemnon daytoni species in the soft bottom area of Potter Cove with different exposure times due to glacier retreat. Our results show a significant variation of M. daytoni population among the sampled areas in terms of presence, abundances, and distribution. In the long-term ice-free areas, opened for more than 60 years, we observed a similar to 20-fold increase of M. daytoni densities within just 15 years. However, this extraordinary population outburst was not observed in the newer ice-free areas (&lt;= 15 years). We registered very low densities in areas of 15 years and no colonies in areas with 10 years of open sea conditions. These were unexpected results based on colonization capabilities showed by the species and habitat suitability of the new areas. Indeed, using Species Distribution Models (SDMs) we also obtained contrasting outputs. SDMs based on long-term areas presence data predicted high habitat suitability and the potential presence of the species in the newer areas. However, when based on newer and older areas data, SDMs showed low habitat suitability and potential absence of the species in the newer areas. This work suggests that species that can be considered as fast and efficient colonizers, could not perform in that way under certain conditions. This deepens the current knowledge on species natural history and environmental relationships, especially to improve our prediction capabilities under changing environmental conditions.</t>
  </si>
  <si>
    <t>[Lagger, Cristian; Neder, Camila; Merlo, Pablo; Servetto, Natalia; Sahade, Ricardo] Univ Nacl Cordoba, Fac Ciencias Exactas Fis &amp; Nat, Lab Ecol Marina, Cordoba, Argentina; [Lagger, Cristian; Neder, Camila; Servetto, Natalia; Sahade, Ricardo] Consejo Nacl Invest Cient &amp; Tecn, Inst Diversidad &amp; Ecol Anim IDEA, Cordoba, Argentina; [Merlo, Pablo] Consejo Nacl Invest Cient &amp; Tecn CCT CONICET CENP, Ctr Estudio Sistemas Marinos CESIMAR, Puerto Madryn, Argentina; [Neder, Camila; Jerosch, Kerstin] Alfred Wegener Inst, Helmholtz Ctr Polar &amp; Marine Res, Funct Ecol, Bremerhaven, Germany</t>
  </si>
  <si>
    <t>National University of Cordoba; Consejo Nacional de Investigaciones Cientificas y Tecnicas (CONICET); Helmholtz Association; Alfred Wegener Institute, Helmholtz Centre for Polar &amp; Marine Research</t>
  </si>
  <si>
    <t>Lagger, C; Sahade, R (corresponding author), Consejo Nacl Invest Cient &amp; Tecn, Inst Diversidad &amp; Ecol Anim IDEA, Cordoba, Argentina.</t>
  </si>
  <si>
    <t>cristianlagger@conicet.gov.ar; rsahade@unc.edu.ar</t>
  </si>
  <si>
    <t>Jerosch, Kerstin/ABC-8913-2020</t>
  </si>
  <si>
    <t>Jerosch, Kerstin/0000-0003-0728-2154; Servetto, Natalia/0000-0002-3713-9116; Neder, Camila/0000-0001-9978-9053; Merlo, Pablo J./0000-0002-0626-4993</t>
  </si>
  <si>
    <t>Instituto Antartico Argentino (IAA); Consejo Nacional de Investigaciones Cientificas y Tecnicas (CONICET); FONCyT; SECyT-UNC; Alfred Wegener Institute for Polar and Marine Research (AWI); ALEARG'18-DAAD/Ministerio de Educacion de Argentina [91700957]; Professional Association of Diving Instructors (PADI) Foundation [11234]; EU [119, 318718]; National Geographic Society [CP-097R-17]</t>
  </si>
  <si>
    <t>Instituto Antartico Argentino (IAA); Consejo Nacional de Investigaciones Cientificas y Tecnicas (CONICET)(Consejo Nacional de Investigaciones Cientificas y Tecnicas (CONICET)); FONCyT(FONCyT); SECyT-UNC(Secretaria de Ciencia y Tecnologia (SECYT)); Alfred Wegener Institute for Polar and Marine Research (AWI); ALEARG'18-DAAD/Ministerio de Educacion de Argentina; Professional Association of Diving Instructors (PADI) Foundation; EU(European Union (EU)); National Geographic Society(National Geographic Society)</t>
  </si>
  <si>
    <t>We are grateful to the scientific, logistic and diving groups of Carlini Station-Dallmann Laboratory for their technical assistance during the Antarctic expeditions. Also, a special mention for Hendrik Pehlke (AWI) for his shared knowledge in programming and R Software. Logistic and financial support was provided by Instituto Antartico Argentino (IAA), Consejo Nacional de Investigaciones Cientificas y Tecnicas (CONICET), FONCyT, SECyT-UNC, Alfred Wegener Institute for Polar and Marine Research (AWI), ALEARG'18-DAAD/Ministerio de Educacion de Argentina (ref N 91700957), Professional Association of Diving Instructors (PADI) Foundation (#11234), EU via grants PICTO-DNA no. 119, IMCONet (FP7 IRSES, action no. 318718) and National Geographic Society (GRANT #CP-097R-17).</t>
  </si>
  <si>
    <t>10.1016/j.ecss.2021.107447</t>
  </si>
  <si>
    <t>WA1YC</t>
  </si>
  <si>
    <t>WOS:000702688200008</t>
  </si>
  <si>
    <t>Frigola, A; Prange, M; Schulz, M</t>
  </si>
  <si>
    <t>Frigola, Amanda; Prange, Matthias; Schulz, Michael</t>
  </si>
  <si>
    <t>A dynamic ocean driven by changes in CO2 and Antarctic ice-sheet in the middle Miocene</t>
  </si>
  <si>
    <t>Modelling; Deep water formation; Ice-sheet; CO2; Miocene</t>
  </si>
  <si>
    <t>ATMOSPHERIC CARBON-DIOXIDE; EQUATORIAL PACIFIC; ISOTOPE STRATIGRAPHY; CLIMATIC TRANSITION; TEMPERATURE; CIRCULATION; RESOLUTION; SENSITIVITY; EVOLUTION; OLIGOCENE</t>
  </si>
  <si>
    <t>The middle Miocene climate transition (MMCT), likely triggered by a decrease in atmospheric CO2 concentration and changes in the Earth's orbital configuration, entailed major expansion of the Antarctic ice-sheet and cooling of the global ocean at similar to 15-13 Ma. By comparing simulations that use boundary conditions representative of 15 and 13 Ma, we assess the response of ocean temperatures and deep ocean circulation to atmospheric CO2 drawdown (from 400 to 200 ppmv) and Antarctic ice-sheet expansion (43 m of sea-level equivalent) during the MMCT by means of the Community Climate System Model version 3. The model simulates a decrease in mean global sea-surface temperature by 1.6 degrees C across the transition. Individual forcing experiments reveal that surface cooling is fully attributable to the CO2 drop, whereas expansion of the Antarctic ice-sheet tends to cause a slight global warming of the upper ocean. At depth, modelled ocean temperatures decrease by 1.5-2 degrees C across the MMCT in most regions. While the CO2 effect dominates deep-ocean cooling, about 25-30% is attributable to the expansion of the Antarctic ice-sheet. In the convection regions of the Southern Ocean, the CO2 drawdown causes an increase in salinity through sea ice formation and changes in the precipitation-evaporation balance. This increase in salinity, together with a decrease in surface temperatures, translates into an intensification in Antarctic Bottom Water formation that cools the deep ocean. The contribution of the Antarctic ice-sheet expansion to bottom and deep water cooling occurs through an increase in the surface heat flux from the ocean to the atmosphere, which is linked to intensified cold surface winds blowing off the Antarctic continent. This study suggests that the magnitude of cooling of deep waters across the MMCT inferred from proxy records can be explained by the combined effects of the CO2 decrease and Antarctic ice-sheet expansion. Our surface cooling estimates are generally lower than those indicated by proxies.</t>
  </si>
  <si>
    <t>[Frigola, Amanda; Prange, Matthias; Schulz, Michael] Univ Bremen, MARUM Ctr Marine Environm Sci, D-28359 Bremen, Germany</t>
  </si>
  <si>
    <t>University of Bremen</t>
  </si>
  <si>
    <t>Frigola, A (corresponding author), Univ Bremen, MARUM Ctr Marine Environm Sci, D-28359 Bremen, Germany.</t>
  </si>
  <si>
    <t>afrigolaboix@gmail.com</t>
  </si>
  <si>
    <t>Prange, Matthias/0000-0001-5874-756X; Frigola, Amanda/0000-0002-4681-7476</t>
  </si>
  <si>
    <t>EU 7th Framework Programme for Research, Technological Development and Demonstration [237922]</t>
  </si>
  <si>
    <t>EU 7th Framework Programme for Research, Technological Development and Demonstration(European Union (EU))</t>
  </si>
  <si>
    <t>This study was part of the Marie Curie project Throughflow, funded by the EU 7th Framework Programme for Research, Technological Development and Demonstration [grant number 237922]. All model simulations were carried out on the Cray XC30/40 supercomputer of the Norddeutscher Verbund fur Hoch-und Hochstleistungsrechnen (HLRN). An enormous thank you goes to Gabriel Gaus and Lars Nerger for their help in obtaining the model runs. We thank Catherine Bradshaw and an anonymous reviewer for their constructive comments that greatly improved the manuscript. We are especially grateful to Nan Rosenbloom (NCAR) for her help in the model setup, with further thanks going to Esther Brady, Gary Strand, Sam Levis, and Stephen Yeager. We would like to thank Thejna Tharammal, Ute Merkel, and Rima Rachmayani for their advice on the CCSM3 data analyses, as well as Andreas Manschke for the IT support. Finally, we would like to thank the graduate school GLOMAR and the Throughflow network for the useful courses and interdisciplinary exchange.</t>
  </si>
  <si>
    <t>10.1016/j.palaeo.2021.110591</t>
  </si>
  <si>
    <t>UJ6IA</t>
  </si>
  <si>
    <t>WOS:000691385900009</t>
  </si>
  <si>
    <t>Guerrero, JM; Riaux-Gobin, C; Debandi, JI; Zacher, K; Quartino, ML; Campana, GL</t>
  </si>
  <si>
    <t>Guerrero, Jose M.; Riaux-Gobin, Catherine; Debandi, Juan, I; Zacher, Katharina; Liliana Quartino, Maria; Campana, Gabriela L.</t>
  </si>
  <si>
    <t>Morphology of Australoneis gen. nov. and A. frenguelliae comb. nov. (Achnanthales, Bacillariophyta) from the Antarctic Peninsula</t>
  </si>
  <si>
    <t>PHYTOTAXA</t>
  </si>
  <si>
    <t>Antarctica; Campyloneis; Cocconeis orbicularis; Frenguelli Collection; SEM; ultrastructure</t>
  </si>
  <si>
    <t>COCCONEIS-EHRENBERG; ADMIRALTY BAY; CORAL SANDS; TAXA; ISLAND; LECTOTYPIFICATION; DIATOMS; WATERS; OCEAN</t>
  </si>
  <si>
    <t>Based on marine benthic diatoms collected at Potter Cove (Western Antarctic Peninsula), we present a detailed study, using both light and electron microscopy, of the morphology of Campyloneis frenguelliae, a species recently transferred from Cocconeis. Ultrastructural observations revealed a combination of new and unusual features within the Achnanthales: a raphe valve with different areolation patterns, a hollow valvocopula with no apparent fimbriae, and a sternum valve externally ornamented by an embossed structure, areolae occluded by hymenes mostly supported by one short peg, and multiple marginal pores that open internally into shallow valve depressions. In view of these unique set of features, we describe Australoneis gen. nov. to include Australoneis frenguelliae comb. nov. and designate a sample from Potter Cove as epitype of the latter. The main characteristics of the new genus are compared to those of its closely allied Cocconeis, Campyloneis, Xenococconeis and Amphicocconeis.</t>
  </si>
  <si>
    <t>[Guerrero, Jose M.] Univ Nacl La Plata, Fac Ciencias Nat &amp; Museo, Div Ficol Dr Sebastian A Guarrera, Paseo Bosque S-N,B1900FWA, La Plata, Argentina; [Riaux-Gobin, Catherine] PSL Res Univ, CNRS UPVD EPHE, USR3278, CRIOBE, Perpignan, France; [Riaux-Gobin, Catherine] Univ Perpignan, Lab Excellence CORAIL, Perpignan, France; [Debandi, Juan, I; Campana, Gabriela L.] Univ Nacl Lujan, Dept Ciencias Basicas, Ruta 5 &amp; Av Constituc, RA-6700 Lujan, Buenos Aires, Argentina; [Zacher, Katharina] Helmholtz Ctr Polar &amp; Marine Res, Alfred Wegener Inst, Handelshaven 12, D-27570 Bremerhaven, Germany; [Liliana Quartino, Maria; Campana, Gabriela L.] Inst Antartico Argentino, Dept Biol Costera, Direcc Nacl Antartico, 25 Mayo 1143, RA-1650 San Martin, Buenos Aires, Argentina; [Liliana Quartino, Maria] Museo Argentino Ciencias Nat Bernardino Rivadavia, Av A Gallarelo 470,C1405DJR, Buenos Aires, DF, Argentina</t>
  </si>
  <si>
    <t>National University of La Plata; Museo La Plata; Centre National de la Recherche Scientifique (CNRS); CNRS - Institute of Ecology &amp; Environment (INEE); Universite PSL; Universite Perpignan Via Domitia; Universidad Nacional de Lujan; Helmholtz Association; Alfred Wegener Institute, Helmholtz Centre for Polar &amp; Marine Research; Instituto Antartico Argentino; Museo Argentino de Ciencias Naturales Bernardino Rivadavia (MACN)</t>
  </si>
  <si>
    <t>Guerrero, JM (corresponding author), Univ Nacl La Plata, Fac Ciencias Nat &amp; Museo, Div Ficol Dr Sebastian A Guarrera, Paseo Bosque S-N,B1900FWA, La Plata, Argentina.</t>
  </si>
  <si>
    <t>guerrerro@fcnym.unlp.edu.ar; catherine.gobin@univ-perp.fr; katharina.zacher@web.de; lquartino@dna.gov.ar; gcampana@dna.gov.ar</t>
  </si>
  <si>
    <t>Lopez, Jose/KHD-0318-2024; Guerrero, Josep M./D-5519-2014</t>
  </si>
  <si>
    <t>Guerrero, Josep M./0000-0001-5236-4592; Guerrero, Jose Maria/0000-0002-4733-2753; gobin, catherine/0000-0002-6128-8947; Zacher, Katharina/0000-0001-8897-1255; Campana, Gabriela Laura/0000-0002-6507-2369</t>
  </si>
  <si>
    <t>IAA-DNA [PI H18]; PADI Foundation [47918/2020]; ANPCyT-DNA [PICTO 2010-0116, PICT 2017-2691]; MINCYT-BMBF PROGRAMME [AL/17/06-01DN18024]; Universidad Nacional de Lujan [Disp CDD-CB 296/18, 343/19, 69/21]; Universidad Nacional de La Plata, Argentina [11/N856, 11/N879]</t>
  </si>
  <si>
    <t>IAA-DNA; PADI Foundation; ANPCyT-DNA; MINCYT-BMBF PROGRAMME; Universidad Nacional de Lujan; Universidad Nacional de La Plata, Argentina(National University of La Plata)</t>
  </si>
  <si>
    <t>Samples were obtained within the framework of the scientific collaboration between Instituto Antartico Argentino/Direccion Nacional del Antartico (Argentina) and the Alfred-Wegener-Institute Helmholtz Centre for Polar and Marine Research (Germany). We are especially grateful to Dr. M.E. Ferrario for her permanent support and to the invaluable field assistance of O. Gonzalez, overwinter scientists G. Latorre and F. Alvarez, the Argentine Army diving crews, Dallmann Laboratory and Carlini Station crews. This research was supported by grants from IAA-DNA (PI H18), PADI Foundation (47918/2020), ANPCyT-DNA (PICTO 2010-0116 and PICT 2017-2691), MINCYT-BMBF PROGRAMME (AL/17/06-01DN18024), Universidad Nacional de Lujan (Disp CDD-CB 296/18, 343/19 and 69/21) and Universidad Nacional de La Plata, Argentina (grants 11/N856 and 11/N879).</t>
  </si>
  <si>
    <t>1179-3155</t>
  </si>
  <si>
    <t>1179-3163</t>
  </si>
  <si>
    <t>Phytotaxa</t>
  </si>
  <si>
    <t>10.11646/phytotaxa.513.2.1</t>
  </si>
  <si>
    <t>UD6BL</t>
  </si>
  <si>
    <t>WOS:000687290000001</t>
  </si>
  <si>
    <t>Mackenzie, M; O'Loughlin, PM; Griffiths, H; Van de Putte, A</t>
  </si>
  <si>
    <t>Mackenzie, Melanie; O'Loughlin, P. Mark; Griffiths, Huw; Van de Putte, Anton</t>
  </si>
  <si>
    <t>Sea cucumbers (Echinodermata, Holothuroidea) from the JR275 expedition to the eastern Weddell Sea, Antarctica</t>
  </si>
  <si>
    <t>Antarctic; benthic; biodiversity; dataset; holothuroid; Southern Ocean</t>
  </si>
  <si>
    <t>HOLOTHURIANS; GENUS</t>
  </si>
  <si>
    <t>Thirty-seven holothuroid species, including six potentially new, are reported from the eastern Weddell Sea in Antarctica. Information regarding sea cucumbers in this dataset is based on Agassiz Trawl (AGT) samples collected during the British Antarctic Survey cruise JR275 on the RRS James Clark Ross in the austral summer of 2012. Species presence by site and an appendix of holothuroid identifications with registrations are included as supplementary material. Species occurrence in the Weddell Sea is updated to include new holothuroids from this expedition.</t>
  </si>
  <si>
    <t>[Mackenzie, Melanie; O'Loughlin, P. Mark] Museums Victoria, Sci Dept Marine Invertebrates, GPO Box 666, Melbourne, Vic 3001, Australia; [Griffiths, Huw] British Antarctic Survey, High Cross Madingley Rd, Cambridge CB3 0ET, England; [Van de Putte, Anton] Royal Belgian Inst Nat Sci, Rue Vautier 29, Brussels, Belgium</t>
  </si>
  <si>
    <t>Melbourne Genomics Health Alliance; UK Research &amp; Innovation (UKRI); Natural Environment Research Council (NERC); NERC British Antarctic Survey; Royal Belgian Institute of Natural Sciences</t>
  </si>
  <si>
    <t>Mackenzie, M (corresponding author), Museums Victoria, Sci Dept Marine Invertebrates, GPO Box 666, Melbourne, Vic 3001, Australia.</t>
  </si>
  <si>
    <t>mmackenzie@museum.vic.gov.au</t>
  </si>
  <si>
    <t>Griffiths, Huw J/0000-0003-1764-223X; Van de Putte, Anton/0000-0003-1336-5554; Mackenzie, Melanie/0000-0002-0030-7032</t>
  </si>
  <si>
    <t>Museums Victoria; AntaBIS; NERC [bas0100036] Funding Source: UKRI</t>
  </si>
  <si>
    <t>Museums Victoria; AntaBIS; NERC(UK Research &amp; Innovation (UKRI)Natural Environment Research Council (NERC))</t>
  </si>
  <si>
    <t>We are very grateful to BAS and Katrin Linse for the opportunity extended to Melanie Mackenzie to join this cruise, and for providing the opportunity for our study of the holothuroid material collected. We acknowledge Museums Victoria for generously supporting expedition participation and subsequent processing of specimens. We thank the captain, crew and JR275 scientific team of the RRS James Clark Ross. Particular acknowledgment should be given to Camille Moreau (Institut Universitaire Europeen de la Mer, Brest) for his efforts to capture live images of holothuroid specimens, and to rest of the benthic team for collecting and processing of specimens including Jennifer Jackson (who also conducted on-board tissue sampling), Chester Sands, Rachel Downey (BAS), and Adam Reed (University of Southampton and BAS). We thank Andrew Cabrinovic for assistance with registration information for specimens to be lodged at NHMUK. We thank the journal editor for his diligence, and our reviewers for their insightful comments which have improved this manuscript. The publication of this data paper was supported by the AntaBIS, one of Belgium's contributions to EU Lifewatch.</t>
  </si>
  <si>
    <t>10.3897/zookeys.1054.59584</t>
  </si>
  <si>
    <t>UB0ME</t>
  </si>
  <si>
    <t>WOS:000685546400001</t>
  </si>
  <si>
    <t>Nash, KL; Van Putten, I; Alexander, K; Cvitanovic, C; Bettiol, S; Farmery, AK; Flies, EJ; Ison, S; Kelly, R; Mackay, M; Murray, L; Norris, K; Robinson, LM; Scott, J; Ward, D; Vince, J</t>
  </si>
  <si>
    <t>Nash, Kirsty L.; Van Putten, Ingrid; Alexander, Karen; Cvitanovic, Christopher; Bettiol, Silvana; Farmery, Anna K.; Flies, Emily J.; Ison, Sierra; Kelly, Rachel; Mackay, Mary; Murray, Linda; Norris, Kimberley; Robinson, Lucy M.; Scott, Jennifer; Ward, Delphi; Vince, Joanna</t>
  </si>
  <si>
    <t>Oceans and society: feedbacks between ocean and human health</t>
  </si>
  <si>
    <t>Power and agency; Human development; Human health; Well-being; Sense of place; Food system</t>
  </si>
  <si>
    <t>MARINE PROTECTED AREAS; COMMUNITY RESILIENCE; KNOWLEDGE EXCHANGE; BEHAVIOR-CHANGE; BLUE SPACE; TRADE-OFFS; FOOD WASTE; COASTAL; MANAGEMENT; IMPACTS</t>
  </si>
  <si>
    <t>The concentration of human population along coastlines has far-reaching effects on ocean and societal health. The oceans provide benefits to humans such as food, coastal protection and improved mental well-being, but can also impact negatively via natural disasters. At the same time, humans influence ocean health, for example, via coastal development or through environmental stewardship. Given the strong feedbacks between ocean and human health there is a need to promote desirable interactions, while minimising undesirable interactions. To this end, we articulate two scenarios for 2030. First, Business-as-Usual, named 'Command and (out of) Control', focuses on the anticipated future based on our current trajectory. Second, a more sustainable scenario called 'Living and Connecting', emphasises the development of interactions between oceans and society consistent with achieving the Sustainable Development Goals. We describe a potential pathway to achieving the 'Living and Connecting' scenario, centred on improving marine citizenship, achieving a more equitable distribution of power among stakeholders, and more equitable access to resources and opportunities. The constituent actions of this pathway can be categorised into four groups: (i) improved approaches to science and health communication that account for society's diverse values, beliefs and worldviews, (ii) a shift towards more trusted relationships among stakeholders to enable two-way knowledge exchange, (iii) economic incentives that encourage behavioural changes necessary for achieving desired sustainability outcomes, and (iv) stronger regulations that simultaneously focus on ocean and human health. We contend that these changes will provide improved outcomes for both oceans and society over the United Nations Decade of Ocean Science. Graphic abstract</t>
  </si>
  <si>
    <t>[Nash, Kirsty L.; Van Putten, Ingrid; Alexander, Karen; Cvitanovic, Christopher; Farmery, Anna K.; Ison, Sierra; Kelly, Rachel; Mackay, Mary; Ward, Delphi; Vince, Joanna] Ctr Marine Socioecol, Private Bag 129, Hobart, Tas 7001, Australia; [Nash, Kirsty L.; Alexander, Karen; Ison, Sierra; Kelly, Rachel; Ward, Delphi] Univ Tasmania, Inst Marine &amp; Antarctic Studies, Private Bag 129, Hobart, Tas 7001, Australia; [Van Putten, Ingrid; Mackay, Mary] CSIRO, Oceans &amp; Atmosphere, Battery Point, Tas 7004, Australia; [Bettiol, Silvana] Univ Tasmania, Coll Hlth &amp; Med, Tasmanian Sch Med, 17 Liverpool St, Hobart, Tas 7000, Australia; [Cvitanovic, Christopher] Australian Natl Univ, Australian Natl Ctr Publ Awareness Sci, Canberra, ACT, Australia; [Farmery, Anna K.] Univ Wollongong, Australian Natl Ctr Ocean Resources &amp; Secur, Wollongong, NSW, Australia; [Flies, Emily J.] Univ Tasmania, Sch Nat Sci, Private Bag 55, Hobart, Tas 7001, Australia; [Murray, Linda] Massey Univ, Coll Hlth, Sch Hlth Sci, Wellington 6140, New Zealand; [Norris, Kimberley; Scott, Jennifer] Univ Tasmania, Sch Psychol Sci, Private Bag 30, Hobart, Tas 7001, Australia; [Robinson, Lucy M.] Univ Western Australia, Oceans Inst, Perth, WA 6009, Australia; [Robinson, Lucy M.] Univ Western Australia, Oceans Grad Sch, Perth, WA 6009, Australia; [Robinson, Lucy M.] CSIRO Oceans &amp; Atmosphere, Crawley, WA 6009, Australia; [Vince, Joanna] Univ Tasmania, Sch Social Sci, Locked Bag 1340, Launceston, Tas 7250, Australia</t>
  </si>
  <si>
    <t>University of Tasmania; Commonwealth Scientific &amp; Industrial Research Organisation (CSIRO); University of Tasmania; Australian National University; University of Wollongong; University of Tasmania; Massey University; University of Tasmania; University of Western Australia; University of Western Australia; Commonwealth Scientific &amp; Industrial Research Organisation (CSIRO); University of Tasmania</t>
  </si>
  <si>
    <t>Nash, KL (corresponding author), Ctr Marine Socioecol, Private Bag 129, Hobart, Tas 7001, Australia.;Nash, KL (corresponding author), Univ Tasmania, Inst Marine &amp; Antarctic Studies, Private Bag 129, Hobart, Tas 7001, Australia.</t>
  </si>
  <si>
    <t>nashkirsty@gmail.com</t>
  </si>
  <si>
    <t>Vince, Joanna Zofia/J-7465-2014; Nash, Kirsty L/B-5456-2015; Norris, Kimberley/J-7260-2014; Murray, Linda/AAD-7634-2020; Alexander, Karen/O-7042-2017; bettiol, silvana/J-7606-2014; Flies, Emily J./F-4686-2013</t>
  </si>
  <si>
    <t>Vince, Joanna Zofia/0000-0002-4469-7634; Nash, Kirsty L/0000-0003-0976-3197; Alexander, Karen/0000-0001-8801-413X; Ward, Delphi/0000-0002-1802-2617; Robinson, Lucy/0000-0001-9324-401X; Kelly, Rachel/0000-0002-8364-1836; Cvitanovic, Christopher/0000-0002-2565-3396; bettiol, silvana/0000-0002-4355-4498; Flies, Emily J./0000-0002-1013-0330; Mackay, Mary/0000-0003-0175-4237</t>
  </si>
  <si>
    <t>Centre for Marine Socioecology, IMAS, MENZIES; College of Arts, Law and Education; College of Science and Engineering at UTAS</t>
  </si>
  <si>
    <t>Funding for Future Seas was provided by the Centre for Marine Socioecology, IMAS, MENZIES and the College of Arts, Law and Education, and the College of Science and Engineering at UTAS.</t>
  </si>
  <si>
    <t>10.1007/s11160-021-09669-5</t>
  </si>
  <si>
    <t>WOS:000681149500001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</si>
</sst>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43</v>
      </c>
      <c r="AH2">
        <v>2</v>
      </c>
      <c r="AI2">
        <v>2</v>
      </c>
      <c r="AJ2">
        <v>2</v>
      </c>
      <c r="AK2">
        <v>16</v>
      </c>
      <c r="AL2" t="s">
        <v>92</v>
      </c>
      <c r="AM2" t="s">
        <v>93</v>
      </c>
      <c r="AN2" t="s">
        <v>94</v>
      </c>
      <c r="AO2" t="s">
        <v>95</v>
      </c>
      <c r="AP2" t="s">
        <v>74</v>
      </c>
      <c r="AQ2" t="s">
        <v>74</v>
      </c>
      <c r="AR2" t="s">
        <v>96</v>
      </c>
      <c r="AS2" t="s">
        <v>97</v>
      </c>
      <c r="AT2" t="s">
        <v>98</v>
      </c>
      <c r="AU2">
        <v>2021</v>
      </c>
      <c r="AV2">
        <v>16</v>
      </c>
      <c r="AW2">
        <v>12</v>
      </c>
      <c r="AX2" t="s">
        <v>74</v>
      </c>
      <c r="AY2" t="s">
        <v>74</v>
      </c>
      <c r="AZ2" t="s">
        <v>74</v>
      </c>
      <c r="BA2" t="s">
        <v>74</v>
      </c>
      <c r="BB2" t="s">
        <v>74</v>
      </c>
      <c r="BC2" t="s">
        <v>74</v>
      </c>
      <c r="BD2">
        <v>124004</v>
      </c>
      <c r="BE2" t="s">
        <v>99</v>
      </c>
      <c r="BF2" t="str">
        <f>HYPERLINK("http://dx.doi.org/10.1088/1748-9326/ac3288","http://dx.doi.org/10.1088/1748-9326/ac3288")</f>
        <v>http://dx.doi.org/10.1088/1748-9326/ac3288</v>
      </c>
      <c r="BG2" t="s">
        <v>74</v>
      </c>
      <c r="BH2" t="s">
        <v>74</v>
      </c>
      <c r="BI2">
        <v>11</v>
      </c>
      <c r="BJ2" t="s">
        <v>100</v>
      </c>
      <c r="BK2" t="s">
        <v>101</v>
      </c>
      <c r="BL2" t="s">
        <v>102</v>
      </c>
      <c r="BM2" t="s">
        <v>103</v>
      </c>
      <c r="BN2">
        <v>34795795</v>
      </c>
      <c r="BO2" t="s">
        <v>104</v>
      </c>
      <c r="BP2" t="s">
        <v>74</v>
      </c>
      <c r="BQ2" t="s">
        <v>74</v>
      </c>
      <c r="BR2" t="s">
        <v>105</v>
      </c>
      <c r="BS2" t="s">
        <v>106</v>
      </c>
      <c r="BT2" t="str">
        <f>HYPERLINK("https%3A%2F%2Fwww.webofscience.com%2Fwos%2Fwoscc%2Ffull-record%2FWOS:000718599900001","View Full Record in Web of Science")</f>
        <v>View Full Record in Web of Science</v>
      </c>
    </row>
    <row r="3" spans="1:72" x14ac:dyDescent="0.15">
      <c r="A3" t="s">
        <v>72</v>
      </c>
      <c r="B3" t="s">
        <v>107</v>
      </c>
      <c r="C3" t="s">
        <v>74</v>
      </c>
      <c r="D3" t="s">
        <v>74</v>
      </c>
      <c r="E3" t="s">
        <v>74</v>
      </c>
      <c r="F3" t="s">
        <v>108</v>
      </c>
      <c r="G3" t="s">
        <v>74</v>
      </c>
      <c r="H3" t="s">
        <v>74</v>
      </c>
      <c r="I3" t="s">
        <v>109</v>
      </c>
      <c r="J3" t="s">
        <v>110</v>
      </c>
      <c r="K3" t="s">
        <v>74</v>
      </c>
      <c r="L3" t="s">
        <v>74</v>
      </c>
      <c r="M3" t="s">
        <v>78</v>
      </c>
      <c r="N3" t="s">
        <v>111</v>
      </c>
      <c r="O3" t="s">
        <v>74</v>
      </c>
      <c r="P3" t="s">
        <v>74</v>
      </c>
      <c r="Q3" t="s">
        <v>74</v>
      </c>
      <c r="R3" t="s">
        <v>74</v>
      </c>
      <c r="S3" t="s">
        <v>74</v>
      </c>
      <c r="T3" t="s">
        <v>74</v>
      </c>
      <c r="U3" t="s">
        <v>74</v>
      </c>
      <c r="V3" t="s">
        <v>74</v>
      </c>
      <c r="W3" t="s">
        <v>112</v>
      </c>
      <c r="X3" t="s">
        <v>113</v>
      </c>
      <c r="Y3" t="s">
        <v>114</v>
      </c>
      <c r="Z3" t="s">
        <v>115</v>
      </c>
      <c r="AA3" t="s">
        <v>116</v>
      </c>
      <c r="AB3" t="s">
        <v>117</v>
      </c>
      <c r="AC3" t="s">
        <v>74</v>
      </c>
      <c r="AD3" t="s">
        <v>74</v>
      </c>
      <c r="AE3" t="s">
        <v>74</v>
      </c>
      <c r="AF3" t="s">
        <v>74</v>
      </c>
      <c r="AG3">
        <v>1</v>
      </c>
      <c r="AH3">
        <v>0</v>
      </c>
      <c r="AI3">
        <v>0</v>
      </c>
      <c r="AJ3">
        <v>3</v>
      </c>
      <c r="AK3">
        <v>20</v>
      </c>
      <c r="AL3" t="s">
        <v>118</v>
      </c>
      <c r="AM3" t="s">
        <v>119</v>
      </c>
      <c r="AN3" t="s">
        <v>120</v>
      </c>
      <c r="AO3" t="s">
        <v>121</v>
      </c>
      <c r="AP3" t="s">
        <v>122</v>
      </c>
      <c r="AQ3" t="s">
        <v>74</v>
      </c>
      <c r="AR3" t="s">
        <v>123</v>
      </c>
      <c r="AS3" t="s">
        <v>124</v>
      </c>
      <c r="AT3" t="s">
        <v>98</v>
      </c>
      <c r="AU3">
        <v>2021</v>
      </c>
      <c r="AV3">
        <v>108</v>
      </c>
      <c r="AW3">
        <v>6</v>
      </c>
      <c r="AX3" t="s">
        <v>74</v>
      </c>
      <c r="AY3" t="s">
        <v>74</v>
      </c>
      <c r="AZ3" t="s">
        <v>74</v>
      </c>
      <c r="BA3" t="s">
        <v>74</v>
      </c>
      <c r="BB3" t="s">
        <v>74</v>
      </c>
      <c r="BC3" t="s">
        <v>74</v>
      </c>
      <c r="BD3">
        <v>51</v>
      </c>
      <c r="BE3" t="s">
        <v>125</v>
      </c>
      <c r="BF3" t="str">
        <f>HYPERLINK("http://dx.doi.org/10.1007/s00114-021-01759-5","http://dx.doi.org/10.1007/s00114-021-01759-5")</f>
        <v>http://dx.doi.org/10.1007/s00114-021-01759-5</v>
      </c>
      <c r="BG3" t="s">
        <v>74</v>
      </c>
      <c r="BH3" t="s">
        <v>74</v>
      </c>
      <c r="BI3">
        <v>1</v>
      </c>
      <c r="BJ3" t="s">
        <v>126</v>
      </c>
      <c r="BK3" t="s">
        <v>101</v>
      </c>
      <c r="BL3" t="s">
        <v>127</v>
      </c>
      <c r="BM3" t="s">
        <v>128</v>
      </c>
      <c r="BN3">
        <v>34633554</v>
      </c>
      <c r="BO3" t="s">
        <v>129</v>
      </c>
      <c r="BP3" t="s">
        <v>74</v>
      </c>
      <c r="BQ3" t="s">
        <v>74</v>
      </c>
      <c r="BR3" t="s">
        <v>105</v>
      </c>
      <c r="BS3" t="s">
        <v>130</v>
      </c>
      <c r="BT3" t="str">
        <f>HYPERLINK("https%3A%2F%2Fwww.webofscience.com%2Fwos%2Fwoscc%2Ffull-record%2FWOS:000706133600001","View Full Record in Web of Science")</f>
        <v>View Full Record in Web of Science</v>
      </c>
    </row>
    <row r="4" spans="1:72" x14ac:dyDescent="0.15">
      <c r="A4" t="s">
        <v>72</v>
      </c>
      <c r="B4" t="s">
        <v>131</v>
      </c>
      <c r="C4" t="s">
        <v>74</v>
      </c>
      <c r="D4" t="s">
        <v>74</v>
      </c>
      <c r="E4" t="s">
        <v>74</v>
      </c>
      <c r="F4" t="s">
        <v>132</v>
      </c>
      <c r="G4" t="s">
        <v>74</v>
      </c>
      <c r="H4" t="s">
        <v>74</v>
      </c>
      <c r="I4" t="s">
        <v>133</v>
      </c>
      <c r="J4" t="s">
        <v>134</v>
      </c>
      <c r="K4" t="s">
        <v>74</v>
      </c>
      <c r="L4" t="s">
        <v>74</v>
      </c>
      <c r="M4" t="s">
        <v>78</v>
      </c>
      <c r="N4" t="s">
        <v>79</v>
      </c>
      <c r="O4" t="s">
        <v>74</v>
      </c>
      <c r="P4" t="s">
        <v>74</v>
      </c>
      <c r="Q4" t="s">
        <v>74</v>
      </c>
      <c r="R4" t="s">
        <v>74</v>
      </c>
      <c r="S4" t="s">
        <v>74</v>
      </c>
      <c r="T4" t="s">
        <v>135</v>
      </c>
      <c r="U4" t="s">
        <v>136</v>
      </c>
      <c r="V4" t="s">
        <v>137</v>
      </c>
      <c r="W4" t="s">
        <v>138</v>
      </c>
      <c r="X4" t="s">
        <v>139</v>
      </c>
      <c r="Y4" t="s">
        <v>140</v>
      </c>
      <c r="Z4" t="s">
        <v>141</v>
      </c>
      <c r="AA4" t="s">
        <v>74</v>
      </c>
      <c r="AB4" t="s">
        <v>74</v>
      </c>
      <c r="AC4" t="s">
        <v>74</v>
      </c>
      <c r="AD4" t="s">
        <v>74</v>
      </c>
      <c r="AE4" t="s">
        <v>74</v>
      </c>
      <c r="AF4" t="s">
        <v>74</v>
      </c>
      <c r="AG4">
        <v>18</v>
      </c>
      <c r="AH4">
        <v>0</v>
      </c>
      <c r="AI4">
        <v>0</v>
      </c>
      <c r="AJ4">
        <v>0</v>
      </c>
      <c r="AK4">
        <v>8</v>
      </c>
      <c r="AL4" t="s">
        <v>142</v>
      </c>
      <c r="AM4" t="s">
        <v>143</v>
      </c>
      <c r="AN4" t="s">
        <v>144</v>
      </c>
      <c r="AO4" t="s">
        <v>145</v>
      </c>
      <c r="AP4" t="s">
        <v>146</v>
      </c>
      <c r="AQ4" t="s">
        <v>74</v>
      </c>
      <c r="AR4" t="s">
        <v>147</v>
      </c>
      <c r="AS4" t="s">
        <v>148</v>
      </c>
      <c r="AT4" t="s">
        <v>98</v>
      </c>
      <c r="AU4">
        <v>2021</v>
      </c>
      <c r="AV4">
        <v>130</v>
      </c>
      <c r="AW4">
        <v>4</v>
      </c>
      <c r="AX4" t="s">
        <v>74</v>
      </c>
      <c r="AY4" t="s">
        <v>74</v>
      </c>
      <c r="AZ4" t="s">
        <v>74</v>
      </c>
      <c r="BA4" t="s">
        <v>74</v>
      </c>
      <c r="BB4" t="s">
        <v>74</v>
      </c>
      <c r="BC4" t="s">
        <v>74</v>
      </c>
      <c r="BD4">
        <v>204</v>
      </c>
      <c r="BE4" t="s">
        <v>149</v>
      </c>
      <c r="BF4" t="str">
        <f>HYPERLINK("http://dx.doi.org/10.1007/s12040-021-01714-y","http://dx.doi.org/10.1007/s12040-021-01714-y")</f>
        <v>http://dx.doi.org/10.1007/s12040-021-01714-y</v>
      </c>
      <c r="BG4" t="s">
        <v>74</v>
      </c>
      <c r="BH4" t="s">
        <v>74</v>
      </c>
      <c r="BI4">
        <v>10</v>
      </c>
      <c r="BJ4" t="s">
        <v>150</v>
      </c>
      <c r="BK4" t="s">
        <v>101</v>
      </c>
      <c r="BL4" t="s">
        <v>151</v>
      </c>
      <c r="BM4" t="s">
        <v>152</v>
      </c>
      <c r="BN4" t="s">
        <v>74</v>
      </c>
      <c r="BO4" t="s">
        <v>74</v>
      </c>
      <c r="BP4" t="s">
        <v>74</v>
      </c>
      <c r="BQ4" t="s">
        <v>74</v>
      </c>
      <c r="BR4" t="s">
        <v>105</v>
      </c>
      <c r="BS4" t="s">
        <v>153</v>
      </c>
      <c r="BT4" t="str">
        <f>HYPERLINK("https%3A%2F%2Fwww.webofscience.com%2Fwos%2Fwoscc%2Ffull-record%2FWOS:000704433500002","View Full Record in Web of Science")</f>
        <v>View Full Record in Web of Science</v>
      </c>
    </row>
    <row r="5" spans="1:72" x14ac:dyDescent="0.15">
      <c r="A5" t="s">
        <v>72</v>
      </c>
      <c r="B5" t="s">
        <v>154</v>
      </c>
      <c r="C5" t="s">
        <v>74</v>
      </c>
      <c r="D5" t="s">
        <v>74</v>
      </c>
      <c r="E5" t="s">
        <v>74</v>
      </c>
      <c r="F5" t="s">
        <v>155</v>
      </c>
      <c r="G5" t="s">
        <v>74</v>
      </c>
      <c r="H5" t="s">
        <v>74</v>
      </c>
      <c r="I5" t="s">
        <v>156</v>
      </c>
      <c r="J5" t="s">
        <v>157</v>
      </c>
      <c r="K5" t="s">
        <v>74</v>
      </c>
      <c r="L5" t="s">
        <v>74</v>
      </c>
      <c r="M5" t="s">
        <v>78</v>
      </c>
      <c r="N5" t="s">
        <v>79</v>
      </c>
      <c r="O5" t="s">
        <v>74</v>
      </c>
      <c r="P5" t="s">
        <v>74</v>
      </c>
      <c r="Q5" t="s">
        <v>74</v>
      </c>
      <c r="R5" t="s">
        <v>74</v>
      </c>
      <c r="S5" t="s">
        <v>74</v>
      </c>
      <c r="T5" t="s">
        <v>74</v>
      </c>
      <c r="U5" t="s">
        <v>158</v>
      </c>
      <c r="V5" t="s">
        <v>159</v>
      </c>
      <c r="W5" t="s">
        <v>160</v>
      </c>
      <c r="X5" t="s">
        <v>161</v>
      </c>
      <c r="Y5" t="s">
        <v>162</v>
      </c>
      <c r="Z5" t="s">
        <v>163</v>
      </c>
      <c r="AA5" t="s">
        <v>164</v>
      </c>
      <c r="AB5" t="s">
        <v>165</v>
      </c>
      <c r="AC5" t="s">
        <v>166</v>
      </c>
      <c r="AD5" t="s">
        <v>167</v>
      </c>
      <c r="AE5" t="s">
        <v>168</v>
      </c>
      <c r="AF5" t="s">
        <v>74</v>
      </c>
      <c r="AG5">
        <v>53</v>
      </c>
      <c r="AH5">
        <v>1</v>
      </c>
      <c r="AI5">
        <v>2</v>
      </c>
      <c r="AJ5">
        <v>1</v>
      </c>
      <c r="AK5">
        <v>8</v>
      </c>
      <c r="AL5" t="s">
        <v>169</v>
      </c>
      <c r="AM5" t="s">
        <v>170</v>
      </c>
      <c r="AN5" t="s">
        <v>171</v>
      </c>
      <c r="AO5" t="s">
        <v>172</v>
      </c>
      <c r="AP5" t="s">
        <v>173</v>
      </c>
      <c r="AQ5" t="s">
        <v>74</v>
      </c>
      <c r="AR5" t="s">
        <v>174</v>
      </c>
      <c r="AS5" t="s">
        <v>175</v>
      </c>
      <c r="AT5" t="s">
        <v>98</v>
      </c>
      <c r="AU5">
        <v>2021</v>
      </c>
      <c r="AV5">
        <v>41</v>
      </c>
      <c r="AW5">
        <v>4</v>
      </c>
      <c r="AX5" t="s">
        <v>74</v>
      </c>
      <c r="AY5" t="s">
        <v>74</v>
      </c>
      <c r="AZ5" t="s">
        <v>74</v>
      </c>
      <c r="BA5" t="s">
        <v>74</v>
      </c>
      <c r="BB5" t="s">
        <v>74</v>
      </c>
      <c r="BC5" t="s">
        <v>74</v>
      </c>
      <c r="BD5">
        <v>43</v>
      </c>
      <c r="BE5" t="s">
        <v>176</v>
      </c>
      <c r="BF5" t="str">
        <f>HYPERLINK("http://dx.doi.org/10.1007/s00367-021-00715-6","http://dx.doi.org/10.1007/s00367-021-00715-6")</f>
        <v>http://dx.doi.org/10.1007/s00367-021-00715-6</v>
      </c>
      <c r="BG5" t="s">
        <v>74</v>
      </c>
      <c r="BH5" t="s">
        <v>74</v>
      </c>
      <c r="BI5">
        <v>13</v>
      </c>
      <c r="BJ5" t="s">
        <v>177</v>
      </c>
      <c r="BK5" t="s">
        <v>101</v>
      </c>
      <c r="BL5" t="s">
        <v>178</v>
      </c>
      <c r="BM5" t="s">
        <v>179</v>
      </c>
      <c r="BN5" t="s">
        <v>74</v>
      </c>
      <c r="BO5" t="s">
        <v>180</v>
      </c>
      <c r="BP5" t="s">
        <v>74</v>
      </c>
      <c r="BQ5" t="s">
        <v>74</v>
      </c>
      <c r="BR5" t="s">
        <v>105</v>
      </c>
      <c r="BS5" t="s">
        <v>181</v>
      </c>
      <c r="BT5" t="str">
        <f>HYPERLINK("https%3A%2F%2Fwww.webofscience.com%2Fwos%2Fwoscc%2Ffull-record%2FWOS:000693788900002","View Full Record in Web of Science")</f>
        <v>View Full Record in Web of Science</v>
      </c>
    </row>
    <row r="6" spans="1:72" x14ac:dyDescent="0.15">
      <c r="A6" t="s">
        <v>72</v>
      </c>
      <c r="B6" t="s">
        <v>182</v>
      </c>
      <c r="C6" t="s">
        <v>74</v>
      </c>
      <c r="D6" t="s">
        <v>74</v>
      </c>
      <c r="E6" t="s">
        <v>74</v>
      </c>
      <c r="F6" t="s">
        <v>183</v>
      </c>
      <c r="G6" t="s">
        <v>74</v>
      </c>
      <c r="H6" t="s">
        <v>74</v>
      </c>
      <c r="I6" t="s">
        <v>184</v>
      </c>
      <c r="J6" t="s">
        <v>185</v>
      </c>
      <c r="K6" t="s">
        <v>74</v>
      </c>
      <c r="L6" t="s">
        <v>74</v>
      </c>
      <c r="M6" t="s">
        <v>78</v>
      </c>
      <c r="N6" t="s">
        <v>79</v>
      </c>
      <c r="O6" t="s">
        <v>74</v>
      </c>
      <c r="P6" t="s">
        <v>74</v>
      </c>
      <c r="Q6" t="s">
        <v>74</v>
      </c>
      <c r="R6" t="s">
        <v>74</v>
      </c>
      <c r="S6" t="s">
        <v>74</v>
      </c>
      <c r="T6" t="s">
        <v>186</v>
      </c>
      <c r="U6" t="s">
        <v>187</v>
      </c>
      <c r="V6" t="s">
        <v>188</v>
      </c>
      <c r="W6" t="s">
        <v>189</v>
      </c>
      <c r="X6" t="s">
        <v>190</v>
      </c>
      <c r="Y6" t="s">
        <v>191</v>
      </c>
      <c r="Z6" t="s">
        <v>192</v>
      </c>
      <c r="AA6" t="s">
        <v>193</v>
      </c>
      <c r="AB6" t="s">
        <v>194</v>
      </c>
      <c r="AC6" t="s">
        <v>195</v>
      </c>
      <c r="AD6" t="s">
        <v>196</v>
      </c>
      <c r="AE6" t="s">
        <v>197</v>
      </c>
      <c r="AF6" t="s">
        <v>74</v>
      </c>
      <c r="AG6">
        <v>39</v>
      </c>
      <c r="AH6">
        <v>3</v>
      </c>
      <c r="AI6">
        <v>4</v>
      </c>
      <c r="AJ6">
        <v>0</v>
      </c>
      <c r="AK6">
        <v>21</v>
      </c>
      <c r="AL6" t="s">
        <v>198</v>
      </c>
      <c r="AM6" t="s">
        <v>199</v>
      </c>
      <c r="AN6" t="s">
        <v>200</v>
      </c>
      <c r="AO6" t="s">
        <v>201</v>
      </c>
      <c r="AP6" t="s">
        <v>74</v>
      </c>
      <c r="AQ6" t="s">
        <v>74</v>
      </c>
      <c r="AR6" t="s">
        <v>202</v>
      </c>
      <c r="AS6" t="s">
        <v>203</v>
      </c>
      <c r="AT6" t="s">
        <v>204</v>
      </c>
      <c r="AU6">
        <v>2021</v>
      </c>
      <c r="AV6">
        <v>17</v>
      </c>
      <c r="AW6">
        <v>2</v>
      </c>
      <c r="AX6" t="s">
        <v>74</v>
      </c>
      <c r="AY6" t="s">
        <v>74</v>
      </c>
      <c r="AZ6" t="s">
        <v>74</v>
      </c>
      <c r="BA6" t="s">
        <v>74</v>
      </c>
      <c r="BB6">
        <v>313</v>
      </c>
      <c r="BC6">
        <v>324</v>
      </c>
      <c r="BD6" t="s">
        <v>74</v>
      </c>
      <c r="BE6" t="s">
        <v>205</v>
      </c>
      <c r="BF6" t="str">
        <f>HYPERLINK("http://dx.doi.org/10.1080/17445647.2021.1931970","http://dx.doi.org/10.1080/17445647.2021.1931970")</f>
        <v>http://dx.doi.org/10.1080/17445647.2021.1931970</v>
      </c>
      <c r="BG6" t="s">
        <v>74</v>
      </c>
      <c r="BH6" t="s">
        <v>74</v>
      </c>
      <c r="BI6">
        <v>12</v>
      </c>
      <c r="BJ6" t="s">
        <v>206</v>
      </c>
      <c r="BK6" t="s">
        <v>207</v>
      </c>
      <c r="BL6" t="s">
        <v>208</v>
      </c>
      <c r="BM6" t="s">
        <v>209</v>
      </c>
      <c r="BN6" t="s">
        <v>74</v>
      </c>
      <c r="BO6" t="s">
        <v>210</v>
      </c>
      <c r="BP6" t="s">
        <v>74</v>
      </c>
      <c r="BQ6" t="s">
        <v>74</v>
      </c>
      <c r="BR6" t="s">
        <v>105</v>
      </c>
      <c r="BS6" t="s">
        <v>211</v>
      </c>
      <c r="BT6" t="str">
        <f>HYPERLINK("https%3A%2F%2Fwww.webofscience.com%2Fwos%2Fwoscc%2Ffull-record%2FWOS:000656692900001","View Full Record in Web of Science")</f>
        <v>View Full Record in Web of Science</v>
      </c>
    </row>
    <row r="7" spans="1:72" x14ac:dyDescent="0.15">
      <c r="A7" t="s">
        <v>72</v>
      </c>
      <c r="B7" t="s">
        <v>212</v>
      </c>
      <c r="C7" t="s">
        <v>74</v>
      </c>
      <c r="D7" t="s">
        <v>74</v>
      </c>
      <c r="E7" t="s">
        <v>74</v>
      </c>
      <c r="F7" t="s">
        <v>213</v>
      </c>
      <c r="G7" t="s">
        <v>74</v>
      </c>
      <c r="H7" t="s">
        <v>74</v>
      </c>
      <c r="I7" t="s">
        <v>214</v>
      </c>
      <c r="J7" t="s">
        <v>215</v>
      </c>
      <c r="K7" t="s">
        <v>74</v>
      </c>
      <c r="L7" t="s">
        <v>74</v>
      </c>
      <c r="M7" t="s">
        <v>78</v>
      </c>
      <c r="N7" t="s">
        <v>79</v>
      </c>
      <c r="O7" t="s">
        <v>74</v>
      </c>
      <c r="P7" t="s">
        <v>74</v>
      </c>
      <c r="Q7" t="s">
        <v>74</v>
      </c>
      <c r="R7" t="s">
        <v>74</v>
      </c>
      <c r="S7" t="s">
        <v>74</v>
      </c>
      <c r="T7" t="s">
        <v>74</v>
      </c>
      <c r="U7" t="s">
        <v>216</v>
      </c>
      <c r="V7" t="s">
        <v>217</v>
      </c>
      <c r="W7" t="s">
        <v>218</v>
      </c>
      <c r="X7" t="s">
        <v>219</v>
      </c>
      <c r="Y7" t="s">
        <v>220</v>
      </c>
      <c r="Z7" t="s">
        <v>221</v>
      </c>
      <c r="AA7" t="s">
        <v>222</v>
      </c>
      <c r="AB7" t="s">
        <v>223</v>
      </c>
      <c r="AC7" t="s">
        <v>224</v>
      </c>
      <c r="AD7" t="s">
        <v>225</v>
      </c>
      <c r="AE7" t="s">
        <v>226</v>
      </c>
      <c r="AF7" t="s">
        <v>74</v>
      </c>
      <c r="AG7">
        <v>106</v>
      </c>
      <c r="AH7">
        <v>5</v>
      </c>
      <c r="AI7">
        <v>4</v>
      </c>
      <c r="AJ7">
        <v>1</v>
      </c>
      <c r="AK7">
        <v>11</v>
      </c>
      <c r="AL7" t="s">
        <v>227</v>
      </c>
      <c r="AM7" t="s">
        <v>228</v>
      </c>
      <c r="AN7" t="s">
        <v>229</v>
      </c>
      <c r="AO7" t="s">
        <v>230</v>
      </c>
      <c r="AP7" t="s">
        <v>231</v>
      </c>
      <c r="AQ7" t="s">
        <v>74</v>
      </c>
      <c r="AR7" t="s">
        <v>232</v>
      </c>
      <c r="AS7" t="s">
        <v>233</v>
      </c>
      <c r="AT7" t="s">
        <v>234</v>
      </c>
      <c r="AU7">
        <v>2021</v>
      </c>
      <c r="AV7">
        <v>14</v>
      </c>
      <c r="AW7">
        <v>12</v>
      </c>
      <c r="AX7" t="s">
        <v>74</v>
      </c>
      <c r="AY7" t="s">
        <v>74</v>
      </c>
      <c r="AZ7" t="s">
        <v>74</v>
      </c>
      <c r="BA7" t="s">
        <v>74</v>
      </c>
      <c r="BB7">
        <v>7255</v>
      </c>
      <c r="BC7">
        <v>7285</v>
      </c>
      <c r="BD7" t="s">
        <v>74</v>
      </c>
      <c r="BE7" t="s">
        <v>235</v>
      </c>
      <c r="BF7" t="str">
        <f>HYPERLINK("http://dx.doi.org/10.5194/gmd-14-7255-2021","http://dx.doi.org/10.5194/gmd-14-7255-2021")</f>
        <v>http://dx.doi.org/10.5194/gmd-14-7255-2021</v>
      </c>
      <c r="BG7" t="s">
        <v>74</v>
      </c>
      <c r="BH7" t="s">
        <v>74</v>
      </c>
      <c r="BI7">
        <v>31</v>
      </c>
      <c r="BJ7" t="s">
        <v>236</v>
      </c>
      <c r="BK7" t="s">
        <v>101</v>
      </c>
      <c r="BL7" t="s">
        <v>237</v>
      </c>
      <c r="BM7" t="s">
        <v>238</v>
      </c>
      <c r="BN7" t="s">
        <v>74</v>
      </c>
      <c r="BO7" t="s">
        <v>239</v>
      </c>
      <c r="BP7" t="s">
        <v>74</v>
      </c>
      <c r="BQ7" t="s">
        <v>74</v>
      </c>
      <c r="BR7" t="s">
        <v>105</v>
      </c>
      <c r="BS7" t="s">
        <v>240</v>
      </c>
      <c r="BT7" t="str">
        <f>HYPERLINK("https%3A%2F%2Fwww.webofscience.com%2Fwos%2Fwoscc%2Ffull-record%2FWOS:000723926300001","View Full Record in Web of Science")</f>
        <v>View Full Record in Web of Science</v>
      </c>
    </row>
    <row r="8" spans="1:72" x14ac:dyDescent="0.15">
      <c r="A8" t="s">
        <v>72</v>
      </c>
      <c r="B8" t="s">
        <v>241</v>
      </c>
      <c r="C8" t="s">
        <v>74</v>
      </c>
      <c r="D8" t="s">
        <v>74</v>
      </c>
      <c r="E8" t="s">
        <v>74</v>
      </c>
      <c r="F8" t="s">
        <v>242</v>
      </c>
      <c r="G8" t="s">
        <v>74</v>
      </c>
      <c r="H8" t="s">
        <v>74</v>
      </c>
      <c r="I8" t="s">
        <v>243</v>
      </c>
      <c r="J8" t="s">
        <v>244</v>
      </c>
      <c r="K8" t="s">
        <v>74</v>
      </c>
      <c r="L8" t="s">
        <v>74</v>
      </c>
      <c r="M8" t="s">
        <v>78</v>
      </c>
      <c r="N8" t="s">
        <v>79</v>
      </c>
      <c r="O8" t="s">
        <v>74</v>
      </c>
      <c r="P8" t="s">
        <v>74</v>
      </c>
      <c r="Q8" t="s">
        <v>74</v>
      </c>
      <c r="R8" t="s">
        <v>74</v>
      </c>
      <c r="S8" t="s">
        <v>74</v>
      </c>
      <c r="T8" t="s">
        <v>245</v>
      </c>
      <c r="U8" t="s">
        <v>246</v>
      </c>
      <c r="V8" t="s">
        <v>247</v>
      </c>
      <c r="W8" t="s">
        <v>248</v>
      </c>
      <c r="X8" t="s">
        <v>249</v>
      </c>
      <c r="Y8" t="s">
        <v>250</v>
      </c>
      <c r="Z8" t="s">
        <v>251</v>
      </c>
      <c r="AA8" t="s">
        <v>74</v>
      </c>
      <c r="AB8" t="s">
        <v>74</v>
      </c>
      <c r="AC8" t="s">
        <v>252</v>
      </c>
      <c r="AD8" t="s">
        <v>253</v>
      </c>
      <c r="AE8" t="s">
        <v>254</v>
      </c>
      <c r="AF8" t="s">
        <v>74</v>
      </c>
      <c r="AG8">
        <v>105</v>
      </c>
      <c r="AH8">
        <v>3</v>
      </c>
      <c r="AI8">
        <v>4</v>
      </c>
      <c r="AJ8">
        <v>6</v>
      </c>
      <c r="AK8">
        <v>28</v>
      </c>
      <c r="AL8" t="s">
        <v>255</v>
      </c>
      <c r="AM8" t="s">
        <v>256</v>
      </c>
      <c r="AN8" t="s">
        <v>257</v>
      </c>
      <c r="AO8" t="s">
        <v>258</v>
      </c>
      <c r="AP8" t="s">
        <v>259</v>
      </c>
      <c r="AQ8" t="s">
        <v>74</v>
      </c>
      <c r="AR8" t="s">
        <v>260</v>
      </c>
      <c r="AS8" t="s">
        <v>261</v>
      </c>
      <c r="AT8" t="s">
        <v>98</v>
      </c>
      <c r="AU8">
        <v>2021</v>
      </c>
      <c r="AV8">
        <v>194</v>
      </c>
      <c r="AW8" t="s">
        <v>74</v>
      </c>
      <c r="AX8" t="s">
        <v>74</v>
      </c>
      <c r="AY8" t="s">
        <v>74</v>
      </c>
      <c r="AZ8" t="s">
        <v>74</v>
      </c>
      <c r="BA8" t="s">
        <v>74</v>
      </c>
      <c r="BB8" t="s">
        <v>74</v>
      </c>
      <c r="BC8" t="s">
        <v>74</v>
      </c>
      <c r="BD8">
        <v>104960</v>
      </c>
      <c r="BE8" t="s">
        <v>262</v>
      </c>
      <c r="BF8" t="str">
        <f>HYPERLINK("http://dx.doi.org/10.1016/j.dsr2.2021.104960","http://dx.doi.org/10.1016/j.dsr2.2021.104960")</f>
        <v>http://dx.doi.org/10.1016/j.dsr2.2021.104960</v>
      </c>
      <c r="BG8" t="s">
        <v>74</v>
      </c>
      <c r="BH8" t="s">
        <v>263</v>
      </c>
      <c r="BI8">
        <v>10</v>
      </c>
      <c r="BJ8" t="s">
        <v>264</v>
      </c>
      <c r="BK8" t="s">
        <v>101</v>
      </c>
      <c r="BL8" t="s">
        <v>264</v>
      </c>
      <c r="BM8" t="s">
        <v>265</v>
      </c>
      <c r="BN8" t="s">
        <v>74</v>
      </c>
      <c r="BO8" t="s">
        <v>74</v>
      </c>
      <c r="BP8" t="s">
        <v>74</v>
      </c>
      <c r="BQ8" t="s">
        <v>74</v>
      </c>
      <c r="BR8" t="s">
        <v>105</v>
      </c>
      <c r="BS8" t="s">
        <v>266</v>
      </c>
      <c r="BT8" t="str">
        <f>HYPERLINK("https%3A%2F%2Fwww.webofscience.com%2Fwos%2Fwoscc%2Ffull-record%2FWOS:000725479300002","View Full Record in Web of Science")</f>
        <v>View Full Record in Web of Science</v>
      </c>
    </row>
    <row r="9" spans="1:72" x14ac:dyDescent="0.15">
      <c r="A9" t="s">
        <v>72</v>
      </c>
      <c r="B9" t="s">
        <v>267</v>
      </c>
      <c r="C9" t="s">
        <v>74</v>
      </c>
      <c r="D9" t="s">
        <v>74</v>
      </c>
      <c r="E9" t="s">
        <v>74</v>
      </c>
      <c r="F9" t="s">
        <v>268</v>
      </c>
      <c r="G9" t="s">
        <v>74</v>
      </c>
      <c r="H9" t="s">
        <v>74</v>
      </c>
      <c r="I9" t="s">
        <v>269</v>
      </c>
      <c r="J9" t="s">
        <v>270</v>
      </c>
      <c r="K9" t="s">
        <v>74</v>
      </c>
      <c r="L9" t="s">
        <v>74</v>
      </c>
      <c r="M9" t="s">
        <v>78</v>
      </c>
      <c r="N9" t="s">
        <v>79</v>
      </c>
      <c r="O9" t="s">
        <v>74</v>
      </c>
      <c r="P9" t="s">
        <v>74</v>
      </c>
      <c r="Q9" t="s">
        <v>74</v>
      </c>
      <c r="R9" t="s">
        <v>74</v>
      </c>
      <c r="S9" t="s">
        <v>74</v>
      </c>
      <c r="T9" t="s">
        <v>74</v>
      </c>
      <c r="U9" t="s">
        <v>271</v>
      </c>
      <c r="V9" t="s">
        <v>272</v>
      </c>
      <c r="W9" t="s">
        <v>273</v>
      </c>
      <c r="X9" t="s">
        <v>274</v>
      </c>
      <c r="Y9" t="s">
        <v>275</v>
      </c>
      <c r="Z9" t="s">
        <v>276</v>
      </c>
      <c r="AA9" t="s">
        <v>277</v>
      </c>
      <c r="AB9" t="s">
        <v>278</v>
      </c>
      <c r="AC9" t="s">
        <v>279</v>
      </c>
      <c r="AD9" t="s">
        <v>280</v>
      </c>
      <c r="AE9" t="s">
        <v>281</v>
      </c>
      <c r="AF9" t="s">
        <v>74</v>
      </c>
      <c r="AG9">
        <v>204</v>
      </c>
      <c r="AH9">
        <v>10</v>
      </c>
      <c r="AI9">
        <v>10</v>
      </c>
      <c r="AJ9">
        <v>3</v>
      </c>
      <c r="AK9">
        <v>30</v>
      </c>
      <c r="AL9" t="s">
        <v>227</v>
      </c>
      <c r="AM9" t="s">
        <v>228</v>
      </c>
      <c r="AN9" t="s">
        <v>229</v>
      </c>
      <c r="AO9" t="s">
        <v>282</v>
      </c>
      <c r="AP9" t="s">
        <v>283</v>
      </c>
      <c r="AQ9" t="s">
        <v>74</v>
      </c>
      <c r="AR9" t="s">
        <v>284</v>
      </c>
      <c r="AS9" t="s">
        <v>285</v>
      </c>
      <c r="AT9" t="s">
        <v>234</v>
      </c>
      <c r="AU9">
        <v>2021</v>
      </c>
      <c r="AV9">
        <v>12</v>
      </c>
      <c r="AW9">
        <v>4</v>
      </c>
      <c r="AX9" t="s">
        <v>74</v>
      </c>
      <c r="AY9" t="s">
        <v>74</v>
      </c>
      <c r="AZ9" t="s">
        <v>74</v>
      </c>
      <c r="BA9" t="s">
        <v>74</v>
      </c>
      <c r="BB9">
        <v>1295</v>
      </c>
      <c r="BC9">
        <v>1369</v>
      </c>
      <c r="BD9" t="s">
        <v>74</v>
      </c>
      <c r="BE9" t="s">
        <v>286</v>
      </c>
      <c r="BF9" t="str">
        <f>HYPERLINK("http://dx.doi.org/10.5194/esd-12-1295-2021","http://dx.doi.org/10.5194/esd-12-1295-2021")</f>
        <v>http://dx.doi.org/10.5194/esd-12-1295-2021</v>
      </c>
      <c r="BG9" t="s">
        <v>74</v>
      </c>
      <c r="BH9" t="s">
        <v>74</v>
      </c>
      <c r="BI9">
        <v>75</v>
      </c>
      <c r="BJ9" t="s">
        <v>236</v>
      </c>
      <c r="BK9" t="s">
        <v>101</v>
      </c>
      <c r="BL9" t="s">
        <v>237</v>
      </c>
      <c r="BM9" t="s">
        <v>287</v>
      </c>
      <c r="BN9" t="s">
        <v>74</v>
      </c>
      <c r="BO9" t="s">
        <v>288</v>
      </c>
      <c r="BP9" t="s">
        <v>74</v>
      </c>
      <c r="BQ9" t="s">
        <v>74</v>
      </c>
      <c r="BR9" t="s">
        <v>105</v>
      </c>
      <c r="BS9" t="s">
        <v>289</v>
      </c>
      <c r="BT9" t="str">
        <f>HYPERLINK("https%3A%2F%2Fwww.webofscience.com%2Fwos%2Fwoscc%2Ffull-record%2FWOS:000723912200001","View Full Record in Web of Science")</f>
        <v>View Full Record in Web of Science</v>
      </c>
    </row>
    <row r="10" spans="1:72" x14ac:dyDescent="0.15">
      <c r="A10" t="s">
        <v>72</v>
      </c>
      <c r="B10" t="s">
        <v>290</v>
      </c>
      <c r="C10" t="s">
        <v>74</v>
      </c>
      <c r="D10" t="s">
        <v>74</v>
      </c>
      <c r="E10" t="s">
        <v>74</v>
      </c>
      <c r="F10" t="s">
        <v>291</v>
      </c>
      <c r="G10" t="s">
        <v>74</v>
      </c>
      <c r="H10" t="s">
        <v>74</v>
      </c>
      <c r="I10" t="s">
        <v>292</v>
      </c>
      <c r="J10" t="s">
        <v>293</v>
      </c>
      <c r="K10" t="s">
        <v>74</v>
      </c>
      <c r="L10" t="s">
        <v>74</v>
      </c>
      <c r="M10" t="s">
        <v>78</v>
      </c>
      <c r="N10" t="s">
        <v>79</v>
      </c>
      <c r="O10" t="s">
        <v>74</v>
      </c>
      <c r="P10" t="s">
        <v>74</v>
      </c>
      <c r="Q10" t="s">
        <v>74</v>
      </c>
      <c r="R10" t="s">
        <v>74</v>
      </c>
      <c r="S10" t="s">
        <v>74</v>
      </c>
      <c r="T10" t="s">
        <v>294</v>
      </c>
      <c r="U10" t="s">
        <v>295</v>
      </c>
      <c r="V10" t="s">
        <v>296</v>
      </c>
      <c r="W10" t="s">
        <v>297</v>
      </c>
      <c r="X10" t="s">
        <v>298</v>
      </c>
      <c r="Y10" t="s">
        <v>299</v>
      </c>
      <c r="Z10" t="s">
        <v>300</v>
      </c>
      <c r="AA10" t="s">
        <v>301</v>
      </c>
      <c r="AB10" t="s">
        <v>302</v>
      </c>
      <c r="AC10" t="s">
        <v>303</v>
      </c>
      <c r="AD10" t="s">
        <v>304</v>
      </c>
      <c r="AE10" t="s">
        <v>305</v>
      </c>
      <c r="AF10" t="s">
        <v>74</v>
      </c>
      <c r="AG10">
        <v>47</v>
      </c>
      <c r="AH10">
        <v>44</v>
      </c>
      <c r="AI10">
        <v>47</v>
      </c>
      <c r="AJ10">
        <v>14</v>
      </c>
      <c r="AK10">
        <v>118</v>
      </c>
      <c r="AL10" t="s">
        <v>169</v>
      </c>
      <c r="AM10" t="s">
        <v>170</v>
      </c>
      <c r="AN10" t="s">
        <v>171</v>
      </c>
      <c r="AO10" t="s">
        <v>306</v>
      </c>
      <c r="AP10" t="s">
        <v>307</v>
      </c>
      <c r="AQ10" t="s">
        <v>74</v>
      </c>
      <c r="AR10" t="s">
        <v>308</v>
      </c>
      <c r="AS10" t="s">
        <v>309</v>
      </c>
      <c r="AT10" t="s">
        <v>310</v>
      </c>
      <c r="AU10">
        <v>2021</v>
      </c>
      <c r="AV10">
        <v>111</v>
      </c>
      <c r="AW10">
        <v>1</v>
      </c>
      <c r="AX10" t="s">
        <v>74</v>
      </c>
      <c r="AY10" t="s">
        <v>74</v>
      </c>
      <c r="AZ10" t="s">
        <v>74</v>
      </c>
      <c r="BA10" t="s">
        <v>74</v>
      </c>
      <c r="BB10">
        <v>573</v>
      </c>
      <c r="BC10">
        <v>588</v>
      </c>
      <c r="BD10" t="s">
        <v>74</v>
      </c>
      <c r="BE10" t="s">
        <v>311</v>
      </c>
      <c r="BF10" t="str">
        <f>HYPERLINK("http://dx.doi.org/10.1007/s13225-021-00493-7","http://dx.doi.org/10.1007/s13225-021-00493-7")</f>
        <v>http://dx.doi.org/10.1007/s13225-021-00493-7</v>
      </c>
      <c r="BG10" t="s">
        <v>74</v>
      </c>
      <c r="BH10" t="s">
        <v>263</v>
      </c>
      <c r="BI10">
        <v>16</v>
      </c>
      <c r="BJ10" t="s">
        <v>312</v>
      </c>
      <c r="BK10" t="s">
        <v>101</v>
      </c>
      <c r="BL10" t="s">
        <v>312</v>
      </c>
      <c r="BM10" t="s">
        <v>313</v>
      </c>
      <c r="BN10" t="s">
        <v>74</v>
      </c>
      <c r="BO10" t="s">
        <v>314</v>
      </c>
      <c r="BP10" t="s">
        <v>74</v>
      </c>
      <c r="BQ10" t="s">
        <v>74</v>
      </c>
      <c r="BR10" t="s">
        <v>105</v>
      </c>
      <c r="BS10" t="s">
        <v>315</v>
      </c>
      <c r="BT10" t="str">
        <f>HYPERLINK("https%3A%2F%2Fwww.webofscience.com%2Fwos%2Fwoscc%2Ffull-record%2FWOS:000723974500001","View Full Record in Web of Science")</f>
        <v>View Full Record in Web of Science</v>
      </c>
    </row>
    <row r="11" spans="1:72" x14ac:dyDescent="0.15">
      <c r="A11" t="s">
        <v>72</v>
      </c>
      <c r="B11" t="s">
        <v>316</v>
      </c>
      <c r="C11" t="s">
        <v>74</v>
      </c>
      <c r="D11" t="s">
        <v>74</v>
      </c>
      <c r="E11" t="s">
        <v>74</v>
      </c>
      <c r="F11" t="s">
        <v>317</v>
      </c>
      <c r="G11" t="s">
        <v>74</v>
      </c>
      <c r="H11" t="s">
        <v>74</v>
      </c>
      <c r="I11" t="s">
        <v>318</v>
      </c>
      <c r="J11" t="s">
        <v>319</v>
      </c>
      <c r="K11" t="s">
        <v>74</v>
      </c>
      <c r="L11" t="s">
        <v>74</v>
      </c>
      <c r="M11" t="s">
        <v>78</v>
      </c>
      <c r="N11" t="s">
        <v>79</v>
      </c>
      <c r="O11" t="s">
        <v>74</v>
      </c>
      <c r="P11" t="s">
        <v>74</v>
      </c>
      <c r="Q11" t="s">
        <v>74</v>
      </c>
      <c r="R11" t="s">
        <v>74</v>
      </c>
      <c r="S11" t="s">
        <v>74</v>
      </c>
      <c r="T11" t="s">
        <v>320</v>
      </c>
      <c r="U11" t="s">
        <v>321</v>
      </c>
      <c r="V11" t="s">
        <v>322</v>
      </c>
      <c r="W11" t="s">
        <v>323</v>
      </c>
      <c r="X11" t="s">
        <v>324</v>
      </c>
      <c r="Y11" t="s">
        <v>325</v>
      </c>
      <c r="Z11" t="s">
        <v>326</v>
      </c>
      <c r="AA11" t="s">
        <v>327</v>
      </c>
      <c r="AB11" t="s">
        <v>328</v>
      </c>
      <c r="AC11" t="s">
        <v>329</v>
      </c>
      <c r="AD11" t="s">
        <v>330</v>
      </c>
      <c r="AE11" t="s">
        <v>331</v>
      </c>
      <c r="AF11" t="s">
        <v>74</v>
      </c>
      <c r="AG11">
        <v>73</v>
      </c>
      <c r="AH11">
        <v>5</v>
      </c>
      <c r="AI11">
        <v>5</v>
      </c>
      <c r="AJ11">
        <v>2</v>
      </c>
      <c r="AK11">
        <v>8</v>
      </c>
      <c r="AL11" t="s">
        <v>332</v>
      </c>
      <c r="AM11" t="s">
        <v>333</v>
      </c>
      <c r="AN11" t="s">
        <v>334</v>
      </c>
      <c r="AO11" t="s">
        <v>335</v>
      </c>
      <c r="AP11" t="s">
        <v>336</v>
      </c>
      <c r="AQ11" t="s">
        <v>74</v>
      </c>
      <c r="AR11" t="s">
        <v>319</v>
      </c>
      <c r="AS11" t="s">
        <v>337</v>
      </c>
      <c r="AT11" t="s">
        <v>338</v>
      </c>
      <c r="AU11">
        <v>2022</v>
      </c>
      <c r="AV11">
        <v>32</v>
      </c>
      <c r="AW11">
        <v>3</v>
      </c>
      <c r="AX11" t="s">
        <v>74</v>
      </c>
      <c r="AY11" t="s">
        <v>74</v>
      </c>
      <c r="AZ11" t="s">
        <v>74</v>
      </c>
      <c r="BA11" t="s">
        <v>74</v>
      </c>
      <c r="BB11">
        <v>147</v>
      </c>
      <c r="BC11">
        <v>158</v>
      </c>
      <c r="BD11" t="s">
        <v>74</v>
      </c>
      <c r="BE11" t="s">
        <v>339</v>
      </c>
      <c r="BF11" t="str">
        <f>HYPERLINK("http://dx.doi.org/10.1177/09596836211060495","http://dx.doi.org/10.1177/09596836211060495")</f>
        <v>http://dx.doi.org/10.1177/09596836211060495</v>
      </c>
      <c r="BG11" t="s">
        <v>74</v>
      </c>
      <c r="BH11" t="s">
        <v>263</v>
      </c>
      <c r="BI11">
        <v>12</v>
      </c>
      <c r="BJ11" t="s">
        <v>340</v>
      </c>
      <c r="BK11" t="s">
        <v>101</v>
      </c>
      <c r="BL11" t="s">
        <v>341</v>
      </c>
      <c r="BM11" t="s">
        <v>342</v>
      </c>
      <c r="BN11" t="s">
        <v>74</v>
      </c>
      <c r="BO11" t="s">
        <v>343</v>
      </c>
      <c r="BP11" t="s">
        <v>74</v>
      </c>
      <c r="BQ11" t="s">
        <v>74</v>
      </c>
      <c r="BR11" t="s">
        <v>105</v>
      </c>
      <c r="BS11" t="s">
        <v>344</v>
      </c>
      <c r="BT11" t="str">
        <f>HYPERLINK("https%3A%2F%2Fwww.webofscience.com%2Fwos%2Fwoscc%2Ffull-record%2FWOS:000726604600001","View Full Record in Web of Science")</f>
        <v>View Full Record in Web of Science</v>
      </c>
    </row>
    <row r="12" spans="1:72" x14ac:dyDescent="0.15">
      <c r="A12" t="s">
        <v>72</v>
      </c>
      <c r="B12" t="s">
        <v>345</v>
      </c>
      <c r="C12" t="s">
        <v>74</v>
      </c>
      <c r="D12" t="s">
        <v>74</v>
      </c>
      <c r="E12" t="s">
        <v>74</v>
      </c>
      <c r="F12" t="s">
        <v>346</v>
      </c>
      <c r="G12" t="s">
        <v>74</v>
      </c>
      <c r="H12" t="s">
        <v>74</v>
      </c>
      <c r="I12" t="s">
        <v>347</v>
      </c>
      <c r="J12" t="s">
        <v>348</v>
      </c>
      <c r="K12" t="s">
        <v>74</v>
      </c>
      <c r="L12" t="s">
        <v>74</v>
      </c>
      <c r="M12" t="s">
        <v>78</v>
      </c>
      <c r="N12" t="s">
        <v>79</v>
      </c>
      <c r="O12" t="s">
        <v>74</v>
      </c>
      <c r="P12" t="s">
        <v>74</v>
      </c>
      <c r="Q12" t="s">
        <v>74</v>
      </c>
      <c r="R12" t="s">
        <v>74</v>
      </c>
      <c r="S12" t="s">
        <v>74</v>
      </c>
      <c r="T12" t="s">
        <v>349</v>
      </c>
      <c r="U12" t="s">
        <v>350</v>
      </c>
      <c r="V12" t="s">
        <v>351</v>
      </c>
      <c r="W12" t="s">
        <v>352</v>
      </c>
      <c r="X12" t="s">
        <v>353</v>
      </c>
      <c r="Y12" t="s">
        <v>354</v>
      </c>
      <c r="Z12" t="s">
        <v>355</v>
      </c>
      <c r="AA12" t="s">
        <v>74</v>
      </c>
      <c r="AB12" t="s">
        <v>74</v>
      </c>
      <c r="AC12" t="s">
        <v>356</v>
      </c>
      <c r="AD12" t="s">
        <v>357</v>
      </c>
      <c r="AE12" t="s">
        <v>358</v>
      </c>
      <c r="AF12" t="s">
        <v>74</v>
      </c>
      <c r="AG12">
        <v>151</v>
      </c>
      <c r="AH12">
        <v>3</v>
      </c>
      <c r="AI12">
        <v>3</v>
      </c>
      <c r="AJ12">
        <v>1</v>
      </c>
      <c r="AK12">
        <v>6</v>
      </c>
      <c r="AL12" t="s">
        <v>255</v>
      </c>
      <c r="AM12" t="s">
        <v>256</v>
      </c>
      <c r="AN12" t="s">
        <v>257</v>
      </c>
      <c r="AO12" t="s">
        <v>359</v>
      </c>
      <c r="AP12" t="s">
        <v>360</v>
      </c>
      <c r="AQ12" t="s">
        <v>74</v>
      </c>
      <c r="AR12" t="s">
        <v>361</v>
      </c>
      <c r="AS12" t="s">
        <v>362</v>
      </c>
      <c r="AT12" t="s">
        <v>363</v>
      </c>
      <c r="AU12">
        <v>2022</v>
      </c>
      <c r="AV12">
        <v>317</v>
      </c>
      <c r="AW12" t="s">
        <v>74</v>
      </c>
      <c r="AX12" t="s">
        <v>74</v>
      </c>
      <c r="AY12" t="s">
        <v>74</v>
      </c>
      <c r="AZ12" t="s">
        <v>74</v>
      </c>
      <c r="BA12" t="s">
        <v>74</v>
      </c>
      <c r="BB12">
        <v>286</v>
      </c>
      <c r="BC12">
        <v>305</v>
      </c>
      <c r="BD12" t="s">
        <v>74</v>
      </c>
      <c r="BE12" t="s">
        <v>364</v>
      </c>
      <c r="BF12" t="str">
        <f>HYPERLINK("http://dx.doi.org/10.1016/j.gca.2021.11.018","http://dx.doi.org/10.1016/j.gca.2021.11.018")</f>
        <v>http://dx.doi.org/10.1016/j.gca.2021.11.018</v>
      </c>
      <c r="BG12" t="s">
        <v>74</v>
      </c>
      <c r="BH12" t="s">
        <v>263</v>
      </c>
      <c r="BI12">
        <v>20</v>
      </c>
      <c r="BJ12" t="s">
        <v>365</v>
      </c>
      <c r="BK12" t="s">
        <v>101</v>
      </c>
      <c r="BL12" t="s">
        <v>365</v>
      </c>
      <c r="BM12" t="s">
        <v>366</v>
      </c>
      <c r="BN12" t="s">
        <v>74</v>
      </c>
      <c r="BO12" t="s">
        <v>367</v>
      </c>
      <c r="BP12" t="s">
        <v>74</v>
      </c>
      <c r="BQ12" t="s">
        <v>74</v>
      </c>
      <c r="BR12" t="s">
        <v>105</v>
      </c>
      <c r="BS12" t="s">
        <v>368</v>
      </c>
      <c r="BT12" t="str">
        <f>HYPERLINK("https%3A%2F%2Fwww.webofscience.com%2Fwos%2Fwoscc%2Ffull-record%2FWOS:000744118300008","View Full Record in Web of Science")</f>
        <v>View Full Record in Web of Science</v>
      </c>
    </row>
    <row r="13" spans="1:72" x14ac:dyDescent="0.15">
      <c r="A13" t="s">
        <v>72</v>
      </c>
      <c r="B13" t="s">
        <v>369</v>
      </c>
      <c r="C13" t="s">
        <v>74</v>
      </c>
      <c r="D13" t="s">
        <v>74</v>
      </c>
      <c r="E13" t="s">
        <v>74</v>
      </c>
      <c r="F13" t="s">
        <v>370</v>
      </c>
      <c r="G13" t="s">
        <v>74</v>
      </c>
      <c r="H13" t="s">
        <v>74</v>
      </c>
      <c r="I13" t="s">
        <v>371</v>
      </c>
      <c r="J13" t="s">
        <v>372</v>
      </c>
      <c r="K13" t="s">
        <v>74</v>
      </c>
      <c r="L13" t="s">
        <v>74</v>
      </c>
      <c r="M13" t="s">
        <v>78</v>
      </c>
      <c r="N13" t="s">
        <v>373</v>
      </c>
      <c r="O13" t="s">
        <v>74</v>
      </c>
      <c r="P13" t="s">
        <v>74</v>
      </c>
      <c r="Q13" t="s">
        <v>74</v>
      </c>
      <c r="R13" t="s">
        <v>74</v>
      </c>
      <c r="S13" t="s">
        <v>74</v>
      </c>
      <c r="T13" t="s">
        <v>374</v>
      </c>
      <c r="U13" t="s">
        <v>375</v>
      </c>
      <c r="V13" t="s">
        <v>376</v>
      </c>
      <c r="W13" t="s">
        <v>377</v>
      </c>
      <c r="X13" t="s">
        <v>378</v>
      </c>
      <c r="Y13" t="s">
        <v>379</v>
      </c>
      <c r="Z13" t="s">
        <v>380</v>
      </c>
      <c r="AA13" t="s">
        <v>381</v>
      </c>
      <c r="AB13" t="s">
        <v>382</v>
      </c>
      <c r="AC13" t="s">
        <v>74</v>
      </c>
      <c r="AD13" t="s">
        <v>74</v>
      </c>
      <c r="AE13" t="s">
        <v>74</v>
      </c>
      <c r="AF13" t="s">
        <v>74</v>
      </c>
      <c r="AG13">
        <v>149</v>
      </c>
      <c r="AH13">
        <v>20</v>
      </c>
      <c r="AI13">
        <v>20</v>
      </c>
      <c r="AJ13">
        <v>13</v>
      </c>
      <c r="AK13">
        <v>55</v>
      </c>
      <c r="AL13" t="s">
        <v>383</v>
      </c>
      <c r="AM13" t="s">
        <v>384</v>
      </c>
      <c r="AN13" t="s">
        <v>385</v>
      </c>
      <c r="AO13" t="s">
        <v>74</v>
      </c>
      <c r="AP13" t="s">
        <v>386</v>
      </c>
      <c r="AQ13" t="s">
        <v>74</v>
      </c>
      <c r="AR13" t="s">
        <v>387</v>
      </c>
      <c r="AS13" t="s">
        <v>388</v>
      </c>
      <c r="AT13" t="s">
        <v>389</v>
      </c>
      <c r="AU13">
        <v>2021</v>
      </c>
      <c r="AV13">
        <v>8</v>
      </c>
      <c r="AW13" t="s">
        <v>74</v>
      </c>
      <c r="AX13" t="s">
        <v>74</v>
      </c>
      <c r="AY13" t="s">
        <v>74</v>
      </c>
      <c r="AZ13" t="s">
        <v>74</v>
      </c>
      <c r="BA13" t="s">
        <v>74</v>
      </c>
      <c r="BB13" t="s">
        <v>74</v>
      </c>
      <c r="BC13" t="s">
        <v>74</v>
      </c>
      <c r="BD13">
        <v>780052</v>
      </c>
      <c r="BE13" t="s">
        <v>390</v>
      </c>
      <c r="BF13" t="str">
        <f>HYPERLINK("http://dx.doi.org/10.3389/fmars.2021.780052","http://dx.doi.org/10.3389/fmars.2021.780052")</f>
        <v>http://dx.doi.org/10.3389/fmars.2021.780052</v>
      </c>
      <c r="BG13" t="s">
        <v>74</v>
      </c>
      <c r="BH13" t="s">
        <v>74</v>
      </c>
      <c r="BI13">
        <v>21</v>
      </c>
      <c r="BJ13" t="s">
        <v>391</v>
      </c>
      <c r="BK13" t="s">
        <v>101</v>
      </c>
      <c r="BL13" t="s">
        <v>392</v>
      </c>
      <c r="BM13" t="s">
        <v>393</v>
      </c>
      <c r="BN13" t="s">
        <v>74</v>
      </c>
      <c r="BO13" t="s">
        <v>394</v>
      </c>
      <c r="BP13" t="s">
        <v>74</v>
      </c>
      <c r="BQ13" t="s">
        <v>74</v>
      </c>
      <c r="BR13" t="s">
        <v>105</v>
      </c>
      <c r="BS13" t="s">
        <v>395</v>
      </c>
      <c r="BT13" t="str">
        <f>HYPERLINK("https%3A%2F%2Fwww.webofscience.com%2Fwos%2Fwoscc%2Ffull-record%2FWOS:000743783700001","View Full Record in Web of Science")</f>
        <v>View Full Record in Web of Science</v>
      </c>
    </row>
    <row r="14" spans="1:72" x14ac:dyDescent="0.15">
      <c r="A14" t="s">
        <v>72</v>
      </c>
      <c r="B14" t="s">
        <v>396</v>
      </c>
      <c r="C14" t="s">
        <v>74</v>
      </c>
      <c r="D14" t="s">
        <v>74</v>
      </c>
      <c r="E14" t="s">
        <v>74</v>
      </c>
      <c r="F14" t="s">
        <v>397</v>
      </c>
      <c r="G14" t="s">
        <v>74</v>
      </c>
      <c r="H14" t="s">
        <v>74</v>
      </c>
      <c r="I14" t="s">
        <v>398</v>
      </c>
      <c r="J14" t="s">
        <v>399</v>
      </c>
      <c r="K14" t="s">
        <v>74</v>
      </c>
      <c r="L14" t="s">
        <v>74</v>
      </c>
      <c r="M14" t="s">
        <v>78</v>
      </c>
      <c r="N14" t="s">
        <v>79</v>
      </c>
      <c r="O14" t="s">
        <v>74</v>
      </c>
      <c r="P14" t="s">
        <v>74</v>
      </c>
      <c r="Q14" t="s">
        <v>74</v>
      </c>
      <c r="R14" t="s">
        <v>74</v>
      </c>
      <c r="S14" t="s">
        <v>74</v>
      </c>
      <c r="T14" t="s">
        <v>400</v>
      </c>
      <c r="U14" t="s">
        <v>401</v>
      </c>
      <c r="V14" t="s">
        <v>402</v>
      </c>
      <c r="W14" t="s">
        <v>403</v>
      </c>
      <c r="X14" t="s">
        <v>404</v>
      </c>
      <c r="Y14" t="s">
        <v>405</v>
      </c>
      <c r="Z14" t="s">
        <v>406</v>
      </c>
      <c r="AA14" t="s">
        <v>407</v>
      </c>
      <c r="AB14" t="s">
        <v>408</v>
      </c>
      <c r="AC14" t="s">
        <v>409</v>
      </c>
      <c r="AD14" t="s">
        <v>410</v>
      </c>
      <c r="AE14" t="s">
        <v>411</v>
      </c>
      <c r="AF14" t="s">
        <v>74</v>
      </c>
      <c r="AG14">
        <v>68</v>
      </c>
      <c r="AH14">
        <v>4</v>
      </c>
      <c r="AI14">
        <v>4</v>
      </c>
      <c r="AJ14">
        <v>1</v>
      </c>
      <c r="AK14">
        <v>8</v>
      </c>
      <c r="AL14" t="s">
        <v>255</v>
      </c>
      <c r="AM14" t="s">
        <v>256</v>
      </c>
      <c r="AN14" t="s">
        <v>257</v>
      </c>
      <c r="AO14" t="s">
        <v>412</v>
      </c>
      <c r="AP14" t="s">
        <v>413</v>
      </c>
      <c r="AQ14" t="s">
        <v>74</v>
      </c>
      <c r="AR14" t="s">
        <v>414</v>
      </c>
      <c r="AS14" t="s">
        <v>415</v>
      </c>
      <c r="AT14" t="s">
        <v>416</v>
      </c>
      <c r="AU14">
        <v>2022</v>
      </c>
      <c r="AV14">
        <v>174</v>
      </c>
      <c r="AW14" t="s">
        <v>74</v>
      </c>
      <c r="AX14" t="s">
        <v>74</v>
      </c>
      <c r="AY14" t="s">
        <v>74</v>
      </c>
      <c r="AZ14" t="s">
        <v>74</v>
      </c>
      <c r="BA14" t="s">
        <v>74</v>
      </c>
      <c r="BB14" t="s">
        <v>74</v>
      </c>
      <c r="BC14" t="s">
        <v>74</v>
      </c>
      <c r="BD14">
        <v>113184</v>
      </c>
      <c r="BE14" t="s">
        <v>417</v>
      </c>
      <c r="BF14" t="str">
        <f>HYPERLINK("http://dx.doi.org/10.1016/j.marpolbul.2021.113184","http://dx.doi.org/10.1016/j.marpolbul.2021.113184")</f>
        <v>http://dx.doi.org/10.1016/j.marpolbul.2021.113184</v>
      </c>
      <c r="BG14" t="s">
        <v>74</v>
      </c>
      <c r="BH14" t="s">
        <v>263</v>
      </c>
      <c r="BI14">
        <v>10</v>
      </c>
      <c r="BJ14" t="s">
        <v>391</v>
      </c>
      <c r="BK14" t="s">
        <v>101</v>
      </c>
      <c r="BL14" t="s">
        <v>392</v>
      </c>
      <c r="BM14" t="s">
        <v>418</v>
      </c>
      <c r="BN14">
        <v>34856432</v>
      </c>
      <c r="BO14" t="s">
        <v>419</v>
      </c>
      <c r="BP14" t="s">
        <v>74</v>
      </c>
      <c r="BQ14" t="s">
        <v>74</v>
      </c>
      <c r="BR14" t="s">
        <v>105</v>
      </c>
      <c r="BS14" t="s">
        <v>420</v>
      </c>
      <c r="BT14" t="str">
        <f>HYPERLINK("https%3A%2F%2Fwww.webofscience.com%2Fwos%2Fwoscc%2Ffull-record%2FWOS:000737260800011","View Full Record in Web of Science")</f>
        <v>View Full Record in Web of Science</v>
      </c>
    </row>
    <row r="15" spans="1:72" x14ac:dyDescent="0.15">
      <c r="A15" t="s">
        <v>72</v>
      </c>
      <c r="B15" t="s">
        <v>421</v>
      </c>
      <c r="C15" t="s">
        <v>74</v>
      </c>
      <c r="D15" t="s">
        <v>74</v>
      </c>
      <c r="E15" t="s">
        <v>74</v>
      </c>
      <c r="F15" t="s">
        <v>422</v>
      </c>
      <c r="G15" t="s">
        <v>74</v>
      </c>
      <c r="H15" t="s">
        <v>74</v>
      </c>
      <c r="I15" t="s">
        <v>423</v>
      </c>
      <c r="J15" t="s">
        <v>424</v>
      </c>
      <c r="K15" t="s">
        <v>74</v>
      </c>
      <c r="L15" t="s">
        <v>74</v>
      </c>
      <c r="M15" t="s">
        <v>78</v>
      </c>
      <c r="N15" t="s">
        <v>425</v>
      </c>
      <c r="O15" t="s">
        <v>74</v>
      </c>
      <c r="P15" t="s">
        <v>74</v>
      </c>
      <c r="Q15" t="s">
        <v>74</v>
      </c>
      <c r="R15" t="s">
        <v>74</v>
      </c>
      <c r="S15" t="s">
        <v>74</v>
      </c>
      <c r="T15" t="s">
        <v>74</v>
      </c>
      <c r="U15" t="s">
        <v>426</v>
      </c>
      <c r="V15" t="s">
        <v>427</v>
      </c>
      <c r="W15" t="s">
        <v>428</v>
      </c>
      <c r="X15" t="s">
        <v>429</v>
      </c>
      <c r="Y15" t="s">
        <v>430</v>
      </c>
      <c r="Z15" t="s">
        <v>431</v>
      </c>
      <c r="AA15" t="s">
        <v>432</v>
      </c>
      <c r="AB15" t="s">
        <v>433</v>
      </c>
      <c r="AC15" t="s">
        <v>434</v>
      </c>
      <c r="AD15" t="s">
        <v>435</v>
      </c>
      <c r="AE15" t="s">
        <v>436</v>
      </c>
      <c r="AF15" t="s">
        <v>74</v>
      </c>
      <c r="AG15">
        <v>28</v>
      </c>
      <c r="AH15">
        <v>11</v>
      </c>
      <c r="AI15">
        <v>14</v>
      </c>
      <c r="AJ15">
        <v>7</v>
      </c>
      <c r="AK15">
        <v>48</v>
      </c>
      <c r="AL15" t="s">
        <v>437</v>
      </c>
      <c r="AM15" t="s">
        <v>438</v>
      </c>
      <c r="AN15" t="s">
        <v>439</v>
      </c>
      <c r="AO15" t="s">
        <v>440</v>
      </c>
      <c r="AP15" t="s">
        <v>441</v>
      </c>
      <c r="AQ15" t="s">
        <v>74</v>
      </c>
      <c r="AR15" t="s">
        <v>442</v>
      </c>
      <c r="AS15" t="s">
        <v>443</v>
      </c>
      <c r="AT15" t="s">
        <v>444</v>
      </c>
      <c r="AU15">
        <v>2021</v>
      </c>
      <c r="AV15" t="s">
        <v>74</v>
      </c>
      <c r="AW15" t="s">
        <v>74</v>
      </c>
      <c r="AX15" t="s">
        <v>74</v>
      </c>
      <c r="AY15" t="s">
        <v>74</v>
      </c>
      <c r="AZ15" t="s">
        <v>74</v>
      </c>
      <c r="BA15" t="s">
        <v>74</v>
      </c>
      <c r="BB15" t="s">
        <v>74</v>
      </c>
      <c r="BC15" t="s">
        <v>74</v>
      </c>
      <c r="BD15" t="s">
        <v>74</v>
      </c>
      <c r="BE15" t="s">
        <v>445</v>
      </c>
      <c r="BF15" t="str">
        <f>HYPERLINK("http://dx.doi.org/10.1021/acs.jnatprod.100203","http://dx.doi.org/10.1021/acs.jnatprod.100203")</f>
        <v>http://dx.doi.org/10.1021/acs.jnatprod.100203</v>
      </c>
      <c r="BG15" t="s">
        <v>74</v>
      </c>
      <c r="BH15" t="s">
        <v>263</v>
      </c>
      <c r="BI15">
        <v>9</v>
      </c>
      <c r="BJ15" t="s">
        <v>446</v>
      </c>
      <c r="BK15" t="s">
        <v>101</v>
      </c>
      <c r="BL15" t="s">
        <v>447</v>
      </c>
      <c r="BM15" t="s">
        <v>448</v>
      </c>
      <c r="BN15" t="s">
        <v>74</v>
      </c>
      <c r="BO15" t="s">
        <v>74</v>
      </c>
      <c r="BP15" t="s">
        <v>74</v>
      </c>
      <c r="BQ15" t="s">
        <v>74</v>
      </c>
      <c r="BR15" t="s">
        <v>105</v>
      </c>
      <c r="BS15" t="s">
        <v>449</v>
      </c>
      <c r="BT15" t="str">
        <f>HYPERLINK("https%3A%2F%2Fwww.webofscience.com%2Fwos%2Fwoscc%2Ffull-record%2FWOS:000734461400001","View Full Record in Web of Science")</f>
        <v>View Full Record in Web of Science</v>
      </c>
    </row>
    <row r="16" spans="1:72" x14ac:dyDescent="0.15">
      <c r="A16" t="s">
        <v>72</v>
      </c>
      <c r="B16" t="s">
        <v>450</v>
      </c>
      <c r="C16" t="s">
        <v>74</v>
      </c>
      <c r="D16" t="s">
        <v>74</v>
      </c>
      <c r="E16" t="s">
        <v>74</v>
      </c>
      <c r="F16" t="s">
        <v>451</v>
      </c>
      <c r="G16" t="s">
        <v>74</v>
      </c>
      <c r="H16" t="s">
        <v>74</v>
      </c>
      <c r="I16" t="s">
        <v>452</v>
      </c>
      <c r="J16" t="s">
        <v>453</v>
      </c>
      <c r="K16" t="s">
        <v>74</v>
      </c>
      <c r="L16" t="s">
        <v>74</v>
      </c>
      <c r="M16" t="s">
        <v>78</v>
      </c>
      <c r="N16" t="s">
        <v>79</v>
      </c>
      <c r="O16" t="s">
        <v>74</v>
      </c>
      <c r="P16" t="s">
        <v>74</v>
      </c>
      <c r="Q16" t="s">
        <v>74</v>
      </c>
      <c r="R16" t="s">
        <v>74</v>
      </c>
      <c r="S16" t="s">
        <v>74</v>
      </c>
      <c r="T16" t="s">
        <v>74</v>
      </c>
      <c r="U16" t="s">
        <v>454</v>
      </c>
      <c r="V16" t="s">
        <v>455</v>
      </c>
      <c r="W16" t="s">
        <v>456</v>
      </c>
      <c r="X16" t="s">
        <v>457</v>
      </c>
      <c r="Y16" t="s">
        <v>458</v>
      </c>
      <c r="Z16" t="s">
        <v>459</v>
      </c>
      <c r="AA16" t="s">
        <v>74</v>
      </c>
      <c r="AB16" t="s">
        <v>460</v>
      </c>
      <c r="AC16" t="s">
        <v>461</v>
      </c>
      <c r="AD16" t="s">
        <v>462</v>
      </c>
      <c r="AE16" t="s">
        <v>463</v>
      </c>
      <c r="AF16" t="s">
        <v>74</v>
      </c>
      <c r="AG16">
        <v>90</v>
      </c>
      <c r="AH16">
        <v>14</v>
      </c>
      <c r="AI16">
        <v>16</v>
      </c>
      <c r="AJ16">
        <v>0</v>
      </c>
      <c r="AK16">
        <v>2</v>
      </c>
      <c r="AL16" t="s">
        <v>464</v>
      </c>
      <c r="AM16" t="s">
        <v>465</v>
      </c>
      <c r="AN16" t="s">
        <v>466</v>
      </c>
      <c r="AO16" t="s">
        <v>467</v>
      </c>
      <c r="AP16" t="s">
        <v>468</v>
      </c>
      <c r="AQ16" t="s">
        <v>74</v>
      </c>
      <c r="AR16" t="s">
        <v>469</v>
      </c>
      <c r="AS16" t="s">
        <v>470</v>
      </c>
      <c r="AT16" t="s">
        <v>389</v>
      </c>
      <c r="AU16">
        <v>2021</v>
      </c>
      <c r="AV16">
        <v>104</v>
      </c>
      <c r="AW16">
        <v>9</v>
      </c>
      <c r="AX16" t="s">
        <v>74</v>
      </c>
      <c r="AY16" t="s">
        <v>74</v>
      </c>
      <c r="AZ16" t="s">
        <v>74</v>
      </c>
      <c r="BA16" t="s">
        <v>74</v>
      </c>
      <c r="BB16" t="s">
        <v>74</v>
      </c>
      <c r="BC16" t="s">
        <v>74</v>
      </c>
      <c r="BD16">
        <v>95032</v>
      </c>
      <c r="BE16" t="s">
        <v>471</v>
      </c>
      <c r="BF16" t="str">
        <f>HYPERLINK("http://dx.doi.org/10.1103/PhysRevD.104.095032","http://dx.doi.org/10.1103/PhysRevD.104.095032")</f>
        <v>http://dx.doi.org/10.1103/PhysRevD.104.095032</v>
      </c>
      <c r="BG16" t="s">
        <v>74</v>
      </c>
      <c r="BH16" t="s">
        <v>74</v>
      </c>
      <c r="BI16">
        <v>41</v>
      </c>
      <c r="BJ16" t="s">
        <v>472</v>
      </c>
      <c r="BK16" t="s">
        <v>101</v>
      </c>
      <c r="BL16" t="s">
        <v>473</v>
      </c>
      <c r="BM16" t="s">
        <v>474</v>
      </c>
      <c r="BN16" t="s">
        <v>74</v>
      </c>
      <c r="BO16" t="s">
        <v>475</v>
      </c>
      <c r="BP16" t="s">
        <v>74</v>
      </c>
      <c r="BQ16" t="s">
        <v>74</v>
      </c>
      <c r="BR16" t="s">
        <v>105</v>
      </c>
      <c r="BS16" t="s">
        <v>476</v>
      </c>
      <c r="BT16" t="str">
        <f>HYPERLINK("https%3A%2F%2Fwww.webofscience.com%2Fwos%2Fwoscc%2Ffull-record%2FWOS:000725012100010","View Full Record in Web of Science")</f>
        <v>View Full Record in Web of Science</v>
      </c>
    </row>
    <row r="17" spans="1:72" x14ac:dyDescent="0.15">
      <c r="A17" t="s">
        <v>72</v>
      </c>
      <c r="B17" t="s">
        <v>477</v>
      </c>
      <c r="C17" t="s">
        <v>74</v>
      </c>
      <c r="D17" t="s">
        <v>74</v>
      </c>
      <c r="E17" t="s">
        <v>74</v>
      </c>
      <c r="F17" t="s">
        <v>478</v>
      </c>
      <c r="G17" t="s">
        <v>74</v>
      </c>
      <c r="H17" t="s">
        <v>74</v>
      </c>
      <c r="I17" t="s">
        <v>479</v>
      </c>
      <c r="J17" t="s">
        <v>480</v>
      </c>
      <c r="K17" t="s">
        <v>74</v>
      </c>
      <c r="L17" t="s">
        <v>74</v>
      </c>
      <c r="M17" t="s">
        <v>78</v>
      </c>
      <c r="N17" t="s">
        <v>79</v>
      </c>
      <c r="O17" t="s">
        <v>74</v>
      </c>
      <c r="P17" t="s">
        <v>74</v>
      </c>
      <c r="Q17" t="s">
        <v>74</v>
      </c>
      <c r="R17" t="s">
        <v>74</v>
      </c>
      <c r="S17" t="s">
        <v>74</v>
      </c>
      <c r="T17" t="s">
        <v>74</v>
      </c>
      <c r="U17" t="s">
        <v>481</v>
      </c>
      <c r="V17" t="s">
        <v>482</v>
      </c>
      <c r="W17" t="s">
        <v>483</v>
      </c>
      <c r="X17" t="s">
        <v>484</v>
      </c>
      <c r="Y17" t="s">
        <v>485</v>
      </c>
      <c r="Z17" t="s">
        <v>486</v>
      </c>
      <c r="AA17" t="s">
        <v>487</v>
      </c>
      <c r="AB17" t="s">
        <v>488</v>
      </c>
      <c r="AC17" t="s">
        <v>489</v>
      </c>
      <c r="AD17" t="s">
        <v>490</v>
      </c>
      <c r="AE17" t="s">
        <v>491</v>
      </c>
      <c r="AF17" t="s">
        <v>74</v>
      </c>
      <c r="AG17">
        <v>61</v>
      </c>
      <c r="AH17">
        <v>45</v>
      </c>
      <c r="AI17">
        <v>48</v>
      </c>
      <c r="AJ17">
        <v>7</v>
      </c>
      <c r="AK17">
        <v>71</v>
      </c>
      <c r="AL17" t="s">
        <v>492</v>
      </c>
      <c r="AM17" t="s">
        <v>493</v>
      </c>
      <c r="AN17" t="s">
        <v>494</v>
      </c>
      <c r="AO17" t="s">
        <v>495</v>
      </c>
      <c r="AP17" t="s">
        <v>496</v>
      </c>
      <c r="AQ17" t="s">
        <v>74</v>
      </c>
      <c r="AR17" t="s">
        <v>497</v>
      </c>
      <c r="AS17" t="s">
        <v>498</v>
      </c>
      <c r="AT17" t="s">
        <v>98</v>
      </c>
      <c r="AU17">
        <v>2021</v>
      </c>
      <c r="AV17">
        <v>11</v>
      </c>
      <c r="AW17">
        <v>12</v>
      </c>
      <c r="AX17" t="s">
        <v>74</v>
      </c>
      <c r="AY17" t="s">
        <v>74</v>
      </c>
      <c r="AZ17" t="s">
        <v>74</v>
      </c>
      <c r="BA17" t="s">
        <v>74</v>
      </c>
      <c r="BB17">
        <v>1090</v>
      </c>
      <c r="BC17" t="s">
        <v>499</v>
      </c>
      <c r="BD17" t="s">
        <v>74</v>
      </c>
      <c r="BE17" t="s">
        <v>500</v>
      </c>
      <c r="BF17" t="str">
        <f>HYPERLINK("http://dx.doi.org/10.1038/s41558-021-01212-5","http://dx.doi.org/10.1038/s41558-021-01212-5")</f>
        <v>http://dx.doi.org/10.1038/s41558-021-01212-5</v>
      </c>
      <c r="BG17" t="s">
        <v>74</v>
      </c>
      <c r="BH17" t="s">
        <v>263</v>
      </c>
      <c r="BI17">
        <v>20</v>
      </c>
      <c r="BJ17" t="s">
        <v>501</v>
      </c>
      <c r="BK17" t="s">
        <v>207</v>
      </c>
      <c r="BL17" t="s">
        <v>102</v>
      </c>
      <c r="BM17" t="s">
        <v>502</v>
      </c>
      <c r="BN17" t="s">
        <v>74</v>
      </c>
      <c r="BO17" t="s">
        <v>74</v>
      </c>
      <c r="BP17" t="s">
        <v>74</v>
      </c>
      <c r="BQ17" t="s">
        <v>74</v>
      </c>
      <c r="BR17" t="s">
        <v>105</v>
      </c>
      <c r="BS17" t="s">
        <v>503</v>
      </c>
      <c r="BT17" t="str">
        <f>HYPERLINK("https%3A%2F%2Fwww.webofscience.com%2Fwos%2Fwoscc%2Ffull-record%2FWOS:000723552200001","View Full Record in Web of Science")</f>
        <v>View Full Record in Web of Science</v>
      </c>
    </row>
    <row r="18" spans="1:72" x14ac:dyDescent="0.15">
      <c r="A18" t="s">
        <v>72</v>
      </c>
      <c r="B18" t="s">
        <v>504</v>
      </c>
      <c r="C18" t="s">
        <v>74</v>
      </c>
      <c r="D18" t="s">
        <v>74</v>
      </c>
      <c r="E18" t="s">
        <v>74</v>
      </c>
      <c r="F18" t="s">
        <v>505</v>
      </c>
      <c r="G18" t="s">
        <v>74</v>
      </c>
      <c r="H18" t="s">
        <v>74</v>
      </c>
      <c r="I18" t="s">
        <v>506</v>
      </c>
      <c r="J18" t="s">
        <v>507</v>
      </c>
      <c r="K18" t="s">
        <v>74</v>
      </c>
      <c r="L18" t="s">
        <v>74</v>
      </c>
      <c r="M18" t="s">
        <v>78</v>
      </c>
      <c r="N18" t="s">
        <v>79</v>
      </c>
      <c r="O18" t="s">
        <v>74</v>
      </c>
      <c r="P18" t="s">
        <v>74</v>
      </c>
      <c r="Q18" t="s">
        <v>74</v>
      </c>
      <c r="R18" t="s">
        <v>74</v>
      </c>
      <c r="S18" t="s">
        <v>74</v>
      </c>
      <c r="T18" t="s">
        <v>508</v>
      </c>
      <c r="U18" t="s">
        <v>509</v>
      </c>
      <c r="V18" t="s">
        <v>510</v>
      </c>
      <c r="W18" t="s">
        <v>511</v>
      </c>
      <c r="X18" t="s">
        <v>512</v>
      </c>
      <c r="Y18" t="s">
        <v>513</v>
      </c>
      <c r="Z18" t="s">
        <v>514</v>
      </c>
      <c r="AA18" t="s">
        <v>515</v>
      </c>
      <c r="AB18" t="s">
        <v>516</v>
      </c>
      <c r="AC18" t="s">
        <v>517</v>
      </c>
      <c r="AD18" t="s">
        <v>518</v>
      </c>
      <c r="AE18" t="s">
        <v>519</v>
      </c>
      <c r="AF18" t="s">
        <v>74</v>
      </c>
      <c r="AG18">
        <v>60</v>
      </c>
      <c r="AH18">
        <v>26</v>
      </c>
      <c r="AI18">
        <v>26</v>
      </c>
      <c r="AJ18">
        <v>6</v>
      </c>
      <c r="AK18">
        <v>28</v>
      </c>
      <c r="AL18" t="s">
        <v>169</v>
      </c>
      <c r="AM18" t="s">
        <v>520</v>
      </c>
      <c r="AN18" t="s">
        <v>521</v>
      </c>
      <c r="AO18" t="s">
        <v>522</v>
      </c>
      <c r="AP18" t="s">
        <v>523</v>
      </c>
      <c r="AQ18" t="s">
        <v>74</v>
      </c>
      <c r="AR18" t="s">
        <v>507</v>
      </c>
      <c r="AS18" t="s">
        <v>524</v>
      </c>
      <c r="AT18" t="s">
        <v>525</v>
      </c>
      <c r="AU18">
        <v>2022</v>
      </c>
      <c r="AV18">
        <v>51</v>
      </c>
      <c r="AW18">
        <v>2</v>
      </c>
      <c r="AX18" t="s">
        <v>74</v>
      </c>
      <c r="AY18" t="s">
        <v>74</v>
      </c>
      <c r="AZ18" t="s">
        <v>526</v>
      </c>
      <c r="BA18" t="s">
        <v>74</v>
      </c>
      <c r="BB18">
        <v>333</v>
      </c>
      <c r="BC18">
        <v>344</v>
      </c>
      <c r="BD18" t="s">
        <v>74</v>
      </c>
      <c r="BE18" t="s">
        <v>527</v>
      </c>
      <c r="BF18" t="str">
        <f>HYPERLINK("http://dx.doi.org/10.1007/s13280-021-01667-y","http://dx.doi.org/10.1007/s13280-021-01667-y")</f>
        <v>http://dx.doi.org/10.1007/s13280-021-01667-y</v>
      </c>
      <c r="BG18" t="s">
        <v>74</v>
      </c>
      <c r="BH18" t="s">
        <v>263</v>
      </c>
      <c r="BI18">
        <v>12</v>
      </c>
      <c r="BJ18" t="s">
        <v>528</v>
      </c>
      <c r="BK18" t="s">
        <v>101</v>
      </c>
      <c r="BL18" t="s">
        <v>529</v>
      </c>
      <c r="BM18" t="s">
        <v>530</v>
      </c>
      <c r="BN18">
        <v>34845624</v>
      </c>
      <c r="BO18" t="s">
        <v>531</v>
      </c>
      <c r="BP18" t="s">
        <v>74</v>
      </c>
      <c r="BQ18" t="s">
        <v>74</v>
      </c>
      <c r="BR18" t="s">
        <v>105</v>
      </c>
      <c r="BS18" t="s">
        <v>532</v>
      </c>
      <c r="BT18" t="str">
        <f>HYPERLINK("https%3A%2F%2Fwww.webofscience.com%2Fwos%2Fwoscc%2Ffull-record%2FWOS:000723501300004","View Full Record in Web of Science")</f>
        <v>View Full Record in Web of Science</v>
      </c>
    </row>
    <row r="19" spans="1:72" x14ac:dyDescent="0.15">
      <c r="A19" t="s">
        <v>72</v>
      </c>
      <c r="B19" t="s">
        <v>533</v>
      </c>
      <c r="C19" t="s">
        <v>74</v>
      </c>
      <c r="D19" t="s">
        <v>74</v>
      </c>
      <c r="E19" t="s">
        <v>74</v>
      </c>
      <c r="F19" t="s">
        <v>534</v>
      </c>
      <c r="G19" t="s">
        <v>74</v>
      </c>
      <c r="H19" t="s">
        <v>74</v>
      </c>
      <c r="I19" t="s">
        <v>535</v>
      </c>
      <c r="J19" t="s">
        <v>536</v>
      </c>
      <c r="K19" t="s">
        <v>74</v>
      </c>
      <c r="L19" t="s">
        <v>74</v>
      </c>
      <c r="M19" t="s">
        <v>78</v>
      </c>
      <c r="N19" t="s">
        <v>79</v>
      </c>
      <c r="O19" t="s">
        <v>74</v>
      </c>
      <c r="P19" t="s">
        <v>74</v>
      </c>
      <c r="Q19" t="s">
        <v>74</v>
      </c>
      <c r="R19" t="s">
        <v>74</v>
      </c>
      <c r="S19" t="s">
        <v>74</v>
      </c>
      <c r="T19" t="s">
        <v>74</v>
      </c>
      <c r="U19" t="s">
        <v>537</v>
      </c>
      <c r="V19" t="s">
        <v>538</v>
      </c>
      <c r="W19" t="s">
        <v>539</v>
      </c>
      <c r="X19" t="s">
        <v>540</v>
      </c>
      <c r="Y19" t="s">
        <v>541</v>
      </c>
      <c r="Z19" t="s">
        <v>542</v>
      </c>
      <c r="AA19" t="s">
        <v>543</v>
      </c>
      <c r="AB19" t="s">
        <v>544</v>
      </c>
      <c r="AC19" t="s">
        <v>545</v>
      </c>
      <c r="AD19" t="s">
        <v>546</v>
      </c>
      <c r="AE19" t="s">
        <v>547</v>
      </c>
      <c r="AF19" t="s">
        <v>74</v>
      </c>
      <c r="AG19">
        <v>56</v>
      </c>
      <c r="AH19">
        <v>3</v>
      </c>
      <c r="AI19">
        <v>3</v>
      </c>
      <c r="AJ19">
        <v>0</v>
      </c>
      <c r="AK19">
        <v>5</v>
      </c>
      <c r="AL19" t="s">
        <v>227</v>
      </c>
      <c r="AM19" t="s">
        <v>228</v>
      </c>
      <c r="AN19" t="s">
        <v>229</v>
      </c>
      <c r="AO19" t="s">
        <v>548</v>
      </c>
      <c r="AP19" t="s">
        <v>549</v>
      </c>
      <c r="AQ19" t="s">
        <v>74</v>
      </c>
      <c r="AR19" t="s">
        <v>550</v>
      </c>
      <c r="AS19" t="s">
        <v>551</v>
      </c>
      <c r="AT19" t="s">
        <v>389</v>
      </c>
      <c r="AU19">
        <v>2021</v>
      </c>
      <c r="AV19">
        <v>21</v>
      </c>
      <c r="AW19">
        <v>23</v>
      </c>
      <c r="AX19" t="s">
        <v>74</v>
      </c>
      <c r="AY19" t="s">
        <v>74</v>
      </c>
      <c r="AZ19" t="s">
        <v>74</v>
      </c>
      <c r="BA19" t="s">
        <v>74</v>
      </c>
      <c r="BB19">
        <v>17225</v>
      </c>
      <c r="BC19">
        <v>17241</v>
      </c>
      <c r="BD19" t="s">
        <v>74</v>
      </c>
      <c r="BE19" t="s">
        <v>552</v>
      </c>
      <c r="BF19" t="str">
        <f>HYPERLINK("http://dx.doi.org/10.5194/acp-21-17225-2021","http://dx.doi.org/10.5194/acp-21-17225-2021")</f>
        <v>http://dx.doi.org/10.5194/acp-21-17225-2021</v>
      </c>
      <c r="BG19" t="s">
        <v>74</v>
      </c>
      <c r="BH19" t="s">
        <v>74</v>
      </c>
      <c r="BI19">
        <v>17</v>
      </c>
      <c r="BJ19" t="s">
        <v>100</v>
      </c>
      <c r="BK19" t="s">
        <v>101</v>
      </c>
      <c r="BL19" t="s">
        <v>102</v>
      </c>
      <c r="BM19" t="s">
        <v>553</v>
      </c>
      <c r="BN19" t="s">
        <v>74</v>
      </c>
      <c r="BO19" t="s">
        <v>554</v>
      </c>
      <c r="BP19" t="s">
        <v>74</v>
      </c>
      <c r="BQ19" t="s">
        <v>74</v>
      </c>
      <c r="BR19" t="s">
        <v>105</v>
      </c>
      <c r="BS19" t="s">
        <v>555</v>
      </c>
      <c r="BT19" t="str">
        <f>HYPERLINK("https%3A%2F%2Fwww.webofscience.com%2Fwos%2Fwoscc%2Ffull-record%2FWOS:000723906000001","View Full Record in Web of Science")</f>
        <v>View Full Record in Web of Science</v>
      </c>
    </row>
    <row r="20" spans="1:72" x14ac:dyDescent="0.15">
      <c r="A20" t="s">
        <v>72</v>
      </c>
      <c r="B20" t="s">
        <v>556</v>
      </c>
      <c r="C20" t="s">
        <v>74</v>
      </c>
      <c r="D20" t="s">
        <v>74</v>
      </c>
      <c r="E20" t="s">
        <v>74</v>
      </c>
      <c r="F20" t="s">
        <v>557</v>
      </c>
      <c r="G20" t="s">
        <v>74</v>
      </c>
      <c r="H20" t="s">
        <v>74</v>
      </c>
      <c r="I20" t="s">
        <v>558</v>
      </c>
      <c r="J20" t="s">
        <v>559</v>
      </c>
      <c r="K20" t="s">
        <v>74</v>
      </c>
      <c r="L20" t="s">
        <v>74</v>
      </c>
      <c r="M20" t="s">
        <v>78</v>
      </c>
      <c r="N20" t="s">
        <v>79</v>
      </c>
      <c r="O20" t="s">
        <v>74</v>
      </c>
      <c r="P20" t="s">
        <v>74</v>
      </c>
      <c r="Q20" t="s">
        <v>74</v>
      </c>
      <c r="R20" t="s">
        <v>74</v>
      </c>
      <c r="S20" t="s">
        <v>74</v>
      </c>
      <c r="T20" t="s">
        <v>560</v>
      </c>
      <c r="U20" t="s">
        <v>561</v>
      </c>
      <c r="V20" t="s">
        <v>562</v>
      </c>
      <c r="W20" t="s">
        <v>563</v>
      </c>
      <c r="X20" t="s">
        <v>564</v>
      </c>
      <c r="Y20" t="s">
        <v>565</v>
      </c>
      <c r="Z20" t="s">
        <v>566</v>
      </c>
      <c r="AA20" t="s">
        <v>567</v>
      </c>
      <c r="AB20" t="s">
        <v>568</v>
      </c>
      <c r="AC20" t="s">
        <v>569</v>
      </c>
      <c r="AD20" t="s">
        <v>570</v>
      </c>
      <c r="AE20" t="s">
        <v>571</v>
      </c>
      <c r="AF20" t="s">
        <v>74</v>
      </c>
      <c r="AG20">
        <v>110</v>
      </c>
      <c r="AH20">
        <v>3</v>
      </c>
      <c r="AI20">
        <v>3</v>
      </c>
      <c r="AJ20">
        <v>1</v>
      </c>
      <c r="AK20">
        <v>12</v>
      </c>
      <c r="AL20" t="s">
        <v>572</v>
      </c>
      <c r="AM20" t="s">
        <v>573</v>
      </c>
      <c r="AN20" t="s">
        <v>574</v>
      </c>
      <c r="AO20" t="s">
        <v>575</v>
      </c>
      <c r="AP20" t="s">
        <v>74</v>
      </c>
      <c r="AQ20" t="s">
        <v>74</v>
      </c>
      <c r="AR20" t="s">
        <v>576</v>
      </c>
      <c r="AS20" t="s">
        <v>577</v>
      </c>
      <c r="AT20" t="s">
        <v>98</v>
      </c>
      <c r="AU20">
        <v>2021</v>
      </c>
      <c r="AV20">
        <v>11</v>
      </c>
      <c r="AW20">
        <v>23</v>
      </c>
      <c r="AX20" t="s">
        <v>74</v>
      </c>
      <c r="AY20" t="s">
        <v>74</v>
      </c>
      <c r="AZ20" t="s">
        <v>74</v>
      </c>
      <c r="BA20" t="s">
        <v>74</v>
      </c>
      <c r="BB20">
        <v>17428</v>
      </c>
      <c r="BC20">
        <v>17446</v>
      </c>
      <c r="BD20" t="s">
        <v>74</v>
      </c>
      <c r="BE20" t="s">
        <v>578</v>
      </c>
      <c r="BF20" t="str">
        <f>HYPERLINK("http://dx.doi.org/10.1002/ece3.8376","http://dx.doi.org/10.1002/ece3.8376")</f>
        <v>http://dx.doi.org/10.1002/ece3.8376</v>
      </c>
      <c r="BG20" t="s">
        <v>74</v>
      </c>
      <c r="BH20" t="s">
        <v>263</v>
      </c>
      <c r="BI20">
        <v>19</v>
      </c>
      <c r="BJ20" t="s">
        <v>579</v>
      </c>
      <c r="BK20" t="s">
        <v>101</v>
      </c>
      <c r="BL20" t="s">
        <v>580</v>
      </c>
      <c r="BM20" t="s">
        <v>581</v>
      </c>
      <c r="BN20">
        <v>34938519</v>
      </c>
      <c r="BO20" t="s">
        <v>582</v>
      </c>
      <c r="BP20" t="s">
        <v>74</v>
      </c>
      <c r="BQ20" t="s">
        <v>74</v>
      </c>
      <c r="BR20" t="s">
        <v>105</v>
      </c>
      <c r="BS20" t="s">
        <v>583</v>
      </c>
      <c r="BT20" t="str">
        <f>HYPERLINK("https%3A%2F%2Fwww.webofscience.com%2Fwos%2Fwoscc%2Ffull-record%2FWOS:000723570900001","View Full Record in Web of Science")</f>
        <v>View Full Record in Web of Science</v>
      </c>
    </row>
    <row r="21" spans="1:72" x14ac:dyDescent="0.15">
      <c r="A21" t="s">
        <v>72</v>
      </c>
      <c r="B21" t="s">
        <v>584</v>
      </c>
      <c r="C21" t="s">
        <v>74</v>
      </c>
      <c r="D21" t="s">
        <v>74</v>
      </c>
      <c r="E21" t="s">
        <v>74</v>
      </c>
      <c r="F21" t="s">
        <v>585</v>
      </c>
      <c r="G21" t="s">
        <v>74</v>
      </c>
      <c r="H21" t="s">
        <v>74</v>
      </c>
      <c r="I21" t="s">
        <v>586</v>
      </c>
      <c r="J21" t="s">
        <v>587</v>
      </c>
      <c r="K21" t="s">
        <v>74</v>
      </c>
      <c r="L21" t="s">
        <v>74</v>
      </c>
      <c r="M21" t="s">
        <v>78</v>
      </c>
      <c r="N21" t="s">
        <v>79</v>
      </c>
      <c r="O21" t="s">
        <v>74</v>
      </c>
      <c r="P21" t="s">
        <v>74</v>
      </c>
      <c r="Q21" t="s">
        <v>74</v>
      </c>
      <c r="R21" t="s">
        <v>74</v>
      </c>
      <c r="S21" t="s">
        <v>74</v>
      </c>
      <c r="T21" t="s">
        <v>588</v>
      </c>
      <c r="U21" t="s">
        <v>589</v>
      </c>
      <c r="V21" t="s">
        <v>590</v>
      </c>
      <c r="W21" t="s">
        <v>591</v>
      </c>
      <c r="X21" t="s">
        <v>592</v>
      </c>
      <c r="Y21" t="s">
        <v>593</v>
      </c>
      <c r="Z21" t="s">
        <v>594</v>
      </c>
      <c r="AA21" t="s">
        <v>595</v>
      </c>
      <c r="AB21" t="s">
        <v>596</v>
      </c>
      <c r="AC21" t="s">
        <v>597</v>
      </c>
      <c r="AD21" t="s">
        <v>598</v>
      </c>
      <c r="AE21" t="s">
        <v>599</v>
      </c>
      <c r="AF21" t="s">
        <v>74</v>
      </c>
      <c r="AG21">
        <v>96</v>
      </c>
      <c r="AH21">
        <v>9</v>
      </c>
      <c r="AI21">
        <v>10</v>
      </c>
      <c r="AJ21">
        <v>2</v>
      </c>
      <c r="AK21">
        <v>31</v>
      </c>
      <c r="AL21" t="s">
        <v>572</v>
      </c>
      <c r="AM21" t="s">
        <v>573</v>
      </c>
      <c r="AN21" t="s">
        <v>574</v>
      </c>
      <c r="AO21" t="s">
        <v>600</v>
      </c>
      <c r="AP21" t="s">
        <v>601</v>
      </c>
      <c r="AQ21" t="s">
        <v>74</v>
      </c>
      <c r="AR21" t="s">
        <v>602</v>
      </c>
      <c r="AS21" t="s">
        <v>603</v>
      </c>
      <c r="AT21" t="s">
        <v>416</v>
      </c>
      <c r="AU21">
        <v>2022</v>
      </c>
      <c r="AV21">
        <v>28</v>
      </c>
      <c r="AW21">
        <v>1</v>
      </c>
      <c r="AX21" t="s">
        <v>74</v>
      </c>
      <c r="AY21" t="s">
        <v>74</v>
      </c>
      <c r="AZ21" t="s">
        <v>74</v>
      </c>
      <c r="BA21" t="s">
        <v>74</v>
      </c>
      <c r="BB21">
        <v>142</v>
      </c>
      <c r="BC21">
        <v>159</v>
      </c>
      <c r="BD21" t="s">
        <v>74</v>
      </c>
      <c r="BE21" t="s">
        <v>604</v>
      </c>
      <c r="BF21" t="str">
        <f>HYPERLINK("http://dx.doi.org/10.1111/ddi.13447","http://dx.doi.org/10.1111/ddi.13447")</f>
        <v>http://dx.doi.org/10.1111/ddi.13447</v>
      </c>
      <c r="BG21" t="s">
        <v>74</v>
      </c>
      <c r="BH21" t="s">
        <v>263</v>
      </c>
      <c r="BI21">
        <v>18</v>
      </c>
      <c r="BJ21" t="s">
        <v>605</v>
      </c>
      <c r="BK21" t="s">
        <v>101</v>
      </c>
      <c r="BL21" t="s">
        <v>606</v>
      </c>
      <c r="BM21" t="s">
        <v>607</v>
      </c>
      <c r="BN21" t="s">
        <v>74</v>
      </c>
      <c r="BO21" t="s">
        <v>582</v>
      </c>
      <c r="BP21" t="s">
        <v>74</v>
      </c>
      <c r="BQ21" t="s">
        <v>74</v>
      </c>
      <c r="BR21" t="s">
        <v>105</v>
      </c>
      <c r="BS21" t="s">
        <v>608</v>
      </c>
      <c r="BT21" t="str">
        <f>HYPERLINK("https%3A%2F%2Fwww.webofscience.com%2Fwos%2Fwoscc%2Ffull-record%2FWOS:000723225100001","View Full Record in Web of Science")</f>
        <v>View Full Record in Web of Science</v>
      </c>
    </row>
    <row r="22" spans="1:72" x14ac:dyDescent="0.15">
      <c r="A22" t="s">
        <v>72</v>
      </c>
      <c r="B22" t="s">
        <v>609</v>
      </c>
      <c r="C22" t="s">
        <v>74</v>
      </c>
      <c r="D22" t="s">
        <v>74</v>
      </c>
      <c r="E22" t="s">
        <v>74</v>
      </c>
      <c r="F22" t="s">
        <v>610</v>
      </c>
      <c r="G22" t="s">
        <v>74</v>
      </c>
      <c r="H22" t="s">
        <v>74</v>
      </c>
      <c r="I22" t="s">
        <v>611</v>
      </c>
      <c r="J22" t="s">
        <v>612</v>
      </c>
      <c r="K22" t="s">
        <v>74</v>
      </c>
      <c r="L22" t="s">
        <v>74</v>
      </c>
      <c r="M22" t="s">
        <v>78</v>
      </c>
      <c r="N22" t="s">
        <v>79</v>
      </c>
      <c r="O22" t="s">
        <v>74</v>
      </c>
      <c r="P22" t="s">
        <v>74</v>
      </c>
      <c r="Q22" t="s">
        <v>74</v>
      </c>
      <c r="R22" t="s">
        <v>74</v>
      </c>
      <c r="S22" t="s">
        <v>74</v>
      </c>
      <c r="T22" t="s">
        <v>613</v>
      </c>
      <c r="U22" t="s">
        <v>614</v>
      </c>
      <c r="V22" t="s">
        <v>615</v>
      </c>
      <c r="W22" t="s">
        <v>616</v>
      </c>
      <c r="X22" t="s">
        <v>617</v>
      </c>
      <c r="Y22" t="s">
        <v>618</v>
      </c>
      <c r="Z22" t="s">
        <v>619</v>
      </c>
      <c r="AA22" t="s">
        <v>620</v>
      </c>
      <c r="AB22" t="s">
        <v>621</v>
      </c>
      <c r="AC22" t="s">
        <v>622</v>
      </c>
      <c r="AD22" t="s">
        <v>622</v>
      </c>
      <c r="AE22" t="s">
        <v>623</v>
      </c>
      <c r="AF22" t="s">
        <v>74</v>
      </c>
      <c r="AG22">
        <v>86</v>
      </c>
      <c r="AH22">
        <v>3</v>
      </c>
      <c r="AI22">
        <v>4</v>
      </c>
      <c r="AJ22">
        <v>5</v>
      </c>
      <c r="AK22">
        <v>21</v>
      </c>
      <c r="AL22" t="s">
        <v>169</v>
      </c>
      <c r="AM22" t="s">
        <v>170</v>
      </c>
      <c r="AN22" t="s">
        <v>171</v>
      </c>
      <c r="AO22" t="s">
        <v>624</v>
      </c>
      <c r="AP22" t="s">
        <v>625</v>
      </c>
      <c r="AQ22" t="s">
        <v>74</v>
      </c>
      <c r="AR22" t="s">
        <v>612</v>
      </c>
      <c r="AS22" t="s">
        <v>626</v>
      </c>
      <c r="AT22" t="s">
        <v>627</v>
      </c>
      <c r="AU22">
        <v>2022</v>
      </c>
      <c r="AV22">
        <v>25</v>
      </c>
      <c r="AW22">
        <v>6</v>
      </c>
      <c r="AX22" t="s">
        <v>74</v>
      </c>
      <c r="AY22" t="s">
        <v>74</v>
      </c>
      <c r="AZ22" t="s">
        <v>74</v>
      </c>
      <c r="BA22" t="s">
        <v>74</v>
      </c>
      <c r="BB22">
        <v>1400</v>
      </c>
      <c r="BC22">
        <v>1417</v>
      </c>
      <c r="BD22" t="s">
        <v>74</v>
      </c>
      <c r="BE22" t="s">
        <v>628</v>
      </c>
      <c r="BF22" t="str">
        <f>HYPERLINK("http://dx.doi.org/10.1007/s10021-021-00723-8","http://dx.doi.org/10.1007/s10021-021-00723-8")</f>
        <v>http://dx.doi.org/10.1007/s10021-021-00723-8</v>
      </c>
      <c r="BG22" t="s">
        <v>74</v>
      </c>
      <c r="BH22" t="s">
        <v>263</v>
      </c>
      <c r="BI22">
        <v>18</v>
      </c>
      <c r="BJ22" t="s">
        <v>629</v>
      </c>
      <c r="BK22" t="s">
        <v>101</v>
      </c>
      <c r="BL22" t="s">
        <v>630</v>
      </c>
      <c r="BM22" t="s">
        <v>631</v>
      </c>
      <c r="BN22" t="s">
        <v>74</v>
      </c>
      <c r="BO22" t="s">
        <v>74</v>
      </c>
      <c r="BP22" t="s">
        <v>74</v>
      </c>
      <c r="BQ22" t="s">
        <v>74</v>
      </c>
      <c r="BR22" t="s">
        <v>105</v>
      </c>
      <c r="BS22" t="s">
        <v>632</v>
      </c>
      <c r="BT22" t="str">
        <f>HYPERLINK("https%3A%2F%2Fwww.webofscience.com%2Fwos%2Fwoscc%2Ffull-record%2FWOS:000723508800002","View Full Record in Web of Science")</f>
        <v>View Full Record in Web of Science</v>
      </c>
    </row>
    <row r="23" spans="1:72" x14ac:dyDescent="0.15">
      <c r="A23" t="s">
        <v>72</v>
      </c>
      <c r="B23" t="s">
        <v>633</v>
      </c>
      <c r="C23" t="s">
        <v>74</v>
      </c>
      <c r="D23" t="s">
        <v>74</v>
      </c>
      <c r="E23" t="s">
        <v>74</v>
      </c>
      <c r="F23" t="s">
        <v>634</v>
      </c>
      <c r="G23" t="s">
        <v>74</v>
      </c>
      <c r="H23" t="s">
        <v>74</v>
      </c>
      <c r="I23" t="s">
        <v>635</v>
      </c>
      <c r="J23" t="s">
        <v>636</v>
      </c>
      <c r="K23" t="s">
        <v>74</v>
      </c>
      <c r="L23" t="s">
        <v>74</v>
      </c>
      <c r="M23" t="s">
        <v>78</v>
      </c>
      <c r="N23" t="s">
        <v>79</v>
      </c>
      <c r="O23" t="s">
        <v>74</v>
      </c>
      <c r="P23" t="s">
        <v>74</v>
      </c>
      <c r="Q23" t="s">
        <v>74</v>
      </c>
      <c r="R23" t="s">
        <v>74</v>
      </c>
      <c r="S23" t="s">
        <v>74</v>
      </c>
      <c r="T23" t="s">
        <v>637</v>
      </c>
      <c r="U23" t="s">
        <v>638</v>
      </c>
      <c r="V23" t="s">
        <v>639</v>
      </c>
      <c r="W23" t="s">
        <v>640</v>
      </c>
      <c r="X23" t="s">
        <v>641</v>
      </c>
      <c r="Y23" t="s">
        <v>642</v>
      </c>
      <c r="Z23" t="s">
        <v>74</v>
      </c>
      <c r="AA23" t="s">
        <v>643</v>
      </c>
      <c r="AB23" t="s">
        <v>644</v>
      </c>
      <c r="AC23" t="s">
        <v>645</v>
      </c>
      <c r="AD23" t="s">
        <v>646</v>
      </c>
      <c r="AE23" t="s">
        <v>647</v>
      </c>
      <c r="AF23" t="s">
        <v>74</v>
      </c>
      <c r="AG23">
        <v>123</v>
      </c>
      <c r="AH23">
        <v>2</v>
      </c>
      <c r="AI23">
        <v>2</v>
      </c>
      <c r="AJ23">
        <v>1</v>
      </c>
      <c r="AK23">
        <v>7</v>
      </c>
      <c r="AL23" t="s">
        <v>572</v>
      </c>
      <c r="AM23" t="s">
        <v>573</v>
      </c>
      <c r="AN23" t="s">
        <v>574</v>
      </c>
      <c r="AO23" t="s">
        <v>648</v>
      </c>
      <c r="AP23" t="s">
        <v>649</v>
      </c>
      <c r="AQ23" t="s">
        <v>74</v>
      </c>
      <c r="AR23" t="s">
        <v>650</v>
      </c>
      <c r="AS23" t="s">
        <v>651</v>
      </c>
      <c r="AT23" t="s">
        <v>652</v>
      </c>
      <c r="AU23">
        <v>2022</v>
      </c>
      <c r="AV23">
        <v>37</v>
      </c>
      <c r="AW23">
        <v>5</v>
      </c>
      <c r="AX23" t="s">
        <v>74</v>
      </c>
      <c r="AY23" t="s">
        <v>74</v>
      </c>
      <c r="AZ23" t="s">
        <v>526</v>
      </c>
      <c r="BA23" t="s">
        <v>74</v>
      </c>
      <c r="BB23">
        <v>818</v>
      </c>
      <c r="BC23">
        <v>835</v>
      </c>
      <c r="BD23" t="s">
        <v>74</v>
      </c>
      <c r="BE23" t="s">
        <v>653</v>
      </c>
      <c r="BF23" t="str">
        <f>HYPERLINK("http://dx.doi.org/10.1002/jqs.3400","http://dx.doi.org/10.1002/jqs.3400")</f>
        <v>http://dx.doi.org/10.1002/jqs.3400</v>
      </c>
      <c r="BG23" t="s">
        <v>74</v>
      </c>
      <c r="BH23" t="s">
        <v>263</v>
      </c>
      <c r="BI23">
        <v>18</v>
      </c>
      <c r="BJ23" t="s">
        <v>340</v>
      </c>
      <c r="BK23" t="s">
        <v>101</v>
      </c>
      <c r="BL23" t="s">
        <v>341</v>
      </c>
      <c r="BM23" t="s">
        <v>654</v>
      </c>
      <c r="BN23" t="s">
        <v>74</v>
      </c>
      <c r="BO23" t="s">
        <v>74</v>
      </c>
      <c r="BP23" t="s">
        <v>74</v>
      </c>
      <c r="BQ23" t="s">
        <v>74</v>
      </c>
      <c r="BR23" t="s">
        <v>105</v>
      </c>
      <c r="BS23" t="s">
        <v>655</v>
      </c>
      <c r="BT23" t="str">
        <f>HYPERLINK("https%3A%2F%2Fwww.webofscience.com%2Fwos%2Fwoscc%2Ffull-record%2FWOS:000723258100001","View Full Record in Web of Science")</f>
        <v>View Full Record in Web of Science</v>
      </c>
    </row>
    <row r="24" spans="1:72" x14ac:dyDescent="0.15">
      <c r="A24" t="s">
        <v>72</v>
      </c>
      <c r="B24" t="s">
        <v>656</v>
      </c>
      <c r="C24" t="s">
        <v>74</v>
      </c>
      <c r="D24" t="s">
        <v>74</v>
      </c>
      <c r="E24" t="s">
        <v>74</v>
      </c>
      <c r="F24" t="s">
        <v>657</v>
      </c>
      <c r="G24" t="s">
        <v>74</v>
      </c>
      <c r="H24" t="s">
        <v>74</v>
      </c>
      <c r="I24" t="s">
        <v>658</v>
      </c>
      <c r="J24" t="s">
        <v>659</v>
      </c>
      <c r="K24" t="s">
        <v>74</v>
      </c>
      <c r="L24" t="s">
        <v>74</v>
      </c>
      <c r="M24" t="s">
        <v>78</v>
      </c>
      <c r="N24" t="s">
        <v>79</v>
      </c>
      <c r="O24" t="s">
        <v>74</v>
      </c>
      <c r="P24" t="s">
        <v>74</v>
      </c>
      <c r="Q24" t="s">
        <v>74</v>
      </c>
      <c r="R24" t="s">
        <v>74</v>
      </c>
      <c r="S24" t="s">
        <v>74</v>
      </c>
      <c r="T24" t="s">
        <v>660</v>
      </c>
      <c r="U24" t="s">
        <v>74</v>
      </c>
      <c r="V24" t="s">
        <v>661</v>
      </c>
      <c r="W24" t="s">
        <v>662</v>
      </c>
      <c r="X24" t="s">
        <v>663</v>
      </c>
      <c r="Y24" t="s">
        <v>664</v>
      </c>
      <c r="Z24" t="s">
        <v>665</v>
      </c>
      <c r="AA24" t="s">
        <v>74</v>
      </c>
      <c r="AB24" t="s">
        <v>74</v>
      </c>
      <c r="AC24" t="s">
        <v>74</v>
      </c>
      <c r="AD24" t="s">
        <v>74</v>
      </c>
      <c r="AE24" t="s">
        <v>74</v>
      </c>
      <c r="AF24" t="s">
        <v>74</v>
      </c>
      <c r="AG24">
        <v>7</v>
      </c>
      <c r="AH24">
        <v>2</v>
      </c>
      <c r="AI24">
        <v>3</v>
      </c>
      <c r="AJ24">
        <v>3</v>
      </c>
      <c r="AK24">
        <v>11</v>
      </c>
      <c r="AL24" t="s">
        <v>666</v>
      </c>
      <c r="AM24" t="s">
        <v>170</v>
      </c>
      <c r="AN24" t="s">
        <v>667</v>
      </c>
      <c r="AO24" t="s">
        <v>668</v>
      </c>
      <c r="AP24" t="s">
        <v>669</v>
      </c>
      <c r="AQ24" t="s">
        <v>74</v>
      </c>
      <c r="AR24" t="s">
        <v>670</v>
      </c>
      <c r="AS24" t="s">
        <v>671</v>
      </c>
      <c r="AT24" t="s">
        <v>389</v>
      </c>
      <c r="AU24">
        <v>2021</v>
      </c>
      <c r="AV24">
        <v>57</v>
      </c>
      <c r="AW24" t="s">
        <v>74</v>
      </c>
      <c r="AX24" t="s">
        <v>74</v>
      </c>
      <c r="AY24" t="s">
        <v>74</v>
      </c>
      <c r="AZ24" t="s">
        <v>74</v>
      </c>
      <c r="BA24" t="s">
        <v>74</v>
      </c>
      <c r="BB24" t="s">
        <v>74</v>
      </c>
      <c r="BC24" t="s">
        <v>74</v>
      </c>
      <c r="BD24" t="s">
        <v>672</v>
      </c>
      <c r="BE24" t="s">
        <v>673</v>
      </c>
      <c r="BF24" t="str">
        <f>HYPERLINK("http://dx.doi.org/10.1017/S003224742100067X","http://dx.doi.org/10.1017/S003224742100067X")</f>
        <v>http://dx.doi.org/10.1017/S003224742100067X</v>
      </c>
      <c r="BG24" t="s">
        <v>74</v>
      </c>
      <c r="BH24" t="s">
        <v>74</v>
      </c>
      <c r="BI24">
        <v>9</v>
      </c>
      <c r="BJ24" t="s">
        <v>674</v>
      </c>
      <c r="BK24" t="s">
        <v>101</v>
      </c>
      <c r="BL24" t="s">
        <v>630</v>
      </c>
      <c r="BM24" t="s">
        <v>675</v>
      </c>
      <c r="BN24" t="s">
        <v>74</v>
      </c>
      <c r="BO24" t="s">
        <v>676</v>
      </c>
      <c r="BP24" t="s">
        <v>74</v>
      </c>
      <c r="BQ24" t="s">
        <v>74</v>
      </c>
      <c r="BR24" t="s">
        <v>105</v>
      </c>
      <c r="BS24" t="s">
        <v>677</v>
      </c>
      <c r="BT24" t="str">
        <f>HYPERLINK("https%3A%2F%2Fwww.webofscience.com%2Fwos%2Fwoscc%2Ffull-record%2FWOS:000723212600001","View Full Record in Web of Science")</f>
        <v>View Full Record in Web of Science</v>
      </c>
    </row>
    <row r="25" spans="1:72" x14ac:dyDescent="0.15">
      <c r="A25" t="s">
        <v>72</v>
      </c>
      <c r="B25" t="s">
        <v>678</v>
      </c>
      <c r="C25" t="s">
        <v>74</v>
      </c>
      <c r="D25" t="s">
        <v>74</v>
      </c>
      <c r="E25" t="s">
        <v>74</v>
      </c>
      <c r="F25" t="s">
        <v>679</v>
      </c>
      <c r="G25" t="s">
        <v>74</v>
      </c>
      <c r="H25" t="s">
        <v>74</v>
      </c>
      <c r="I25" t="s">
        <v>680</v>
      </c>
      <c r="J25" t="s">
        <v>681</v>
      </c>
      <c r="K25" t="s">
        <v>74</v>
      </c>
      <c r="L25" t="s">
        <v>74</v>
      </c>
      <c r="M25" t="s">
        <v>78</v>
      </c>
      <c r="N25" t="s">
        <v>79</v>
      </c>
      <c r="O25" t="s">
        <v>74</v>
      </c>
      <c r="P25" t="s">
        <v>74</v>
      </c>
      <c r="Q25" t="s">
        <v>74</v>
      </c>
      <c r="R25" t="s">
        <v>74</v>
      </c>
      <c r="S25" t="s">
        <v>74</v>
      </c>
      <c r="T25" t="s">
        <v>682</v>
      </c>
      <c r="U25" t="s">
        <v>683</v>
      </c>
      <c r="V25" t="s">
        <v>684</v>
      </c>
      <c r="W25" t="s">
        <v>685</v>
      </c>
      <c r="X25" t="s">
        <v>686</v>
      </c>
      <c r="Y25" t="s">
        <v>687</v>
      </c>
      <c r="Z25" t="s">
        <v>688</v>
      </c>
      <c r="AA25" t="s">
        <v>689</v>
      </c>
      <c r="AB25" t="s">
        <v>690</v>
      </c>
      <c r="AC25" t="s">
        <v>691</v>
      </c>
      <c r="AD25" t="s">
        <v>692</v>
      </c>
      <c r="AE25" t="s">
        <v>693</v>
      </c>
      <c r="AF25" t="s">
        <v>74</v>
      </c>
      <c r="AG25">
        <v>141</v>
      </c>
      <c r="AH25">
        <v>37</v>
      </c>
      <c r="AI25">
        <v>37</v>
      </c>
      <c r="AJ25">
        <v>3</v>
      </c>
      <c r="AK25">
        <v>41</v>
      </c>
      <c r="AL25" t="s">
        <v>572</v>
      </c>
      <c r="AM25" t="s">
        <v>573</v>
      </c>
      <c r="AN25" t="s">
        <v>574</v>
      </c>
      <c r="AO25" t="s">
        <v>694</v>
      </c>
      <c r="AP25" t="s">
        <v>695</v>
      </c>
      <c r="AQ25" t="s">
        <v>74</v>
      </c>
      <c r="AR25" t="s">
        <v>696</v>
      </c>
      <c r="AS25" t="s">
        <v>697</v>
      </c>
      <c r="AT25" t="s">
        <v>698</v>
      </c>
      <c r="AU25">
        <v>2022</v>
      </c>
      <c r="AV25">
        <v>23</v>
      </c>
      <c r="AW25">
        <v>3</v>
      </c>
      <c r="AX25" t="s">
        <v>74</v>
      </c>
      <c r="AY25" t="s">
        <v>74</v>
      </c>
      <c r="AZ25" t="s">
        <v>74</v>
      </c>
      <c r="BA25" t="s">
        <v>74</v>
      </c>
      <c r="BB25">
        <v>522</v>
      </c>
      <c r="BC25">
        <v>544</v>
      </c>
      <c r="BD25" t="s">
        <v>74</v>
      </c>
      <c r="BE25" t="s">
        <v>699</v>
      </c>
      <c r="BF25" t="str">
        <f>HYPERLINK("http://dx.doi.org/10.1111/faf.12630","http://dx.doi.org/10.1111/faf.12630")</f>
        <v>http://dx.doi.org/10.1111/faf.12630</v>
      </c>
      <c r="BG25" t="s">
        <v>74</v>
      </c>
      <c r="BH25" t="s">
        <v>263</v>
      </c>
      <c r="BI25">
        <v>23</v>
      </c>
      <c r="BJ25" t="s">
        <v>700</v>
      </c>
      <c r="BK25" t="s">
        <v>207</v>
      </c>
      <c r="BL25" t="s">
        <v>700</v>
      </c>
      <c r="BM25" t="s">
        <v>701</v>
      </c>
      <c r="BN25" t="s">
        <v>74</v>
      </c>
      <c r="BO25" t="s">
        <v>582</v>
      </c>
      <c r="BP25" t="s">
        <v>74</v>
      </c>
      <c r="BQ25" t="s">
        <v>74</v>
      </c>
      <c r="BR25" t="s">
        <v>105</v>
      </c>
      <c r="BS25" t="s">
        <v>702</v>
      </c>
      <c r="BT25" t="str">
        <f>HYPERLINK("https%3A%2F%2Fwww.webofscience.com%2Fwos%2Fwoscc%2Ffull-record%2FWOS:000723559800001","View Full Record in Web of Science")</f>
        <v>View Full Record in Web of Science</v>
      </c>
    </row>
    <row r="26" spans="1:72" x14ac:dyDescent="0.15">
      <c r="A26" t="s">
        <v>72</v>
      </c>
      <c r="B26" t="s">
        <v>703</v>
      </c>
      <c r="C26" t="s">
        <v>74</v>
      </c>
      <c r="D26" t="s">
        <v>74</v>
      </c>
      <c r="E26" t="s">
        <v>74</v>
      </c>
      <c r="F26" t="s">
        <v>704</v>
      </c>
      <c r="G26" t="s">
        <v>74</v>
      </c>
      <c r="H26" t="s">
        <v>74</v>
      </c>
      <c r="I26" t="s">
        <v>705</v>
      </c>
      <c r="J26" t="s">
        <v>372</v>
      </c>
      <c r="K26" t="s">
        <v>74</v>
      </c>
      <c r="L26" t="s">
        <v>74</v>
      </c>
      <c r="M26" t="s">
        <v>78</v>
      </c>
      <c r="N26" t="s">
        <v>79</v>
      </c>
      <c r="O26" t="s">
        <v>74</v>
      </c>
      <c r="P26" t="s">
        <v>74</v>
      </c>
      <c r="Q26" t="s">
        <v>74</v>
      </c>
      <c r="R26" t="s">
        <v>74</v>
      </c>
      <c r="S26" t="s">
        <v>74</v>
      </c>
      <c r="T26" t="s">
        <v>706</v>
      </c>
      <c r="U26" t="s">
        <v>707</v>
      </c>
      <c r="V26" t="s">
        <v>708</v>
      </c>
      <c r="W26" t="s">
        <v>709</v>
      </c>
      <c r="X26" t="s">
        <v>710</v>
      </c>
      <c r="Y26" t="s">
        <v>711</v>
      </c>
      <c r="Z26" t="s">
        <v>712</v>
      </c>
      <c r="AA26" t="s">
        <v>713</v>
      </c>
      <c r="AB26" t="s">
        <v>714</v>
      </c>
      <c r="AC26" t="s">
        <v>715</v>
      </c>
      <c r="AD26" t="s">
        <v>716</v>
      </c>
      <c r="AE26" t="s">
        <v>717</v>
      </c>
      <c r="AF26" t="s">
        <v>74</v>
      </c>
      <c r="AG26">
        <v>112</v>
      </c>
      <c r="AH26">
        <v>4</v>
      </c>
      <c r="AI26">
        <v>4</v>
      </c>
      <c r="AJ26">
        <v>1</v>
      </c>
      <c r="AK26">
        <v>3</v>
      </c>
      <c r="AL26" t="s">
        <v>383</v>
      </c>
      <c r="AM26" t="s">
        <v>384</v>
      </c>
      <c r="AN26" t="s">
        <v>385</v>
      </c>
      <c r="AO26" t="s">
        <v>74</v>
      </c>
      <c r="AP26" t="s">
        <v>386</v>
      </c>
      <c r="AQ26" t="s">
        <v>74</v>
      </c>
      <c r="AR26" t="s">
        <v>387</v>
      </c>
      <c r="AS26" t="s">
        <v>388</v>
      </c>
      <c r="AT26" t="s">
        <v>389</v>
      </c>
      <c r="AU26">
        <v>2021</v>
      </c>
      <c r="AV26">
        <v>8</v>
      </c>
      <c r="AW26" t="s">
        <v>74</v>
      </c>
      <c r="AX26" t="s">
        <v>74</v>
      </c>
      <c r="AY26" t="s">
        <v>74</v>
      </c>
      <c r="AZ26" t="s">
        <v>74</v>
      </c>
      <c r="BA26" t="s">
        <v>74</v>
      </c>
      <c r="BB26" t="s">
        <v>74</v>
      </c>
      <c r="BC26" t="s">
        <v>74</v>
      </c>
      <c r="BD26">
        <v>745200</v>
      </c>
      <c r="BE26" t="s">
        <v>718</v>
      </c>
      <c r="BF26" t="str">
        <f>HYPERLINK("http://dx.doi.org/10.3389/fmars.2021.745200","http://dx.doi.org/10.3389/fmars.2021.745200")</f>
        <v>http://dx.doi.org/10.3389/fmars.2021.745200</v>
      </c>
      <c r="BG26" t="s">
        <v>74</v>
      </c>
      <c r="BH26" t="s">
        <v>74</v>
      </c>
      <c r="BI26">
        <v>18</v>
      </c>
      <c r="BJ26" t="s">
        <v>391</v>
      </c>
      <c r="BK26" t="s">
        <v>101</v>
      </c>
      <c r="BL26" t="s">
        <v>392</v>
      </c>
      <c r="BM26" t="s">
        <v>719</v>
      </c>
      <c r="BN26" t="s">
        <v>74</v>
      </c>
      <c r="BO26" t="s">
        <v>720</v>
      </c>
      <c r="BP26" t="s">
        <v>74</v>
      </c>
      <c r="BQ26" t="s">
        <v>74</v>
      </c>
      <c r="BR26" t="s">
        <v>105</v>
      </c>
      <c r="BS26" t="s">
        <v>721</v>
      </c>
      <c r="BT26" t="str">
        <f>HYPERLINK("https%3A%2F%2Fwww.webofscience.com%2Fwos%2Fwoscc%2Ffull-record%2FWOS:000967190400001","View Full Record in Web of Science")</f>
        <v>View Full Record in Web of Science</v>
      </c>
    </row>
    <row r="27" spans="1:72" x14ac:dyDescent="0.15">
      <c r="A27" t="s">
        <v>72</v>
      </c>
      <c r="B27" t="s">
        <v>722</v>
      </c>
      <c r="C27" t="s">
        <v>74</v>
      </c>
      <c r="D27" t="s">
        <v>74</v>
      </c>
      <c r="E27" t="s">
        <v>74</v>
      </c>
      <c r="F27" t="s">
        <v>723</v>
      </c>
      <c r="G27" t="s">
        <v>74</v>
      </c>
      <c r="H27" t="s">
        <v>74</v>
      </c>
      <c r="I27" t="s">
        <v>724</v>
      </c>
      <c r="J27" t="s">
        <v>725</v>
      </c>
      <c r="K27" t="s">
        <v>74</v>
      </c>
      <c r="L27" t="s">
        <v>74</v>
      </c>
      <c r="M27" t="s">
        <v>78</v>
      </c>
      <c r="N27" t="s">
        <v>79</v>
      </c>
      <c r="O27" t="s">
        <v>74</v>
      </c>
      <c r="P27" t="s">
        <v>74</v>
      </c>
      <c r="Q27" t="s">
        <v>74</v>
      </c>
      <c r="R27" t="s">
        <v>74</v>
      </c>
      <c r="S27" t="s">
        <v>74</v>
      </c>
      <c r="T27" t="s">
        <v>74</v>
      </c>
      <c r="U27" t="s">
        <v>726</v>
      </c>
      <c r="V27" t="s">
        <v>727</v>
      </c>
      <c r="W27" t="s">
        <v>728</v>
      </c>
      <c r="X27" t="s">
        <v>729</v>
      </c>
      <c r="Y27" t="s">
        <v>730</v>
      </c>
      <c r="Z27" t="s">
        <v>731</v>
      </c>
      <c r="AA27" t="s">
        <v>732</v>
      </c>
      <c r="AB27" t="s">
        <v>733</v>
      </c>
      <c r="AC27" t="s">
        <v>734</v>
      </c>
      <c r="AD27" t="s">
        <v>735</v>
      </c>
      <c r="AE27" t="s">
        <v>736</v>
      </c>
      <c r="AF27" t="s">
        <v>74</v>
      </c>
      <c r="AG27">
        <v>53</v>
      </c>
      <c r="AH27">
        <v>9</v>
      </c>
      <c r="AI27">
        <v>9</v>
      </c>
      <c r="AJ27">
        <v>2</v>
      </c>
      <c r="AK27">
        <v>22</v>
      </c>
      <c r="AL27" t="s">
        <v>492</v>
      </c>
      <c r="AM27" t="s">
        <v>493</v>
      </c>
      <c r="AN27" t="s">
        <v>494</v>
      </c>
      <c r="AO27" t="s">
        <v>737</v>
      </c>
      <c r="AP27" t="s">
        <v>738</v>
      </c>
      <c r="AQ27" t="s">
        <v>74</v>
      </c>
      <c r="AR27" t="s">
        <v>739</v>
      </c>
      <c r="AS27" t="s">
        <v>740</v>
      </c>
      <c r="AT27" t="s">
        <v>98</v>
      </c>
      <c r="AU27">
        <v>2021</v>
      </c>
      <c r="AV27">
        <v>14</v>
      </c>
      <c r="AW27">
        <v>12</v>
      </c>
      <c r="AX27" t="s">
        <v>74</v>
      </c>
      <c r="AY27" t="s">
        <v>74</v>
      </c>
      <c r="AZ27" t="s">
        <v>74</v>
      </c>
      <c r="BA27" t="s">
        <v>74</v>
      </c>
      <c r="BB27">
        <v>918</v>
      </c>
      <c r="BC27" t="s">
        <v>499</v>
      </c>
      <c r="BD27" t="s">
        <v>74</v>
      </c>
      <c r="BE27" t="s">
        <v>741</v>
      </c>
      <c r="BF27" t="str">
        <f>HYPERLINK("http://dx.doi.org/10.1038/s41561-021-00856-4","http://dx.doi.org/10.1038/s41561-021-00856-4")</f>
        <v>http://dx.doi.org/10.1038/s41561-021-00856-4</v>
      </c>
      <c r="BG27" t="s">
        <v>74</v>
      </c>
      <c r="BH27" t="s">
        <v>263</v>
      </c>
      <c r="BI27">
        <v>18</v>
      </c>
      <c r="BJ27" t="s">
        <v>236</v>
      </c>
      <c r="BK27" t="s">
        <v>101</v>
      </c>
      <c r="BL27" t="s">
        <v>237</v>
      </c>
      <c r="BM27" t="s">
        <v>742</v>
      </c>
      <c r="BN27" t="s">
        <v>74</v>
      </c>
      <c r="BO27" t="s">
        <v>74</v>
      </c>
      <c r="BP27" t="s">
        <v>74</v>
      </c>
      <c r="BQ27" t="s">
        <v>74</v>
      </c>
      <c r="BR27" t="s">
        <v>105</v>
      </c>
      <c r="BS27" t="s">
        <v>743</v>
      </c>
      <c r="BT27" t="str">
        <f>HYPERLINK("https%3A%2F%2Fwww.webofscience.com%2Fwos%2Fwoscc%2Ffull-record%2FWOS:000723566800003","View Full Record in Web of Science")</f>
        <v>View Full Record in Web of Science</v>
      </c>
    </row>
    <row r="28" spans="1:72" x14ac:dyDescent="0.15">
      <c r="A28" t="s">
        <v>72</v>
      </c>
      <c r="B28" t="s">
        <v>744</v>
      </c>
      <c r="C28" t="s">
        <v>74</v>
      </c>
      <c r="D28" t="s">
        <v>74</v>
      </c>
      <c r="E28" t="s">
        <v>74</v>
      </c>
      <c r="F28" t="s">
        <v>745</v>
      </c>
      <c r="G28" t="s">
        <v>74</v>
      </c>
      <c r="H28" t="s">
        <v>74</v>
      </c>
      <c r="I28" t="s">
        <v>746</v>
      </c>
      <c r="J28" t="s">
        <v>747</v>
      </c>
      <c r="K28" t="s">
        <v>74</v>
      </c>
      <c r="L28" t="s">
        <v>74</v>
      </c>
      <c r="M28" t="s">
        <v>78</v>
      </c>
      <c r="N28" t="s">
        <v>79</v>
      </c>
      <c r="O28" t="s">
        <v>74</v>
      </c>
      <c r="P28" t="s">
        <v>74</v>
      </c>
      <c r="Q28" t="s">
        <v>74</v>
      </c>
      <c r="R28" t="s">
        <v>74</v>
      </c>
      <c r="S28" t="s">
        <v>74</v>
      </c>
      <c r="T28" t="s">
        <v>748</v>
      </c>
      <c r="U28" t="s">
        <v>749</v>
      </c>
      <c r="V28" t="s">
        <v>750</v>
      </c>
      <c r="W28" t="s">
        <v>751</v>
      </c>
      <c r="X28" t="s">
        <v>752</v>
      </c>
      <c r="Y28" t="s">
        <v>753</v>
      </c>
      <c r="Z28" t="s">
        <v>754</v>
      </c>
      <c r="AA28" t="s">
        <v>755</v>
      </c>
      <c r="AB28" t="s">
        <v>756</v>
      </c>
      <c r="AC28" t="s">
        <v>757</v>
      </c>
      <c r="AD28" t="s">
        <v>758</v>
      </c>
      <c r="AE28" t="s">
        <v>759</v>
      </c>
      <c r="AF28" t="s">
        <v>74</v>
      </c>
      <c r="AG28">
        <v>61</v>
      </c>
      <c r="AH28">
        <v>12</v>
      </c>
      <c r="AI28">
        <v>12</v>
      </c>
      <c r="AJ28">
        <v>2</v>
      </c>
      <c r="AK28">
        <v>15</v>
      </c>
      <c r="AL28" t="s">
        <v>760</v>
      </c>
      <c r="AM28" t="s">
        <v>438</v>
      </c>
      <c r="AN28" t="s">
        <v>761</v>
      </c>
      <c r="AO28" t="s">
        <v>762</v>
      </c>
      <c r="AP28" t="s">
        <v>763</v>
      </c>
      <c r="AQ28" t="s">
        <v>74</v>
      </c>
      <c r="AR28" t="s">
        <v>764</v>
      </c>
      <c r="AS28" t="s">
        <v>765</v>
      </c>
      <c r="AT28" t="s">
        <v>766</v>
      </c>
      <c r="AU28">
        <v>2021</v>
      </c>
      <c r="AV28">
        <v>48</v>
      </c>
      <c r="AW28">
        <v>22</v>
      </c>
      <c r="AX28" t="s">
        <v>74</v>
      </c>
      <c r="AY28" t="s">
        <v>74</v>
      </c>
      <c r="AZ28" t="s">
        <v>74</v>
      </c>
      <c r="BA28" t="s">
        <v>74</v>
      </c>
      <c r="BB28" t="s">
        <v>74</v>
      </c>
      <c r="BC28" t="s">
        <v>74</v>
      </c>
      <c r="BD28" t="s">
        <v>767</v>
      </c>
      <c r="BE28" t="s">
        <v>768</v>
      </c>
      <c r="BF28" t="str">
        <f>HYPERLINK("http://dx.doi.org/10.1029/2021GL095413","http://dx.doi.org/10.1029/2021GL095413")</f>
        <v>http://dx.doi.org/10.1029/2021GL095413</v>
      </c>
      <c r="BG28" t="s">
        <v>74</v>
      </c>
      <c r="BH28" t="s">
        <v>74</v>
      </c>
      <c r="BI28">
        <v>11</v>
      </c>
      <c r="BJ28" t="s">
        <v>236</v>
      </c>
      <c r="BK28" t="s">
        <v>101</v>
      </c>
      <c r="BL28" t="s">
        <v>237</v>
      </c>
      <c r="BM28" t="s">
        <v>769</v>
      </c>
      <c r="BN28" t="s">
        <v>74</v>
      </c>
      <c r="BO28" t="s">
        <v>582</v>
      </c>
      <c r="BP28" t="s">
        <v>74</v>
      </c>
      <c r="BQ28" t="s">
        <v>74</v>
      </c>
      <c r="BR28" t="s">
        <v>105</v>
      </c>
      <c r="BS28" t="s">
        <v>770</v>
      </c>
      <c r="BT28" t="str">
        <f>HYPERLINK("https%3A%2F%2Fwww.webofscience.com%2Fwos%2Fwoscc%2Ffull-record%2FWOS:000723105600025","View Full Record in Web of Science")</f>
        <v>View Full Record in Web of Science</v>
      </c>
    </row>
    <row r="29" spans="1:72" x14ac:dyDescent="0.15">
      <c r="A29" t="s">
        <v>72</v>
      </c>
      <c r="B29" t="s">
        <v>771</v>
      </c>
      <c r="C29" t="s">
        <v>74</v>
      </c>
      <c r="D29" t="s">
        <v>74</v>
      </c>
      <c r="E29" t="s">
        <v>74</v>
      </c>
      <c r="F29" t="s">
        <v>772</v>
      </c>
      <c r="G29" t="s">
        <v>74</v>
      </c>
      <c r="H29" t="s">
        <v>74</v>
      </c>
      <c r="I29" t="s">
        <v>773</v>
      </c>
      <c r="J29" t="s">
        <v>747</v>
      </c>
      <c r="K29" t="s">
        <v>74</v>
      </c>
      <c r="L29" t="s">
        <v>74</v>
      </c>
      <c r="M29" t="s">
        <v>78</v>
      </c>
      <c r="N29" t="s">
        <v>79</v>
      </c>
      <c r="O29" t="s">
        <v>74</v>
      </c>
      <c r="P29" t="s">
        <v>74</v>
      </c>
      <c r="Q29" t="s">
        <v>74</v>
      </c>
      <c r="R29" t="s">
        <v>74</v>
      </c>
      <c r="S29" t="s">
        <v>74</v>
      </c>
      <c r="T29" t="s">
        <v>774</v>
      </c>
      <c r="U29" t="s">
        <v>775</v>
      </c>
      <c r="V29" t="s">
        <v>776</v>
      </c>
      <c r="W29" t="s">
        <v>777</v>
      </c>
      <c r="X29" t="s">
        <v>778</v>
      </c>
      <c r="Y29" t="s">
        <v>779</v>
      </c>
      <c r="Z29" t="s">
        <v>780</v>
      </c>
      <c r="AA29" t="s">
        <v>781</v>
      </c>
      <c r="AB29" t="s">
        <v>782</v>
      </c>
      <c r="AC29" t="s">
        <v>783</v>
      </c>
      <c r="AD29" t="s">
        <v>784</v>
      </c>
      <c r="AE29" t="s">
        <v>785</v>
      </c>
      <c r="AF29" t="s">
        <v>74</v>
      </c>
      <c r="AG29">
        <v>51</v>
      </c>
      <c r="AH29">
        <v>3</v>
      </c>
      <c r="AI29">
        <v>3</v>
      </c>
      <c r="AJ29">
        <v>0</v>
      </c>
      <c r="AK29">
        <v>8</v>
      </c>
      <c r="AL29" t="s">
        <v>760</v>
      </c>
      <c r="AM29" t="s">
        <v>438</v>
      </c>
      <c r="AN29" t="s">
        <v>761</v>
      </c>
      <c r="AO29" t="s">
        <v>762</v>
      </c>
      <c r="AP29" t="s">
        <v>763</v>
      </c>
      <c r="AQ29" t="s">
        <v>74</v>
      </c>
      <c r="AR29" t="s">
        <v>764</v>
      </c>
      <c r="AS29" t="s">
        <v>765</v>
      </c>
      <c r="AT29" t="s">
        <v>766</v>
      </c>
      <c r="AU29">
        <v>2021</v>
      </c>
      <c r="AV29">
        <v>48</v>
      </c>
      <c r="AW29">
        <v>22</v>
      </c>
      <c r="AX29" t="s">
        <v>74</v>
      </c>
      <c r="AY29" t="s">
        <v>74</v>
      </c>
      <c r="AZ29" t="s">
        <v>74</v>
      </c>
      <c r="BA29" t="s">
        <v>74</v>
      </c>
      <c r="BB29" t="s">
        <v>74</v>
      </c>
      <c r="BC29" t="s">
        <v>74</v>
      </c>
      <c r="BD29" t="s">
        <v>786</v>
      </c>
      <c r="BE29" t="s">
        <v>787</v>
      </c>
      <c r="BF29" t="str">
        <f>HYPERLINK("http://dx.doi.org/10.1029/2021GL094967","http://dx.doi.org/10.1029/2021GL094967")</f>
        <v>http://dx.doi.org/10.1029/2021GL094967</v>
      </c>
      <c r="BG29" t="s">
        <v>74</v>
      </c>
      <c r="BH29" t="s">
        <v>74</v>
      </c>
      <c r="BI29">
        <v>11</v>
      </c>
      <c r="BJ29" t="s">
        <v>236</v>
      </c>
      <c r="BK29" t="s">
        <v>101</v>
      </c>
      <c r="BL29" t="s">
        <v>237</v>
      </c>
      <c r="BM29" t="s">
        <v>769</v>
      </c>
      <c r="BN29" t="s">
        <v>74</v>
      </c>
      <c r="BO29" t="s">
        <v>180</v>
      </c>
      <c r="BP29" t="s">
        <v>74</v>
      </c>
      <c r="BQ29" t="s">
        <v>74</v>
      </c>
      <c r="BR29" t="s">
        <v>105</v>
      </c>
      <c r="BS29" t="s">
        <v>788</v>
      </c>
      <c r="BT29" t="str">
        <f>HYPERLINK("https%3A%2F%2Fwww.webofscience.com%2Fwos%2Fwoscc%2Ffull-record%2FWOS:000723105600041","View Full Record in Web of Science")</f>
        <v>View Full Record in Web of Science</v>
      </c>
    </row>
    <row r="30" spans="1:72" x14ac:dyDescent="0.15">
      <c r="A30" t="s">
        <v>72</v>
      </c>
      <c r="B30" t="s">
        <v>789</v>
      </c>
      <c r="C30" t="s">
        <v>74</v>
      </c>
      <c r="D30" t="s">
        <v>74</v>
      </c>
      <c r="E30" t="s">
        <v>74</v>
      </c>
      <c r="F30" t="s">
        <v>790</v>
      </c>
      <c r="G30" t="s">
        <v>74</v>
      </c>
      <c r="H30" t="s">
        <v>74</v>
      </c>
      <c r="I30" t="s">
        <v>791</v>
      </c>
      <c r="J30" t="s">
        <v>747</v>
      </c>
      <c r="K30" t="s">
        <v>74</v>
      </c>
      <c r="L30" t="s">
        <v>74</v>
      </c>
      <c r="M30" t="s">
        <v>78</v>
      </c>
      <c r="N30" t="s">
        <v>79</v>
      </c>
      <c r="O30" t="s">
        <v>74</v>
      </c>
      <c r="P30" t="s">
        <v>74</v>
      </c>
      <c r="Q30" t="s">
        <v>74</v>
      </c>
      <c r="R30" t="s">
        <v>74</v>
      </c>
      <c r="S30" t="s">
        <v>74</v>
      </c>
      <c r="T30" t="s">
        <v>792</v>
      </c>
      <c r="U30" t="s">
        <v>793</v>
      </c>
      <c r="V30" t="s">
        <v>794</v>
      </c>
      <c r="W30" t="s">
        <v>795</v>
      </c>
      <c r="X30" t="s">
        <v>796</v>
      </c>
      <c r="Y30" t="s">
        <v>797</v>
      </c>
      <c r="Z30" t="s">
        <v>798</v>
      </c>
      <c r="AA30" t="s">
        <v>799</v>
      </c>
      <c r="AB30" t="s">
        <v>800</v>
      </c>
      <c r="AC30" t="s">
        <v>801</v>
      </c>
      <c r="AD30" t="s">
        <v>802</v>
      </c>
      <c r="AE30" t="s">
        <v>803</v>
      </c>
      <c r="AF30" t="s">
        <v>74</v>
      </c>
      <c r="AG30">
        <v>35</v>
      </c>
      <c r="AH30">
        <v>28</v>
      </c>
      <c r="AI30">
        <v>29</v>
      </c>
      <c r="AJ30">
        <v>34</v>
      </c>
      <c r="AK30">
        <v>130</v>
      </c>
      <c r="AL30" t="s">
        <v>760</v>
      </c>
      <c r="AM30" t="s">
        <v>438</v>
      </c>
      <c r="AN30" t="s">
        <v>761</v>
      </c>
      <c r="AO30" t="s">
        <v>762</v>
      </c>
      <c r="AP30" t="s">
        <v>763</v>
      </c>
      <c r="AQ30" t="s">
        <v>74</v>
      </c>
      <c r="AR30" t="s">
        <v>764</v>
      </c>
      <c r="AS30" t="s">
        <v>765</v>
      </c>
      <c r="AT30" t="s">
        <v>766</v>
      </c>
      <c r="AU30">
        <v>2021</v>
      </c>
      <c r="AV30">
        <v>48</v>
      </c>
      <c r="AW30">
        <v>22</v>
      </c>
      <c r="AX30" t="s">
        <v>74</v>
      </c>
      <c r="AY30" t="s">
        <v>74</v>
      </c>
      <c r="AZ30" t="s">
        <v>74</v>
      </c>
      <c r="BA30" t="s">
        <v>74</v>
      </c>
      <c r="BB30" t="s">
        <v>74</v>
      </c>
      <c r="BC30" t="s">
        <v>74</v>
      </c>
      <c r="BD30" t="s">
        <v>804</v>
      </c>
      <c r="BE30" t="s">
        <v>805</v>
      </c>
      <c r="BF30" t="str">
        <f>HYPERLINK("http://dx.doi.org/10.1029/2021GL095232","http://dx.doi.org/10.1029/2021GL095232")</f>
        <v>http://dx.doi.org/10.1029/2021GL095232</v>
      </c>
      <c r="BG30" t="s">
        <v>74</v>
      </c>
      <c r="BH30" t="s">
        <v>74</v>
      </c>
      <c r="BI30">
        <v>10</v>
      </c>
      <c r="BJ30" t="s">
        <v>236</v>
      </c>
      <c r="BK30" t="s">
        <v>101</v>
      </c>
      <c r="BL30" t="s">
        <v>237</v>
      </c>
      <c r="BM30" t="s">
        <v>769</v>
      </c>
      <c r="BN30">
        <v>35864979</v>
      </c>
      <c r="BO30" t="s">
        <v>343</v>
      </c>
      <c r="BP30" t="s">
        <v>74</v>
      </c>
      <c r="BQ30" t="s">
        <v>74</v>
      </c>
      <c r="BR30" t="s">
        <v>105</v>
      </c>
      <c r="BS30" t="s">
        <v>806</v>
      </c>
      <c r="BT30" t="str">
        <f>HYPERLINK("https%3A%2F%2Fwww.webofscience.com%2Fwos%2Fwoscc%2Ffull-record%2FWOS:000723105600003","View Full Record in Web of Science")</f>
        <v>View Full Record in Web of Science</v>
      </c>
    </row>
    <row r="31" spans="1:72" x14ac:dyDescent="0.15">
      <c r="A31" t="s">
        <v>72</v>
      </c>
      <c r="B31" t="s">
        <v>807</v>
      </c>
      <c r="C31" t="s">
        <v>74</v>
      </c>
      <c r="D31" t="s">
        <v>74</v>
      </c>
      <c r="E31" t="s">
        <v>74</v>
      </c>
      <c r="F31" t="s">
        <v>808</v>
      </c>
      <c r="G31" t="s">
        <v>74</v>
      </c>
      <c r="H31" t="s">
        <v>74</v>
      </c>
      <c r="I31" t="s">
        <v>809</v>
      </c>
      <c r="J31" t="s">
        <v>810</v>
      </c>
      <c r="K31" t="s">
        <v>74</v>
      </c>
      <c r="L31" t="s">
        <v>74</v>
      </c>
      <c r="M31" t="s">
        <v>78</v>
      </c>
      <c r="N31" t="s">
        <v>79</v>
      </c>
      <c r="O31" t="s">
        <v>74</v>
      </c>
      <c r="P31" t="s">
        <v>74</v>
      </c>
      <c r="Q31" t="s">
        <v>74</v>
      </c>
      <c r="R31" t="s">
        <v>74</v>
      </c>
      <c r="S31" t="s">
        <v>74</v>
      </c>
      <c r="T31" t="s">
        <v>811</v>
      </c>
      <c r="U31" t="s">
        <v>812</v>
      </c>
      <c r="V31" t="s">
        <v>813</v>
      </c>
      <c r="W31" t="s">
        <v>814</v>
      </c>
      <c r="X31" t="s">
        <v>815</v>
      </c>
      <c r="Y31" t="s">
        <v>816</v>
      </c>
      <c r="Z31" t="s">
        <v>817</v>
      </c>
      <c r="AA31" t="s">
        <v>818</v>
      </c>
      <c r="AB31" t="s">
        <v>819</v>
      </c>
      <c r="AC31" t="s">
        <v>820</v>
      </c>
      <c r="AD31" t="s">
        <v>821</v>
      </c>
      <c r="AE31" t="s">
        <v>822</v>
      </c>
      <c r="AF31" t="s">
        <v>74</v>
      </c>
      <c r="AG31">
        <v>59</v>
      </c>
      <c r="AH31">
        <v>4</v>
      </c>
      <c r="AI31">
        <v>4</v>
      </c>
      <c r="AJ31">
        <v>2</v>
      </c>
      <c r="AK31">
        <v>32</v>
      </c>
      <c r="AL31" t="s">
        <v>572</v>
      </c>
      <c r="AM31" t="s">
        <v>573</v>
      </c>
      <c r="AN31" t="s">
        <v>574</v>
      </c>
      <c r="AO31" t="s">
        <v>823</v>
      </c>
      <c r="AP31" t="s">
        <v>824</v>
      </c>
      <c r="AQ31" t="s">
        <v>74</v>
      </c>
      <c r="AR31" t="s">
        <v>825</v>
      </c>
      <c r="AS31" t="s">
        <v>826</v>
      </c>
      <c r="AT31" t="s">
        <v>827</v>
      </c>
      <c r="AU31">
        <v>2022</v>
      </c>
      <c r="AV31">
        <v>42</v>
      </c>
      <c r="AW31">
        <v>7</v>
      </c>
      <c r="AX31" t="s">
        <v>74</v>
      </c>
      <c r="AY31" t="s">
        <v>74</v>
      </c>
      <c r="AZ31" t="s">
        <v>74</v>
      </c>
      <c r="BA31" t="s">
        <v>74</v>
      </c>
      <c r="BB31">
        <v>3820</v>
      </c>
      <c r="BC31">
        <v>3837</v>
      </c>
      <c r="BD31" t="s">
        <v>74</v>
      </c>
      <c r="BE31" t="s">
        <v>828</v>
      </c>
      <c r="BF31" t="str">
        <f>HYPERLINK("http://dx.doi.org/10.1002/joc.7447","http://dx.doi.org/10.1002/joc.7447")</f>
        <v>http://dx.doi.org/10.1002/joc.7447</v>
      </c>
      <c r="BG31" t="s">
        <v>74</v>
      </c>
      <c r="BH31" t="s">
        <v>263</v>
      </c>
      <c r="BI31">
        <v>18</v>
      </c>
      <c r="BJ31" t="s">
        <v>829</v>
      </c>
      <c r="BK31" t="s">
        <v>101</v>
      </c>
      <c r="BL31" t="s">
        <v>829</v>
      </c>
      <c r="BM31" t="s">
        <v>830</v>
      </c>
      <c r="BN31" t="s">
        <v>74</v>
      </c>
      <c r="BO31" t="s">
        <v>74</v>
      </c>
      <c r="BP31" t="s">
        <v>74</v>
      </c>
      <c r="BQ31" t="s">
        <v>74</v>
      </c>
      <c r="BR31" t="s">
        <v>105</v>
      </c>
      <c r="BS31" t="s">
        <v>831</v>
      </c>
      <c r="BT31" t="str">
        <f>HYPERLINK("https%3A%2F%2Fwww.webofscience.com%2Fwos%2Fwoscc%2Ffull-record%2FWOS:000723011800001","View Full Record in Web of Science")</f>
        <v>View Full Record in Web of Science</v>
      </c>
    </row>
    <row r="32" spans="1:72" x14ac:dyDescent="0.15">
      <c r="A32" t="s">
        <v>72</v>
      </c>
      <c r="B32" t="s">
        <v>832</v>
      </c>
      <c r="C32" t="s">
        <v>74</v>
      </c>
      <c r="D32" t="s">
        <v>74</v>
      </c>
      <c r="E32" t="s">
        <v>74</v>
      </c>
      <c r="F32" t="s">
        <v>833</v>
      </c>
      <c r="G32" t="s">
        <v>74</v>
      </c>
      <c r="H32" t="s">
        <v>74</v>
      </c>
      <c r="I32" t="s">
        <v>834</v>
      </c>
      <c r="J32" t="s">
        <v>835</v>
      </c>
      <c r="K32" t="s">
        <v>74</v>
      </c>
      <c r="L32" t="s">
        <v>74</v>
      </c>
      <c r="M32" t="s">
        <v>78</v>
      </c>
      <c r="N32" t="s">
        <v>79</v>
      </c>
      <c r="O32" t="s">
        <v>74</v>
      </c>
      <c r="P32" t="s">
        <v>74</v>
      </c>
      <c r="Q32" t="s">
        <v>74</v>
      </c>
      <c r="R32" t="s">
        <v>74</v>
      </c>
      <c r="S32" t="s">
        <v>74</v>
      </c>
      <c r="T32" t="s">
        <v>836</v>
      </c>
      <c r="U32" t="s">
        <v>837</v>
      </c>
      <c r="V32" t="s">
        <v>838</v>
      </c>
      <c r="W32" t="s">
        <v>839</v>
      </c>
      <c r="X32" t="s">
        <v>840</v>
      </c>
      <c r="Y32" t="s">
        <v>841</v>
      </c>
      <c r="Z32" t="s">
        <v>842</v>
      </c>
      <c r="AA32" t="s">
        <v>74</v>
      </c>
      <c r="AB32" t="s">
        <v>843</v>
      </c>
      <c r="AC32" t="s">
        <v>844</v>
      </c>
      <c r="AD32" t="s">
        <v>845</v>
      </c>
      <c r="AE32" t="s">
        <v>846</v>
      </c>
      <c r="AF32" t="s">
        <v>74</v>
      </c>
      <c r="AG32">
        <v>54</v>
      </c>
      <c r="AH32">
        <v>4</v>
      </c>
      <c r="AI32">
        <v>4</v>
      </c>
      <c r="AJ32">
        <v>0</v>
      </c>
      <c r="AK32">
        <v>4</v>
      </c>
      <c r="AL32" t="s">
        <v>847</v>
      </c>
      <c r="AM32" t="s">
        <v>848</v>
      </c>
      <c r="AN32" t="s">
        <v>849</v>
      </c>
      <c r="AO32" t="s">
        <v>850</v>
      </c>
      <c r="AP32" t="s">
        <v>851</v>
      </c>
      <c r="AQ32" t="s">
        <v>74</v>
      </c>
      <c r="AR32" t="s">
        <v>852</v>
      </c>
      <c r="AS32" t="s">
        <v>853</v>
      </c>
      <c r="AT32" t="s">
        <v>854</v>
      </c>
      <c r="AU32">
        <v>2022</v>
      </c>
      <c r="AV32">
        <v>806</v>
      </c>
      <c r="AW32" t="s">
        <v>74</v>
      </c>
      <c r="AX32">
        <v>4</v>
      </c>
      <c r="AY32" t="s">
        <v>74</v>
      </c>
      <c r="AZ32" t="s">
        <v>74</v>
      </c>
      <c r="BA32" t="s">
        <v>74</v>
      </c>
      <c r="BB32" t="s">
        <v>74</v>
      </c>
      <c r="BC32" t="s">
        <v>74</v>
      </c>
      <c r="BD32">
        <v>150943</v>
      </c>
      <c r="BE32" t="s">
        <v>855</v>
      </c>
      <c r="BF32" t="str">
        <f>HYPERLINK("http://dx.doi.org/10.1016/j.scitotenv.2021.150943","http://dx.doi.org/10.1016/j.scitotenv.2021.150943")</f>
        <v>http://dx.doi.org/10.1016/j.scitotenv.2021.150943</v>
      </c>
      <c r="BG32" t="s">
        <v>74</v>
      </c>
      <c r="BH32" t="s">
        <v>263</v>
      </c>
      <c r="BI32">
        <v>11</v>
      </c>
      <c r="BJ32" t="s">
        <v>856</v>
      </c>
      <c r="BK32" t="s">
        <v>101</v>
      </c>
      <c r="BL32" t="s">
        <v>630</v>
      </c>
      <c r="BM32" t="s">
        <v>857</v>
      </c>
      <c r="BN32">
        <v>34655637</v>
      </c>
      <c r="BO32" t="s">
        <v>858</v>
      </c>
      <c r="BP32" t="s">
        <v>74</v>
      </c>
      <c r="BQ32" t="s">
        <v>74</v>
      </c>
      <c r="BR32" t="s">
        <v>105</v>
      </c>
      <c r="BS32" t="s">
        <v>859</v>
      </c>
      <c r="BT32" t="str">
        <f>HYPERLINK("https%3A%2F%2Fwww.webofscience.com%2Fwos%2Fwoscc%2Ffull-record%2FWOS:000740222600009","View Full Record in Web of Science")</f>
        <v>View Full Record in Web of Science</v>
      </c>
    </row>
    <row r="33" spans="1:72" x14ac:dyDescent="0.15">
      <c r="A33" t="s">
        <v>72</v>
      </c>
      <c r="B33" t="s">
        <v>860</v>
      </c>
      <c r="C33" t="s">
        <v>74</v>
      </c>
      <c r="D33" t="s">
        <v>74</v>
      </c>
      <c r="E33" t="s">
        <v>74</v>
      </c>
      <c r="F33" t="s">
        <v>861</v>
      </c>
      <c r="G33" t="s">
        <v>74</v>
      </c>
      <c r="H33" t="s">
        <v>74</v>
      </c>
      <c r="I33" t="s">
        <v>862</v>
      </c>
      <c r="J33" t="s">
        <v>863</v>
      </c>
      <c r="K33" t="s">
        <v>74</v>
      </c>
      <c r="L33" t="s">
        <v>74</v>
      </c>
      <c r="M33" t="s">
        <v>78</v>
      </c>
      <c r="N33" t="s">
        <v>79</v>
      </c>
      <c r="O33" t="s">
        <v>74</v>
      </c>
      <c r="P33" t="s">
        <v>74</v>
      </c>
      <c r="Q33" t="s">
        <v>74</v>
      </c>
      <c r="R33" t="s">
        <v>74</v>
      </c>
      <c r="S33" t="s">
        <v>74</v>
      </c>
      <c r="T33" t="s">
        <v>864</v>
      </c>
      <c r="U33" t="s">
        <v>865</v>
      </c>
      <c r="V33" t="s">
        <v>866</v>
      </c>
      <c r="W33" t="s">
        <v>867</v>
      </c>
      <c r="X33" t="s">
        <v>868</v>
      </c>
      <c r="Y33" t="s">
        <v>869</v>
      </c>
      <c r="Z33" t="s">
        <v>870</v>
      </c>
      <c r="AA33" t="s">
        <v>871</v>
      </c>
      <c r="AB33" t="s">
        <v>872</v>
      </c>
      <c r="AC33" t="s">
        <v>873</v>
      </c>
      <c r="AD33" t="s">
        <v>874</v>
      </c>
      <c r="AE33" t="s">
        <v>875</v>
      </c>
      <c r="AF33" t="s">
        <v>74</v>
      </c>
      <c r="AG33">
        <v>77</v>
      </c>
      <c r="AH33">
        <v>10</v>
      </c>
      <c r="AI33">
        <v>10</v>
      </c>
      <c r="AJ33">
        <v>0</v>
      </c>
      <c r="AK33">
        <v>6</v>
      </c>
      <c r="AL33" t="s">
        <v>255</v>
      </c>
      <c r="AM33" t="s">
        <v>256</v>
      </c>
      <c r="AN33" t="s">
        <v>257</v>
      </c>
      <c r="AO33" t="s">
        <v>876</v>
      </c>
      <c r="AP33" t="s">
        <v>877</v>
      </c>
      <c r="AQ33" t="s">
        <v>74</v>
      </c>
      <c r="AR33" t="s">
        <v>878</v>
      </c>
      <c r="AS33" t="s">
        <v>879</v>
      </c>
      <c r="AT33" t="s">
        <v>416</v>
      </c>
      <c r="AU33">
        <v>2022</v>
      </c>
      <c r="AV33">
        <v>179</v>
      </c>
      <c r="AW33" t="s">
        <v>74</v>
      </c>
      <c r="AX33" t="s">
        <v>74</v>
      </c>
      <c r="AY33" t="s">
        <v>74</v>
      </c>
      <c r="AZ33" t="s">
        <v>74</v>
      </c>
      <c r="BA33" t="s">
        <v>74</v>
      </c>
      <c r="BB33" t="s">
        <v>74</v>
      </c>
      <c r="BC33" t="s">
        <v>74</v>
      </c>
      <c r="BD33">
        <v>103667</v>
      </c>
      <c r="BE33" t="s">
        <v>880</v>
      </c>
      <c r="BF33" t="str">
        <f>HYPERLINK("http://dx.doi.org/10.1016/j.dsr.2021.103667","http://dx.doi.org/10.1016/j.dsr.2021.103667")</f>
        <v>http://dx.doi.org/10.1016/j.dsr.2021.103667</v>
      </c>
      <c r="BG33" t="s">
        <v>74</v>
      </c>
      <c r="BH33" t="s">
        <v>263</v>
      </c>
      <c r="BI33">
        <v>11</v>
      </c>
      <c r="BJ33" t="s">
        <v>264</v>
      </c>
      <c r="BK33" t="s">
        <v>101</v>
      </c>
      <c r="BL33" t="s">
        <v>264</v>
      </c>
      <c r="BM33" t="s">
        <v>881</v>
      </c>
      <c r="BN33" t="s">
        <v>74</v>
      </c>
      <c r="BO33" t="s">
        <v>314</v>
      </c>
      <c r="BP33" t="s">
        <v>74</v>
      </c>
      <c r="BQ33" t="s">
        <v>74</v>
      </c>
      <c r="BR33" t="s">
        <v>105</v>
      </c>
      <c r="BS33" t="s">
        <v>882</v>
      </c>
      <c r="BT33" t="str">
        <f>HYPERLINK("https%3A%2F%2Fwww.webofscience.com%2Fwos%2Fwoscc%2Ffull-record%2FWOS:000725611700002","View Full Record in Web of Science")</f>
        <v>View Full Record in Web of Science</v>
      </c>
    </row>
    <row r="34" spans="1:72" x14ac:dyDescent="0.15">
      <c r="A34" t="s">
        <v>72</v>
      </c>
      <c r="B34" t="s">
        <v>883</v>
      </c>
      <c r="C34" t="s">
        <v>74</v>
      </c>
      <c r="D34" t="s">
        <v>74</v>
      </c>
      <c r="E34" t="s">
        <v>74</v>
      </c>
      <c r="F34" t="s">
        <v>884</v>
      </c>
      <c r="G34" t="s">
        <v>74</v>
      </c>
      <c r="H34" t="s">
        <v>74</v>
      </c>
      <c r="I34" t="s">
        <v>885</v>
      </c>
      <c r="J34" t="s">
        <v>886</v>
      </c>
      <c r="K34" t="s">
        <v>74</v>
      </c>
      <c r="L34" t="s">
        <v>74</v>
      </c>
      <c r="M34" t="s">
        <v>78</v>
      </c>
      <c r="N34" t="s">
        <v>79</v>
      </c>
      <c r="O34" t="s">
        <v>74</v>
      </c>
      <c r="P34" t="s">
        <v>74</v>
      </c>
      <c r="Q34" t="s">
        <v>74</v>
      </c>
      <c r="R34" t="s">
        <v>74</v>
      </c>
      <c r="S34" t="s">
        <v>74</v>
      </c>
      <c r="T34" t="s">
        <v>887</v>
      </c>
      <c r="U34" t="s">
        <v>888</v>
      </c>
      <c r="V34" t="s">
        <v>889</v>
      </c>
      <c r="W34" t="s">
        <v>890</v>
      </c>
      <c r="X34" t="s">
        <v>891</v>
      </c>
      <c r="Y34" t="s">
        <v>892</v>
      </c>
      <c r="Z34" t="s">
        <v>893</v>
      </c>
      <c r="AA34" t="s">
        <v>894</v>
      </c>
      <c r="AB34" t="s">
        <v>895</v>
      </c>
      <c r="AC34" t="s">
        <v>896</v>
      </c>
      <c r="AD34" t="s">
        <v>897</v>
      </c>
      <c r="AE34" t="s">
        <v>898</v>
      </c>
      <c r="AF34" t="s">
        <v>74</v>
      </c>
      <c r="AG34">
        <v>138</v>
      </c>
      <c r="AH34">
        <v>18</v>
      </c>
      <c r="AI34">
        <v>18</v>
      </c>
      <c r="AJ34">
        <v>5</v>
      </c>
      <c r="AK34">
        <v>35</v>
      </c>
      <c r="AL34" t="s">
        <v>760</v>
      </c>
      <c r="AM34" t="s">
        <v>438</v>
      </c>
      <c r="AN34" t="s">
        <v>761</v>
      </c>
      <c r="AO34" t="s">
        <v>899</v>
      </c>
      <c r="AP34" t="s">
        <v>900</v>
      </c>
      <c r="AQ34" t="s">
        <v>74</v>
      </c>
      <c r="AR34" t="s">
        <v>901</v>
      </c>
      <c r="AS34" t="s">
        <v>902</v>
      </c>
      <c r="AT34" t="s">
        <v>903</v>
      </c>
      <c r="AU34">
        <v>2021</v>
      </c>
      <c r="AV34">
        <v>126</v>
      </c>
      <c r="AW34">
        <v>22</v>
      </c>
      <c r="AX34" t="s">
        <v>74</v>
      </c>
      <c r="AY34" t="s">
        <v>74</v>
      </c>
      <c r="AZ34" t="s">
        <v>74</v>
      </c>
      <c r="BA34" t="s">
        <v>74</v>
      </c>
      <c r="BB34" t="s">
        <v>74</v>
      </c>
      <c r="BC34" t="s">
        <v>74</v>
      </c>
      <c r="BD34" t="s">
        <v>904</v>
      </c>
      <c r="BE34" t="s">
        <v>905</v>
      </c>
      <c r="BF34" t="str">
        <f>HYPERLINK("http://dx.doi.org/10.1029/2021JD035126","http://dx.doi.org/10.1029/2021JD035126")</f>
        <v>http://dx.doi.org/10.1029/2021JD035126</v>
      </c>
      <c r="BG34" t="s">
        <v>74</v>
      </c>
      <c r="BH34" t="s">
        <v>74</v>
      </c>
      <c r="BI34">
        <v>25</v>
      </c>
      <c r="BJ34" t="s">
        <v>829</v>
      </c>
      <c r="BK34" t="s">
        <v>101</v>
      </c>
      <c r="BL34" t="s">
        <v>829</v>
      </c>
      <c r="BM34" t="s">
        <v>906</v>
      </c>
      <c r="BN34" t="s">
        <v>74</v>
      </c>
      <c r="BO34" t="s">
        <v>180</v>
      </c>
      <c r="BP34" t="s">
        <v>74</v>
      </c>
      <c r="BQ34" t="s">
        <v>74</v>
      </c>
      <c r="BR34" t="s">
        <v>105</v>
      </c>
      <c r="BS34" t="s">
        <v>907</v>
      </c>
      <c r="BT34" t="str">
        <f>HYPERLINK("https%3A%2F%2Fwww.webofscience.com%2Fwos%2Fwoscc%2Ffull-record%2FWOS:000723100300024","View Full Record in Web of Science")</f>
        <v>View Full Record in Web of Science</v>
      </c>
    </row>
    <row r="35" spans="1:72" x14ac:dyDescent="0.15">
      <c r="A35" t="s">
        <v>72</v>
      </c>
      <c r="B35" t="s">
        <v>908</v>
      </c>
      <c r="C35" t="s">
        <v>74</v>
      </c>
      <c r="D35" t="s">
        <v>74</v>
      </c>
      <c r="E35" t="s">
        <v>74</v>
      </c>
      <c r="F35" t="s">
        <v>909</v>
      </c>
      <c r="G35" t="s">
        <v>74</v>
      </c>
      <c r="H35" t="s">
        <v>74</v>
      </c>
      <c r="I35" t="s">
        <v>910</v>
      </c>
      <c r="J35" t="s">
        <v>911</v>
      </c>
      <c r="K35" t="s">
        <v>74</v>
      </c>
      <c r="L35" t="s">
        <v>74</v>
      </c>
      <c r="M35" t="s">
        <v>78</v>
      </c>
      <c r="N35" t="s">
        <v>79</v>
      </c>
      <c r="O35" t="s">
        <v>74</v>
      </c>
      <c r="P35" t="s">
        <v>74</v>
      </c>
      <c r="Q35" t="s">
        <v>74</v>
      </c>
      <c r="R35" t="s">
        <v>74</v>
      </c>
      <c r="S35" t="s">
        <v>74</v>
      </c>
      <c r="T35" t="s">
        <v>912</v>
      </c>
      <c r="U35" t="s">
        <v>913</v>
      </c>
      <c r="V35" t="s">
        <v>914</v>
      </c>
      <c r="W35" t="s">
        <v>915</v>
      </c>
      <c r="X35" t="s">
        <v>916</v>
      </c>
      <c r="Y35" t="s">
        <v>917</v>
      </c>
      <c r="Z35" t="s">
        <v>918</v>
      </c>
      <c r="AA35" t="s">
        <v>919</v>
      </c>
      <c r="AB35" t="s">
        <v>920</v>
      </c>
      <c r="AC35" t="s">
        <v>921</v>
      </c>
      <c r="AD35" t="s">
        <v>922</v>
      </c>
      <c r="AE35" t="s">
        <v>923</v>
      </c>
      <c r="AF35" t="s">
        <v>74</v>
      </c>
      <c r="AG35">
        <v>65</v>
      </c>
      <c r="AH35">
        <v>0</v>
      </c>
      <c r="AI35">
        <v>0</v>
      </c>
      <c r="AJ35">
        <v>0</v>
      </c>
      <c r="AK35">
        <v>3</v>
      </c>
      <c r="AL35" t="s">
        <v>169</v>
      </c>
      <c r="AM35" t="s">
        <v>170</v>
      </c>
      <c r="AN35" t="s">
        <v>171</v>
      </c>
      <c r="AO35" t="s">
        <v>924</v>
      </c>
      <c r="AP35" t="s">
        <v>925</v>
      </c>
      <c r="AQ35" t="s">
        <v>74</v>
      </c>
      <c r="AR35" t="s">
        <v>926</v>
      </c>
      <c r="AS35" t="s">
        <v>927</v>
      </c>
      <c r="AT35" t="s">
        <v>627</v>
      </c>
      <c r="AU35">
        <v>2022</v>
      </c>
      <c r="AV35">
        <v>59</v>
      </c>
      <c r="AW35" t="s">
        <v>928</v>
      </c>
      <c r="AX35" t="s">
        <v>74</v>
      </c>
      <c r="AY35" t="s">
        <v>74</v>
      </c>
      <c r="AZ35" t="s">
        <v>74</v>
      </c>
      <c r="BA35" t="s">
        <v>74</v>
      </c>
      <c r="BB35">
        <v>1539</v>
      </c>
      <c r="BC35">
        <v>1554</v>
      </c>
      <c r="BD35" t="s">
        <v>74</v>
      </c>
      <c r="BE35" t="s">
        <v>929</v>
      </c>
      <c r="BF35" t="str">
        <f>HYPERLINK("http://dx.doi.org/10.1007/s00382-021-06058-3","http://dx.doi.org/10.1007/s00382-021-06058-3")</f>
        <v>http://dx.doi.org/10.1007/s00382-021-06058-3</v>
      </c>
      <c r="BG35" t="s">
        <v>74</v>
      </c>
      <c r="BH35" t="s">
        <v>263</v>
      </c>
      <c r="BI35">
        <v>16</v>
      </c>
      <c r="BJ35" t="s">
        <v>829</v>
      </c>
      <c r="BK35" t="s">
        <v>101</v>
      </c>
      <c r="BL35" t="s">
        <v>829</v>
      </c>
      <c r="BM35" t="s">
        <v>930</v>
      </c>
      <c r="BN35" t="s">
        <v>74</v>
      </c>
      <c r="BO35" t="s">
        <v>419</v>
      </c>
      <c r="BP35" t="s">
        <v>74</v>
      </c>
      <c r="BQ35" t="s">
        <v>74</v>
      </c>
      <c r="BR35" t="s">
        <v>105</v>
      </c>
      <c r="BS35" t="s">
        <v>931</v>
      </c>
      <c r="BT35" t="str">
        <f>HYPERLINK("https%3A%2F%2Fwww.webofscience.com%2Fwos%2Fwoscc%2Ffull-record%2FWOS:000722972400001","View Full Record in Web of Science")</f>
        <v>View Full Record in Web of Science</v>
      </c>
    </row>
    <row r="36" spans="1:72" x14ac:dyDescent="0.15">
      <c r="A36" t="s">
        <v>72</v>
      </c>
      <c r="B36" t="s">
        <v>932</v>
      </c>
      <c r="C36" t="s">
        <v>74</v>
      </c>
      <c r="D36" t="s">
        <v>74</v>
      </c>
      <c r="E36" t="s">
        <v>74</v>
      </c>
      <c r="F36" t="s">
        <v>933</v>
      </c>
      <c r="G36" t="s">
        <v>74</v>
      </c>
      <c r="H36" t="s">
        <v>74</v>
      </c>
      <c r="I36" t="s">
        <v>934</v>
      </c>
      <c r="J36" t="s">
        <v>935</v>
      </c>
      <c r="K36" t="s">
        <v>74</v>
      </c>
      <c r="L36" t="s">
        <v>74</v>
      </c>
      <c r="M36" t="s">
        <v>78</v>
      </c>
      <c r="N36" t="s">
        <v>79</v>
      </c>
      <c r="O36" t="s">
        <v>74</v>
      </c>
      <c r="P36" t="s">
        <v>74</v>
      </c>
      <c r="Q36" t="s">
        <v>74</v>
      </c>
      <c r="R36" t="s">
        <v>74</v>
      </c>
      <c r="S36" t="s">
        <v>74</v>
      </c>
      <c r="T36" t="s">
        <v>936</v>
      </c>
      <c r="U36" t="s">
        <v>937</v>
      </c>
      <c r="V36" t="s">
        <v>938</v>
      </c>
      <c r="W36" t="s">
        <v>939</v>
      </c>
      <c r="X36" t="s">
        <v>940</v>
      </c>
      <c r="Y36" t="s">
        <v>941</v>
      </c>
      <c r="Z36" t="s">
        <v>942</v>
      </c>
      <c r="AA36" t="s">
        <v>943</v>
      </c>
      <c r="AB36" t="s">
        <v>944</v>
      </c>
      <c r="AC36" t="s">
        <v>945</v>
      </c>
      <c r="AD36" t="s">
        <v>946</v>
      </c>
      <c r="AE36" t="s">
        <v>947</v>
      </c>
      <c r="AF36" t="s">
        <v>74</v>
      </c>
      <c r="AG36">
        <v>58</v>
      </c>
      <c r="AH36">
        <v>1</v>
      </c>
      <c r="AI36">
        <v>1</v>
      </c>
      <c r="AJ36">
        <v>2</v>
      </c>
      <c r="AK36">
        <v>10</v>
      </c>
      <c r="AL36" t="s">
        <v>169</v>
      </c>
      <c r="AM36" t="s">
        <v>170</v>
      </c>
      <c r="AN36" t="s">
        <v>171</v>
      </c>
      <c r="AO36" t="s">
        <v>948</v>
      </c>
      <c r="AP36" t="s">
        <v>949</v>
      </c>
      <c r="AQ36" t="s">
        <v>74</v>
      </c>
      <c r="AR36" t="s">
        <v>950</v>
      </c>
      <c r="AS36" t="s">
        <v>951</v>
      </c>
      <c r="AT36" t="s">
        <v>525</v>
      </c>
      <c r="AU36">
        <v>2022</v>
      </c>
      <c r="AV36">
        <v>45</v>
      </c>
      <c r="AW36">
        <v>2</v>
      </c>
      <c r="AX36" t="s">
        <v>74</v>
      </c>
      <c r="AY36" t="s">
        <v>74</v>
      </c>
      <c r="AZ36" t="s">
        <v>74</v>
      </c>
      <c r="BA36" t="s">
        <v>74</v>
      </c>
      <c r="BB36">
        <v>177</v>
      </c>
      <c r="BC36">
        <v>189</v>
      </c>
      <c r="BD36" t="s">
        <v>74</v>
      </c>
      <c r="BE36" t="s">
        <v>952</v>
      </c>
      <c r="BF36" t="str">
        <f>HYPERLINK("http://dx.doi.org/10.1007/s00300-021-02978-2","http://dx.doi.org/10.1007/s00300-021-02978-2")</f>
        <v>http://dx.doi.org/10.1007/s00300-021-02978-2</v>
      </c>
      <c r="BG36" t="s">
        <v>74</v>
      </c>
      <c r="BH36" t="s">
        <v>263</v>
      </c>
      <c r="BI36">
        <v>13</v>
      </c>
      <c r="BJ36" t="s">
        <v>605</v>
      </c>
      <c r="BK36" t="s">
        <v>101</v>
      </c>
      <c r="BL36" t="s">
        <v>606</v>
      </c>
      <c r="BM36" t="s">
        <v>953</v>
      </c>
      <c r="BN36" t="s">
        <v>74</v>
      </c>
      <c r="BO36" t="s">
        <v>74</v>
      </c>
      <c r="BP36" t="s">
        <v>74</v>
      </c>
      <c r="BQ36" t="s">
        <v>74</v>
      </c>
      <c r="BR36" t="s">
        <v>105</v>
      </c>
      <c r="BS36" t="s">
        <v>954</v>
      </c>
      <c r="BT36" t="str">
        <f>HYPERLINK("https%3A%2F%2Fwww.webofscience.com%2Fwos%2Fwoscc%2Ffull-record%2FWOS:000722980700001","View Full Record in Web of Science")</f>
        <v>View Full Record in Web of Science</v>
      </c>
    </row>
    <row r="37" spans="1:72" x14ac:dyDescent="0.15">
      <c r="A37" t="s">
        <v>72</v>
      </c>
      <c r="B37" t="s">
        <v>955</v>
      </c>
      <c r="C37" t="s">
        <v>74</v>
      </c>
      <c r="D37" t="s">
        <v>74</v>
      </c>
      <c r="E37" t="s">
        <v>74</v>
      </c>
      <c r="F37" t="s">
        <v>956</v>
      </c>
      <c r="G37" t="s">
        <v>74</v>
      </c>
      <c r="H37" t="s">
        <v>74</v>
      </c>
      <c r="I37" t="s">
        <v>957</v>
      </c>
      <c r="J37" t="s">
        <v>958</v>
      </c>
      <c r="K37" t="s">
        <v>74</v>
      </c>
      <c r="L37" t="s">
        <v>74</v>
      </c>
      <c r="M37" t="s">
        <v>78</v>
      </c>
      <c r="N37" t="s">
        <v>79</v>
      </c>
      <c r="O37" t="s">
        <v>74</v>
      </c>
      <c r="P37" t="s">
        <v>74</v>
      </c>
      <c r="Q37" t="s">
        <v>74</v>
      </c>
      <c r="R37" t="s">
        <v>74</v>
      </c>
      <c r="S37" t="s">
        <v>74</v>
      </c>
      <c r="T37" t="s">
        <v>74</v>
      </c>
      <c r="U37" t="s">
        <v>959</v>
      </c>
      <c r="V37" t="s">
        <v>960</v>
      </c>
      <c r="W37" t="s">
        <v>961</v>
      </c>
      <c r="X37" t="s">
        <v>962</v>
      </c>
      <c r="Y37" t="s">
        <v>963</v>
      </c>
      <c r="Z37" t="s">
        <v>964</v>
      </c>
      <c r="AA37" t="s">
        <v>965</v>
      </c>
      <c r="AB37" t="s">
        <v>966</v>
      </c>
      <c r="AC37" t="s">
        <v>967</v>
      </c>
      <c r="AD37" t="s">
        <v>968</v>
      </c>
      <c r="AE37" t="s">
        <v>969</v>
      </c>
      <c r="AF37" t="s">
        <v>74</v>
      </c>
      <c r="AG37">
        <v>32</v>
      </c>
      <c r="AH37">
        <v>6</v>
      </c>
      <c r="AI37">
        <v>6</v>
      </c>
      <c r="AJ37">
        <v>6</v>
      </c>
      <c r="AK37">
        <v>28</v>
      </c>
      <c r="AL37" t="s">
        <v>572</v>
      </c>
      <c r="AM37" t="s">
        <v>573</v>
      </c>
      <c r="AN37" t="s">
        <v>574</v>
      </c>
      <c r="AO37" t="s">
        <v>970</v>
      </c>
      <c r="AP37" t="s">
        <v>971</v>
      </c>
      <c r="AQ37" t="s">
        <v>74</v>
      </c>
      <c r="AR37" t="s">
        <v>972</v>
      </c>
      <c r="AS37" t="s">
        <v>973</v>
      </c>
      <c r="AT37" t="s">
        <v>416</v>
      </c>
      <c r="AU37">
        <v>2022</v>
      </c>
      <c r="AV37">
        <v>24</v>
      </c>
      <c r="AW37">
        <v>1</v>
      </c>
      <c r="AX37" t="s">
        <v>74</v>
      </c>
      <c r="AY37" t="s">
        <v>74</v>
      </c>
      <c r="AZ37" t="s">
        <v>74</v>
      </c>
      <c r="BA37" t="s">
        <v>74</v>
      </c>
      <c r="BB37">
        <v>265</v>
      </c>
      <c r="BC37">
        <v>275</v>
      </c>
      <c r="BD37" t="s">
        <v>74</v>
      </c>
      <c r="BE37" t="s">
        <v>974</v>
      </c>
      <c r="BF37" t="str">
        <f>HYPERLINK("http://dx.doi.org/10.1111/1462-2920.15849","http://dx.doi.org/10.1111/1462-2920.15849")</f>
        <v>http://dx.doi.org/10.1111/1462-2920.15849</v>
      </c>
      <c r="BG37" t="s">
        <v>74</v>
      </c>
      <c r="BH37" t="s">
        <v>263</v>
      </c>
      <c r="BI37">
        <v>11</v>
      </c>
      <c r="BJ37" t="s">
        <v>975</v>
      </c>
      <c r="BK37" t="s">
        <v>101</v>
      </c>
      <c r="BL37" t="s">
        <v>975</v>
      </c>
      <c r="BM37" t="s">
        <v>976</v>
      </c>
      <c r="BN37">
        <v>34837290</v>
      </c>
      <c r="BO37" t="s">
        <v>74</v>
      </c>
      <c r="BP37" t="s">
        <v>74</v>
      </c>
      <c r="BQ37" t="s">
        <v>74</v>
      </c>
      <c r="BR37" t="s">
        <v>105</v>
      </c>
      <c r="BS37" t="s">
        <v>977</v>
      </c>
      <c r="BT37" t="str">
        <f>HYPERLINK("https%3A%2F%2Fwww.webofscience.com%2Fwos%2Fwoscc%2Ffull-record%2FWOS:000722873900001","View Full Record in Web of Science")</f>
        <v>View Full Record in Web of Science</v>
      </c>
    </row>
    <row r="38" spans="1:72" x14ac:dyDescent="0.15">
      <c r="A38" t="s">
        <v>72</v>
      </c>
      <c r="B38" t="s">
        <v>978</v>
      </c>
      <c r="C38" t="s">
        <v>74</v>
      </c>
      <c r="D38" t="s">
        <v>74</v>
      </c>
      <c r="E38" t="s">
        <v>74</v>
      </c>
      <c r="F38" t="s">
        <v>979</v>
      </c>
      <c r="G38" t="s">
        <v>74</v>
      </c>
      <c r="H38" t="s">
        <v>74</v>
      </c>
      <c r="I38" t="s">
        <v>980</v>
      </c>
      <c r="J38" t="s">
        <v>981</v>
      </c>
      <c r="K38" t="s">
        <v>74</v>
      </c>
      <c r="L38" t="s">
        <v>74</v>
      </c>
      <c r="M38" t="s">
        <v>78</v>
      </c>
      <c r="N38" t="s">
        <v>79</v>
      </c>
      <c r="O38" t="s">
        <v>74</v>
      </c>
      <c r="P38" t="s">
        <v>74</v>
      </c>
      <c r="Q38" t="s">
        <v>74</v>
      </c>
      <c r="R38" t="s">
        <v>74</v>
      </c>
      <c r="S38" t="s">
        <v>74</v>
      </c>
      <c r="T38" t="s">
        <v>982</v>
      </c>
      <c r="U38" t="s">
        <v>983</v>
      </c>
      <c r="V38" t="s">
        <v>984</v>
      </c>
      <c r="W38" t="s">
        <v>985</v>
      </c>
      <c r="X38" t="s">
        <v>986</v>
      </c>
      <c r="Y38" t="s">
        <v>987</v>
      </c>
      <c r="Z38" t="s">
        <v>988</v>
      </c>
      <c r="AA38" t="s">
        <v>989</v>
      </c>
      <c r="AB38" t="s">
        <v>990</v>
      </c>
      <c r="AC38" t="s">
        <v>991</v>
      </c>
      <c r="AD38" t="s">
        <v>992</v>
      </c>
      <c r="AE38" t="s">
        <v>993</v>
      </c>
      <c r="AF38" t="s">
        <v>74</v>
      </c>
      <c r="AG38">
        <v>48</v>
      </c>
      <c r="AH38">
        <v>13</v>
      </c>
      <c r="AI38">
        <v>13</v>
      </c>
      <c r="AJ38">
        <v>3</v>
      </c>
      <c r="AK38">
        <v>5</v>
      </c>
      <c r="AL38" t="s">
        <v>666</v>
      </c>
      <c r="AM38" t="s">
        <v>994</v>
      </c>
      <c r="AN38" t="s">
        <v>995</v>
      </c>
      <c r="AO38" t="s">
        <v>996</v>
      </c>
      <c r="AP38" t="s">
        <v>997</v>
      </c>
      <c r="AQ38" t="s">
        <v>74</v>
      </c>
      <c r="AR38" t="s">
        <v>998</v>
      </c>
      <c r="AS38" t="s">
        <v>999</v>
      </c>
      <c r="AT38" t="s">
        <v>1000</v>
      </c>
      <c r="AU38">
        <v>2022</v>
      </c>
      <c r="AV38">
        <v>68</v>
      </c>
      <c r="AW38">
        <v>268</v>
      </c>
      <c r="AX38" t="s">
        <v>74</v>
      </c>
      <c r="AY38" t="s">
        <v>74</v>
      </c>
      <c r="AZ38" t="s">
        <v>74</v>
      </c>
      <c r="BA38" t="s">
        <v>74</v>
      </c>
      <c r="BB38">
        <v>401</v>
      </c>
      <c r="BC38">
        <v>414</v>
      </c>
      <c r="BD38" t="s">
        <v>1001</v>
      </c>
      <c r="BE38" t="s">
        <v>1002</v>
      </c>
      <c r="BF38" t="str">
        <f>HYPERLINK("http://dx.doi.org/10.1017/jog.2021.114","http://dx.doi.org/10.1017/jog.2021.114")</f>
        <v>http://dx.doi.org/10.1017/jog.2021.114</v>
      </c>
      <c r="BG38" t="s">
        <v>74</v>
      </c>
      <c r="BH38" t="s">
        <v>263</v>
      </c>
      <c r="BI38">
        <v>14</v>
      </c>
      <c r="BJ38" t="s">
        <v>340</v>
      </c>
      <c r="BK38" t="s">
        <v>101</v>
      </c>
      <c r="BL38" t="s">
        <v>341</v>
      </c>
      <c r="BM38" t="s">
        <v>1003</v>
      </c>
      <c r="BN38" t="s">
        <v>74</v>
      </c>
      <c r="BO38" t="s">
        <v>1004</v>
      </c>
      <c r="BP38" t="s">
        <v>74</v>
      </c>
      <c r="BQ38" t="s">
        <v>74</v>
      </c>
      <c r="BR38" t="s">
        <v>105</v>
      </c>
      <c r="BS38" t="s">
        <v>1005</v>
      </c>
      <c r="BT38" t="str">
        <f>HYPERLINK("https%3A%2F%2Fwww.webofscience.com%2Fwos%2Fwoscc%2Ffull-record%2FWOS:000774705100001","View Full Record in Web of Science")</f>
        <v>View Full Record in Web of Science</v>
      </c>
    </row>
    <row r="39" spans="1:72" x14ac:dyDescent="0.15">
      <c r="A39" t="s">
        <v>72</v>
      </c>
      <c r="B39" t="s">
        <v>1006</v>
      </c>
      <c r="C39" t="s">
        <v>74</v>
      </c>
      <c r="D39" t="s">
        <v>74</v>
      </c>
      <c r="E39" t="s">
        <v>74</v>
      </c>
      <c r="F39" t="s">
        <v>1007</v>
      </c>
      <c r="G39" t="s">
        <v>74</v>
      </c>
      <c r="H39" t="s">
        <v>74</v>
      </c>
      <c r="I39" t="s">
        <v>1008</v>
      </c>
      <c r="J39" t="s">
        <v>1009</v>
      </c>
      <c r="K39" t="s">
        <v>74</v>
      </c>
      <c r="L39" t="s">
        <v>74</v>
      </c>
      <c r="M39" t="s">
        <v>78</v>
      </c>
      <c r="N39" t="s">
        <v>79</v>
      </c>
      <c r="O39" t="s">
        <v>74</v>
      </c>
      <c r="P39" t="s">
        <v>74</v>
      </c>
      <c r="Q39" t="s">
        <v>74</v>
      </c>
      <c r="R39" t="s">
        <v>74</v>
      </c>
      <c r="S39" t="s">
        <v>74</v>
      </c>
      <c r="T39" t="s">
        <v>1010</v>
      </c>
      <c r="U39" t="s">
        <v>1011</v>
      </c>
      <c r="V39" t="s">
        <v>1012</v>
      </c>
      <c r="W39" t="s">
        <v>1013</v>
      </c>
      <c r="X39" t="s">
        <v>1014</v>
      </c>
      <c r="Y39" t="s">
        <v>1015</v>
      </c>
      <c r="Z39" t="s">
        <v>1016</v>
      </c>
      <c r="AA39" t="s">
        <v>1017</v>
      </c>
      <c r="AB39" t="s">
        <v>1018</v>
      </c>
      <c r="AC39" t="s">
        <v>1019</v>
      </c>
      <c r="AD39" t="s">
        <v>1020</v>
      </c>
      <c r="AE39" t="s">
        <v>74</v>
      </c>
      <c r="AF39" t="s">
        <v>74</v>
      </c>
      <c r="AG39">
        <v>103</v>
      </c>
      <c r="AH39">
        <v>6</v>
      </c>
      <c r="AI39">
        <v>6</v>
      </c>
      <c r="AJ39">
        <v>3</v>
      </c>
      <c r="AK39">
        <v>16</v>
      </c>
      <c r="AL39" t="s">
        <v>383</v>
      </c>
      <c r="AM39" t="s">
        <v>384</v>
      </c>
      <c r="AN39" t="s">
        <v>385</v>
      </c>
      <c r="AO39" t="s">
        <v>1021</v>
      </c>
      <c r="AP39" t="s">
        <v>74</v>
      </c>
      <c r="AQ39" t="s">
        <v>74</v>
      </c>
      <c r="AR39" t="s">
        <v>1022</v>
      </c>
      <c r="AS39" t="s">
        <v>1023</v>
      </c>
      <c r="AT39" t="s">
        <v>1024</v>
      </c>
      <c r="AU39">
        <v>2021</v>
      </c>
      <c r="AV39">
        <v>9</v>
      </c>
      <c r="AW39" t="s">
        <v>74</v>
      </c>
      <c r="AX39" t="s">
        <v>74</v>
      </c>
      <c r="AY39" t="s">
        <v>74</v>
      </c>
      <c r="AZ39" t="s">
        <v>74</v>
      </c>
      <c r="BA39" t="s">
        <v>74</v>
      </c>
      <c r="BB39" t="s">
        <v>74</v>
      </c>
      <c r="BC39" t="s">
        <v>74</v>
      </c>
      <c r="BD39">
        <v>740027</v>
      </c>
      <c r="BE39" t="s">
        <v>1025</v>
      </c>
      <c r="BF39" t="str">
        <f>HYPERLINK("http://dx.doi.org/10.3389/fevo.2021.740027","http://dx.doi.org/10.3389/fevo.2021.740027")</f>
        <v>http://dx.doi.org/10.3389/fevo.2021.740027</v>
      </c>
      <c r="BG39" t="s">
        <v>74</v>
      </c>
      <c r="BH39" t="s">
        <v>74</v>
      </c>
      <c r="BI39">
        <v>12</v>
      </c>
      <c r="BJ39" t="s">
        <v>629</v>
      </c>
      <c r="BK39" t="s">
        <v>101</v>
      </c>
      <c r="BL39" t="s">
        <v>630</v>
      </c>
      <c r="BM39" t="s">
        <v>1026</v>
      </c>
      <c r="BN39" t="s">
        <v>74</v>
      </c>
      <c r="BO39" t="s">
        <v>104</v>
      </c>
      <c r="BP39" t="s">
        <v>74</v>
      </c>
      <c r="BQ39" t="s">
        <v>74</v>
      </c>
      <c r="BR39" t="s">
        <v>105</v>
      </c>
      <c r="BS39" t="s">
        <v>1027</v>
      </c>
      <c r="BT39" t="str">
        <f>HYPERLINK("https%3A%2F%2Fwww.webofscience.com%2Fwos%2Fwoscc%2Ffull-record%2FWOS:000728976000001","View Full Record in Web of Science")</f>
        <v>View Full Record in Web of Science</v>
      </c>
    </row>
    <row r="40" spans="1:72" x14ac:dyDescent="0.15">
      <c r="A40" t="s">
        <v>72</v>
      </c>
      <c r="B40" t="s">
        <v>1028</v>
      </c>
      <c r="C40" t="s">
        <v>74</v>
      </c>
      <c r="D40" t="s">
        <v>74</v>
      </c>
      <c r="E40" t="s">
        <v>74</v>
      </c>
      <c r="F40" t="s">
        <v>1029</v>
      </c>
      <c r="G40" t="s">
        <v>74</v>
      </c>
      <c r="H40" t="s">
        <v>74</v>
      </c>
      <c r="I40" t="s">
        <v>1030</v>
      </c>
      <c r="J40" t="s">
        <v>1031</v>
      </c>
      <c r="K40" t="s">
        <v>74</v>
      </c>
      <c r="L40" t="s">
        <v>74</v>
      </c>
      <c r="M40" t="s">
        <v>78</v>
      </c>
      <c r="N40" t="s">
        <v>79</v>
      </c>
      <c r="O40" t="s">
        <v>74</v>
      </c>
      <c r="P40" t="s">
        <v>74</v>
      </c>
      <c r="Q40" t="s">
        <v>74</v>
      </c>
      <c r="R40" t="s">
        <v>74</v>
      </c>
      <c r="S40" t="s">
        <v>74</v>
      </c>
      <c r="T40" t="s">
        <v>74</v>
      </c>
      <c r="U40" t="s">
        <v>1032</v>
      </c>
      <c r="V40" t="s">
        <v>1033</v>
      </c>
      <c r="W40" t="s">
        <v>1034</v>
      </c>
      <c r="X40" t="s">
        <v>1035</v>
      </c>
      <c r="Y40" t="s">
        <v>1036</v>
      </c>
      <c r="Z40" t="s">
        <v>1037</v>
      </c>
      <c r="AA40" t="s">
        <v>1038</v>
      </c>
      <c r="AB40" t="s">
        <v>1039</v>
      </c>
      <c r="AC40" t="s">
        <v>1040</v>
      </c>
      <c r="AD40" t="s">
        <v>1041</v>
      </c>
      <c r="AE40" t="s">
        <v>1042</v>
      </c>
      <c r="AF40" t="s">
        <v>74</v>
      </c>
      <c r="AG40">
        <v>40</v>
      </c>
      <c r="AH40">
        <v>4</v>
      </c>
      <c r="AI40">
        <v>4</v>
      </c>
      <c r="AJ40">
        <v>2</v>
      </c>
      <c r="AK40">
        <v>21</v>
      </c>
      <c r="AL40" t="s">
        <v>1043</v>
      </c>
      <c r="AM40" t="s">
        <v>994</v>
      </c>
      <c r="AN40" t="s">
        <v>1044</v>
      </c>
      <c r="AO40" t="s">
        <v>1045</v>
      </c>
      <c r="AP40" t="s">
        <v>1046</v>
      </c>
      <c r="AQ40" t="s">
        <v>74</v>
      </c>
      <c r="AR40" t="s">
        <v>1047</v>
      </c>
      <c r="AS40" t="s">
        <v>1048</v>
      </c>
      <c r="AT40" t="s">
        <v>1049</v>
      </c>
      <c r="AU40">
        <v>2022</v>
      </c>
      <c r="AV40">
        <v>37</v>
      </c>
      <c r="AW40">
        <v>1</v>
      </c>
      <c r="AX40" t="s">
        <v>74</v>
      </c>
      <c r="AY40" t="s">
        <v>74</v>
      </c>
      <c r="AZ40" t="s">
        <v>74</v>
      </c>
      <c r="BA40" t="s">
        <v>74</v>
      </c>
      <c r="BB40">
        <v>103</v>
      </c>
      <c r="BC40">
        <v>113</v>
      </c>
      <c r="BD40" t="s">
        <v>74</v>
      </c>
      <c r="BE40" t="s">
        <v>1050</v>
      </c>
      <c r="BF40" t="str">
        <f>HYPERLINK("http://dx.doi.org/10.1039/d1ja00329a","http://dx.doi.org/10.1039/d1ja00329a")</f>
        <v>http://dx.doi.org/10.1039/d1ja00329a</v>
      </c>
      <c r="BG40" t="s">
        <v>74</v>
      </c>
      <c r="BH40" t="s">
        <v>263</v>
      </c>
      <c r="BI40">
        <v>11</v>
      </c>
      <c r="BJ40" t="s">
        <v>1051</v>
      </c>
      <c r="BK40" t="s">
        <v>101</v>
      </c>
      <c r="BL40" t="s">
        <v>1052</v>
      </c>
      <c r="BM40" t="s">
        <v>1053</v>
      </c>
      <c r="BN40" t="s">
        <v>74</v>
      </c>
      <c r="BO40" t="s">
        <v>343</v>
      </c>
      <c r="BP40" t="s">
        <v>74</v>
      </c>
      <c r="BQ40" t="s">
        <v>74</v>
      </c>
      <c r="BR40" t="s">
        <v>105</v>
      </c>
      <c r="BS40" t="s">
        <v>1054</v>
      </c>
      <c r="BT40" t="str">
        <f>HYPERLINK("https%3A%2F%2Fwww.webofscience.com%2Fwos%2Fwoscc%2Ffull-record%2FWOS:000724923700001","View Full Record in Web of Science")</f>
        <v>View Full Record in Web of Science</v>
      </c>
    </row>
    <row r="41" spans="1:72" x14ac:dyDescent="0.15">
      <c r="A41" t="s">
        <v>72</v>
      </c>
      <c r="B41" t="s">
        <v>1055</v>
      </c>
      <c r="C41" t="s">
        <v>74</v>
      </c>
      <c r="D41" t="s">
        <v>74</v>
      </c>
      <c r="E41" t="s">
        <v>74</v>
      </c>
      <c r="F41" t="s">
        <v>1056</v>
      </c>
      <c r="G41" t="s">
        <v>74</v>
      </c>
      <c r="H41" t="s">
        <v>74</v>
      </c>
      <c r="I41" t="s">
        <v>1057</v>
      </c>
      <c r="J41" t="s">
        <v>1058</v>
      </c>
      <c r="K41" t="s">
        <v>74</v>
      </c>
      <c r="L41" t="s">
        <v>74</v>
      </c>
      <c r="M41" t="s">
        <v>78</v>
      </c>
      <c r="N41" t="s">
        <v>79</v>
      </c>
      <c r="O41" t="s">
        <v>74</v>
      </c>
      <c r="P41" t="s">
        <v>74</v>
      </c>
      <c r="Q41" t="s">
        <v>74</v>
      </c>
      <c r="R41" t="s">
        <v>74</v>
      </c>
      <c r="S41" t="s">
        <v>74</v>
      </c>
      <c r="T41" t="s">
        <v>74</v>
      </c>
      <c r="U41" t="s">
        <v>1059</v>
      </c>
      <c r="V41" t="s">
        <v>1060</v>
      </c>
      <c r="W41" t="s">
        <v>1061</v>
      </c>
      <c r="X41" t="s">
        <v>1062</v>
      </c>
      <c r="Y41" t="s">
        <v>1063</v>
      </c>
      <c r="Z41" t="s">
        <v>1064</v>
      </c>
      <c r="AA41" t="s">
        <v>74</v>
      </c>
      <c r="AB41" t="s">
        <v>74</v>
      </c>
      <c r="AC41" t="s">
        <v>74</v>
      </c>
      <c r="AD41" t="s">
        <v>74</v>
      </c>
      <c r="AE41" t="s">
        <v>74</v>
      </c>
      <c r="AF41" t="s">
        <v>74</v>
      </c>
      <c r="AG41">
        <v>59</v>
      </c>
      <c r="AH41">
        <v>14</v>
      </c>
      <c r="AI41">
        <v>14</v>
      </c>
      <c r="AJ41">
        <v>2</v>
      </c>
      <c r="AK41">
        <v>8</v>
      </c>
      <c r="AL41" t="s">
        <v>227</v>
      </c>
      <c r="AM41" t="s">
        <v>228</v>
      </c>
      <c r="AN41" t="s">
        <v>229</v>
      </c>
      <c r="AO41" t="s">
        <v>1065</v>
      </c>
      <c r="AP41" t="s">
        <v>1066</v>
      </c>
      <c r="AQ41" t="s">
        <v>74</v>
      </c>
      <c r="AR41" t="s">
        <v>1058</v>
      </c>
      <c r="AS41" t="s">
        <v>1067</v>
      </c>
      <c r="AT41" t="s">
        <v>1024</v>
      </c>
      <c r="AU41">
        <v>2021</v>
      </c>
      <c r="AV41">
        <v>15</v>
      </c>
      <c r="AW41">
        <v>11</v>
      </c>
      <c r="AX41" t="s">
        <v>74</v>
      </c>
      <c r="AY41" t="s">
        <v>74</v>
      </c>
      <c r="AZ41" t="s">
        <v>74</v>
      </c>
      <c r="BA41" t="s">
        <v>74</v>
      </c>
      <c r="BB41">
        <v>5241</v>
      </c>
      <c r="BC41">
        <v>5260</v>
      </c>
      <c r="BD41" t="s">
        <v>74</v>
      </c>
      <c r="BE41" t="s">
        <v>1068</v>
      </c>
      <c r="BF41" t="str">
        <f>HYPERLINK("http://dx.doi.org/10.5194/tc-15-5241-2021","http://dx.doi.org/10.5194/tc-15-5241-2021")</f>
        <v>http://dx.doi.org/10.5194/tc-15-5241-2021</v>
      </c>
      <c r="BG41" t="s">
        <v>74</v>
      </c>
      <c r="BH41" t="s">
        <v>74</v>
      </c>
      <c r="BI41">
        <v>20</v>
      </c>
      <c r="BJ41" t="s">
        <v>340</v>
      </c>
      <c r="BK41" t="s">
        <v>101</v>
      </c>
      <c r="BL41" t="s">
        <v>341</v>
      </c>
      <c r="BM41" t="s">
        <v>1069</v>
      </c>
      <c r="BN41" t="s">
        <v>74</v>
      </c>
      <c r="BO41" t="s">
        <v>1070</v>
      </c>
      <c r="BP41" t="s">
        <v>74</v>
      </c>
      <c r="BQ41" t="s">
        <v>74</v>
      </c>
      <c r="BR41" t="s">
        <v>105</v>
      </c>
      <c r="BS41" t="s">
        <v>1071</v>
      </c>
      <c r="BT41" t="str">
        <f>HYPERLINK("https%3A%2F%2Fwww.webofscience.com%2Fwos%2Fwoscc%2Ffull-record%2FWOS:000723853500001","View Full Record in Web of Science")</f>
        <v>View Full Record in Web of Science</v>
      </c>
    </row>
    <row r="42" spans="1:72" x14ac:dyDescent="0.15">
      <c r="A42" t="s">
        <v>72</v>
      </c>
      <c r="B42" t="s">
        <v>1072</v>
      </c>
      <c r="C42" t="s">
        <v>74</v>
      </c>
      <c r="D42" t="s">
        <v>74</v>
      </c>
      <c r="E42" t="s">
        <v>74</v>
      </c>
      <c r="F42" t="s">
        <v>1073</v>
      </c>
      <c r="G42" t="s">
        <v>74</v>
      </c>
      <c r="H42" t="s">
        <v>74</v>
      </c>
      <c r="I42" t="s">
        <v>1074</v>
      </c>
      <c r="J42" t="s">
        <v>1075</v>
      </c>
      <c r="K42" t="s">
        <v>74</v>
      </c>
      <c r="L42" t="s">
        <v>74</v>
      </c>
      <c r="M42" t="s">
        <v>78</v>
      </c>
      <c r="N42" t="s">
        <v>79</v>
      </c>
      <c r="O42" t="s">
        <v>74</v>
      </c>
      <c r="P42" t="s">
        <v>74</v>
      </c>
      <c r="Q42" t="s">
        <v>74</v>
      </c>
      <c r="R42" t="s">
        <v>74</v>
      </c>
      <c r="S42" t="s">
        <v>74</v>
      </c>
      <c r="T42" t="s">
        <v>1076</v>
      </c>
      <c r="U42" t="s">
        <v>1077</v>
      </c>
      <c r="V42" t="s">
        <v>1078</v>
      </c>
      <c r="W42" t="s">
        <v>1079</v>
      </c>
      <c r="X42" t="s">
        <v>1080</v>
      </c>
      <c r="Y42" t="s">
        <v>1081</v>
      </c>
      <c r="Z42" t="s">
        <v>1082</v>
      </c>
      <c r="AA42" t="s">
        <v>1083</v>
      </c>
      <c r="AB42" t="s">
        <v>1084</v>
      </c>
      <c r="AC42" t="s">
        <v>1085</v>
      </c>
      <c r="AD42" t="s">
        <v>1086</v>
      </c>
      <c r="AE42" t="s">
        <v>1087</v>
      </c>
      <c r="AF42" t="s">
        <v>74</v>
      </c>
      <c r="AG42">
        <v>127</v>
      </c>
      <c r="AH42">
        <v>4</v>
      </c>
      <c r="AI42">
        <v>4</v>
      </c>
      <c r="AJ42">
        <v>6</v>
      </c>
      <c r="AK42">
        <v>20</v>
      </c>
      <c r="AL42" t="s">
        <v>1088</v>
      </c>
      <c r="AM42" t="s">
        <v>333</v>
      </c>
      <c r="AN42" t="s">
        <v>1089</v>
      </c>
      <c r="AO42" t="s">
        <v>1090</v>
      </c>
      <c r="AP42" t="s">
        <v>74</v>
      </c>
      <c r="AQ42" t="s">
        <v>74</v>
      </c>
      <c r="AR42" t="s">
        <v>1075</v>
      </c>
      <c r="AS42" t="s">
        <v>1091</v>
      </c>
      <c r="AT42" t="s">
        <v>1024</v>
      </c>
      <c r="AU42">
        <v>2021</v>
      </c>
      <c r="AV42">
        <v>9</v>
      </c>
      <c r="AW42">
        <v>1</v>
      </c>
      <c r="AX42" t="s">
        <v>74</v>
      </c>
      <c r="AY42" t="s">
        <v>74</v>
      </c>
      <c r="AZ42" t="s">
        <v>74</v>
      </c>
      <c r="BA42" t="s">
        <v>74</v>
      </c>
      <c r="BB42" t="s">
        <v>74</v>
      </c>
      <c r="BC42" t="s">
        <v>74</v>
      </c>
      <c r="BD42">
        <v>231</v>
      </c>
      <c r="BE42" t="s">
        <v>1092</v>
      </c>
      <c r="BF42" t="str">
        <f>HYPERLINK("http://dx.doi.org/10.1186/s40168-021-01173-z","http://dx.doi.org/10.1186/s40168-021-01173-z")</f>
        <v>http://dx.doi.org/10.1186/s40168-021-01173-z</v>
      </c>
      <c r="BG42" t="s">
        <v>74</v>
      </c>
      <c r="BH42" t="s">
        <v>74</v>
      </c>
      <c r="BI42">
        <v>23</v>
      </c>
      <c r="BJ42" t="s">
        <v>975</v>
      </c>
      <c r="BK42" t="s">
        <v>101</v>
      </c>
      <c r="BL42" t="s">
        <v>975</v>
      </c>
      <c r="BM42" t="s">
        <v>1093</v>
      </c>
      <c r="BN42">
        <v>34823595</v>
      </c>
      <c r="BO42" t="s">
        <v>1094</v>
      </c>
      <c r="BP42" t="s">
        <v>74</v>
      </c>
      <c r="BQ42" t="s">
        <v>74</v>
      </c>
      <c r="BR42" t="s">
        <v>105</v>
      </c>
      <c r="BS42" t="s">
        <v>1095</v>
      </c>
      <c r="BT42" t="str">
        <f>HYPERLINK("https%3A%2F%2Fwww.webofscience.com%2Fwos%2Fwoscc%2Ffull-record%2FWOS:000722659800002","View Full Record in Web of Science")</f>
        <v>View Full Record in Web of Science</v>
      </c>
    </row>
    <row r="43" spans="1:72" x14ac:dyDescent="0.15">
      <c r="A43" t="s">
        <v>72</v>
      </c>
      <c r="B43" t="s">
        <v>1096</v>
      </c>
      <c r="C43" t="s">
        <v>74</v>
      </c>
      <c r="D43" t="s">
        <v>74</v>
      </c>
      <c r="E43" t="s">
        <v>74</v>
      </c>
      <c r="F43" t="s">
        <v>1097</v>
      </c>
      <c r="G43" t="s">
        <v>74</v>
      </c>
      <c r="H43" t="s">
        <v>74</v>
      </c>
      <c r="I43" t="s">
        <v>1098</v>
      </c>
      <c r="J43" t="s">
        <v>1099</v>
      </c>
      <c r="K43" t="s">
        <v>74</v>
      </c>
      <c r="L43" t="s">
        <v>74</v>
      </c>
      <c r="M43" t="s">
        <v>78</v>
      </c>
      <c r="N43" t="s">
        <v>79</v>
      </c>
      <c r="O43" t="s">
        <v>74</v>
      </c>
      <c r="P43" t="s">
        <v>74</v>
      </c>
      <c r="Q43" t="s">
        <v>74</v>
      </c>
      <c r="R43" t="s">
        <v>74</v>
      </c>
      <c r="S43" t="s">
        <v>74</v>
      </c>
      <c r="T43" t="s">
        <v>1100</v>
      </c>
      <c r="U43" t="s">
        <v>1101</v>
      </c>
      <c r="V43" t="s">
        <v>1102</v>
      </c>
      <c r="W43" t="s">
        <v>1103</v>
      </c>
      <c r="X43" t="s">
        <v>1104</v>
      </c>
      <c r="Y43" t="s">
        <v>1105</v>
      </c>
      <c r="Z43" t="s">
        <v>1106</v>
      </c>
      <c r="AA43" t="s">
        <v>1107</v>
      </c>
      <c r="AB43" t="s">
        <v>1108</v>
      </c>
      <c r="AC43" t="s">
        <v>1109</v>
      </c>
      <c r="AD43" t="s">
        <v>1110</v>
      </c>
      <c r="AE43" t="s">
        <v>1111</v>
      </c>
      <c r="AF43" t="s">
        <v>74</v>
      </c>
      <c r="AG43">
        <v>115</v>
      </c>
      <c r="AH43">
        <v>15</v>
      </c>
      <c r="AI43">
        <v>16</v>
      </c>
      <c r="AJ43">
        <v>0</v>
      </c>
      <c r="AK43">
        <v>3</v>
      </c>
      <c r="AL43" t="s">
        <v>383</v>
      </c>
      <c r="AM43" t="s">
        <v>384</v>
      </c>
      <c r="AN43" t="s">
        <v>385</v>
      </c>
      <c r="AO43" t="s">
        <v>74</v>
      </c>
      <c r="AP43" t="s">
        <v>1112</v>
      </c>
      <c r="AQ43" t="s">
        <v>74</v>
      </c>
      <c r="AR43" t="s">
        <v>1113</v>
      </c>
      <c r="AS43" t="s">
        <v>1114</v>
      </c>
      <c r="AT43" t="s">
        <v>1024</v>
      </c>
      <c r="AU43">
        <v>2021</v>
      </c>
      <c r="AV43">
        <v>9</v>
      </c>
      <c r="AW43" t="s">
        <v>74</v>
      </c>
      <c r="AX43" t="s">
        <v>74</v>
      </c>
      <c r="AY43" t="s">
        <v>74</v>
      </c>
      <c r="AZ43" t="s">
        <v>74</v>
      </c>
      <c r="BA43" t="s">
        <v>74</v>
      </c>
      <c r="BB43" t="s">
        <v>74</v>
      </c>
      <c r="BC43" t="s">
        <v>74</v>
      </c>
      <c r="BD43">
        <v>702213</v>
      </c>
      <c r="BE43" t="s">
        <v>1115</v>
      </c>
      <c r="BF43" t="str">
        <f>HYPERLINK("http://dx.doi.org/10.3389/feart.2021.702213","http://dx.doi.org/10.3389/feart.2021.702213")</f>
        <v>http://dx.doi.org/10.3389/feart.2021.702213</v>
      </c>
      <c r="BG43" t="s">
        <v>74</v>
      </c>
      <c r="BH43" t="s">
        <v>74</v>
      </c>
      <c r="BI43">
        <v>22</v>
      </c>
      <c r="BJ43" t="s">
        <v>236</v>
      </c>
      <c r="BK43" t="s">
        <v>101</v>
      </c>
      <c r="BL43" t="s">
        <v>237</v>
      </c>
      <c r="BM43" t="s">
        <v>1116</v>
      </c>
      <c r="BN43" t="s">
        <v>74</v>
      </c>
      <c r="BO43" t="s">
        <v>1117</v>
      </c>
      <c r="BP43" t="s">
        <v>74</v>
      </c>
      <c r="BQ43" t="s">
        <v>74</v>
      </c>
      <c r="BR43" t="s">
        <v>105</v>
      </c>
      <c r="BS43" t="s">
        <v>1118</v>
      </c>
      <c r="BT43" t="str">
        <f>HYPERLINK("https%3A%2F%2Fwww.webofscience.com%2Fwos%2Fwoscc%2Ffull-record%2FWOS:000897247100001","View Full Record in Web of Science")</f>
        <v>View Full Record in Web of Science</v>
      </c>
    </row>
    <row r="44" spans="1:72" x14ac:dyDescent="0.15">
      <c r="A44" t="s">
        <v>72</v>
      </c>
      <c r="B44" t="s">
        <v>1119</v>
      </c>
      <c r="C44" t="s">
        <v>74</v>
      </c>
      <c r="D44" t="s">
        <v>74</v>
      </c>
      <c r="E44" t="s">
        <v>74</v>
      </c>
      <c r="F44" t="s">
        <v>1120</v>
      </c>
      <c r="G44" t="s">
        <v>74</v>
      </c>
      <c r="H44" t="s">
        <v>74</v>
      </c>
      <c r="I44" t="s">
        <v>1121</v>
      </c>
      <c r="J44" t="s">
        <v>372</v>
      </c>
      <c r="K44" t="s">
        <v>74</v>
      </c>
      <c r="L44" t="s">
        <v>74</v>
      </c>
      <c r="M44" t="s">
        <v>78</v>
      </c>
      <c r="N44" t="s">
        <v>79</v>
      </c>
      <c r="O44" t="s">
        <v>74</v>
      </c>
      <c r="P44" t="s">
        <v>74</v>
      </c>
      <c r="Q44" t="s">
        <v>74</v>
      </c>
      <c r="R44" t="s">
        <v>74</v>
      </c>
      <c r="S44" t="s">
        <v>74</v>
      </c>
      <c r="T44" t="s">
        <v>1122</v>
      </c>
      <c r="U44" t="s">
        <v>1123</v>
      </c>
      <c r="V44" t="s">
        <v>1124</v>
      </c>
      <c r="W44" t="s">
        <v>1125</v>
      </c>
      <c r="X44" t="s">
        <v>1126</v>
      </c>
      <c r="Y44" t="s">
        <v>1127</v>
      </c>
      <c r="Z44" t="s">
        <v>1128</v>
      </c>
      <c r="AA44" t="s">
        <v>74</v>
      </c>
      <c r="AB44" t="s">
        <v>1129</v>
      </c>
      <c r="AC44" t="s">
        <v>1130</v>
      </c>
      <c r="AD44" t="s">
        <v>1131</v>
      </c>
      <c r="AE44" t="s">
        <v>1132</v>
      </c>
      <c r="AF44" t="s">
        <v>74</v>
      </c>
      <c r="AG44">
        <v>57</v>
      </c>
      <c r="AH44">
        <v>13</v>
      </c>
      <c r="AI44">
        <v>14</v>
      </c>
      <c r="AJ44">
        <v>0</v>
      </c>
      <c r="AK44">
        <v>3</v>
      </c>
      <c r="AL44" t="s">
        <v>383</v>
      </c>
      <c r="AM44" t="s">
        <v>384</v>
      </c>
      <c r="AN44" t="s">
        <v>385</v>
      </c>
      <c r="AO44" t="s">
        <v>74</v>
      </c>
      <c r="AP44" t="s">
        <v>386</v>
      </c>
      <c r="AQ44" t="s">
        <v>74</v>
      </c>
      <c r="AR44" t="s">
        <v>387</v>
      </c>
      <c r="AS44" t="s">
        <v>388</v>
      </c>
      <c r="AT44" t="s">
        <v>1024</v>
      </c>
      <c r="AU44">
        <v>2021</v>
      </c>
      <c r="AV44">
        <v>8</v>
      </c>
      <c r="AW44" t="s">
        <v>74</v>
      </c>
      <c r="AX44" t="s">
        <v>74</v>
      </c>
      <c r="AY44" t="s">
        <v>74</v>
      </c>
      <c r="AZ44" t="s">
        <v>74</v>
      </c>
      <c r="BA44" t="s">
        <v>74</v>
      </c>
      <c r="BB44" t="s">
        <v>74</v>
      </c>
      <c r="BC44" t="s">
        <v>74</v>
      </c>
      <c r="BD44">
        <v>749943</v>
      </c>
      <c r="BE44" t="s">
        <v>1133</v>
      </c>
      <c r="BF44" t="str">
        <f>HYPERLINK("http://dx.doi.org/10.3389/fmars.2021.749943","http://dx.doi.org/10.3389/fmars.2021.749943")</f>
        <v>http://dx.doi.org/10.3389/fmars.2021.749943</v>
      </c>
      <c r="BG44" t="s">
        <v>74</v>
      </c>
      <c r="BH44" t="s">
        <v>74</v>
      </c>
      <c r="BI44">
        <v>16</v>
      </c>
      <c r="BJ44" t="s">
        <v>391</v>
      </c>
      <c r="BK44" t="s">
        <v>101</v>
      </c>
      <c r="BL44" t="s">
        <v>392</v>
      </c>
      <c r="BM44" t="s">
        <v>1134</v>
      </c>
      <c r="BN44" t="s">
        <v>74</v>
      </c>
      <c r="BO44" t="s">
        <v>210</v>
      </c>
      <c r="BP44" t="s">
        <v>74</v>
      </c>
      <c r="BQ44" t="s">
        <v>74</v>
      </c>
      <c r="BR44" t="s">
        <v>105</v>
      </c>
      <c r="BS44" t="s">
        <v>1135</v>
      </c>
      <c r="BT44" t="str">
        <f>HYPERLINK("https%3A%2F%2Fwww.webofscience.com%2Fwos%2Fwoscc%2Ffull-record%2FWOS:000899252500001","View Full Record in Web of Science")</f>
        <v>View Full Record in Web of Science</v>
      </c>
    </row>
    <row r="45" spans="1:72" x14ac:dyDescent="0.15">
      <c r="A45" t="s">
        <v>72</v>
      </c>
      <c r="B45" t="s">
        <v>1136</v>
      </c>
      <c r="C45" t="s">
        <v>74</v>
      </c>
      <c r="D45" t="s">
        <v>74</v>
      </c>
      <c r="E45" t="s">
        <v>74</v>
      </c>
      <c r="F45" t="s">
        <v>1137</v>
      </c>
      <c r="G45" t="s">
        <v>74</v>
      </c>
      <c r="H45" t="s">
        <v>74</v>
      </c>
      <c r="I45" t="s">
        <v>1138</v>
      </c>
      <c r="J45" t="s">
        <v>1139</v>
      </c>
      <c r="K45" t="s">
        <v>74</v>
      </c>
      <c r="L45" t="s">
        <v>74</v>
      </c>
      <c r="M45" t="s">
        <v>78</v>
      </c>
      <c r="N45" t="s">
        <v>79</v>
      </c>
      <c r="O45" t="s">
        <v>74</v>
      </c>
      <c r="P45" t="s">
        <v>74</v>
      </c>
      <c r="Q45" t="s">
        <v>74</v>
      </c>
      <c r="R45" t="s">
        <v>74</v>
      </c>
      <c r="S45" t="s">
        <v>74</v>
      </c>
      <c r="T45" t="s">
        <v>74</v>
      </c>
      <c r="U45" t="s">
        <v>1140</v>
      </c>
      <c r="V45" t="s">
        <v>1141</v>
      </c>
      <c r="W45" t="s">
        <v>1142</v>
      </c>
      <c r="X45" t="s">
        <v>1143</v>
      </c>
      <c r="Y45" t="s">
        <v>1144</v>
      </c>
      <c r="Z45" t="s">
        <v>1145</v>
      </c>
      <c r="AA45" t="s">
        <v>1146</v>
      </c>
      <c r="AB45" t="s">
        <v>1147</v>
      </c>
      <c r="AC45" t="s">
        <v>1148</v>
      </c>
      <c r="AD45" t="s">
        <v>1148</v>
      </c>
      <c r="AE45" t="s">
        <v>1149</v>
      </c>
      <c r="AF45" t="s">
        <v>74</v>
      </c>
      <c r="AG45">
        <v>724</v>
      </c>
      <c r="AH45">
        <v>43</v>
      </c>
      <c r="AI45">
        <v>45</v>
      </c>
      <c r="AJ45">
        <v>10</v>
      </c>
      <c r="AK45">
        <v>61</v>
      </c>
      <c r="AL45" t="s">
        <v>227</v>
      </c>
      <c r="AM45" t="s">
        <v>228</v>
      </c>
      <c r="AN45" t="s">
        <v>229</v>
      </c>
      <c r="AO45" t="s">
        <v>1150</v>
      </c>
      <c r="AP45" t="s">
        <v>1151</v>
      </c>
      <c r="AQ45" t="s">
        <v>74</v>
      </c>
      <c r="AR45" t="s">
        <v>1152</v>
      </c>
      <c r="AS45" t="s">
        <v>1153</v>
      </c>
      <c r="AT45" t="s">
        <v>1024</v>
      </c>
      <c r="AU45">
        <v>2021</v>
      </c>
      <c r="AV45">
        <v>17</v>
      </c>
      <c r="AW45">
        <v>6</v>
      </c>
      <c r="AX45" t="s">
        <v>74</v>
      </c>
      <c r="AY45" t="s">
        <v>74</v>
      </c>
      <c r="AZ45" t="s">
        <v>74</v>
      </c>
      <c r="BA45" t="s">
        <v>74</v>
      </c>
      <c r="BB45">
        <v>1677</v>
      </c>
      <c r="BC45">
        <v>1751</v>
      </c>
      <c r="BD45" t="s">
        <v>74</v>
      </c>
      <c r="BE45" t="s">
        <v>1154</v>
      </c>
      <c r="BF45" t="str">
        <f>HYPERLINK("http://dx.doi.org/10.5194/os-17-1677-2021","http://dx.doi.org/10.5194/os-17-1677-2021")</f>
        <v>http://dx.doi.org/10.5194/os-17-1677-2021</v>
      </c>
      <c r="BG45" t="s">
        <v>74</v>
      </c>
      <c r="BH45" t="s">
        <v>74</v>
      </c>
      <c r="BI45">
        <v>75</v>
      </c>
      <c r="BJ45" t="s">
        <v>1155</v>
      </c>
      <c r="BK45" t="s">
        <v>101</v>
      </c>
      <c r="BL45" t="s">
        <v>1155</v>
      </c>
      <c r="BM45" t="s">
        <v>1156</v>
      </c>
      <c r="BN45" t="s">
        <v>74</v>
      </c>
      <c r="BO45" t="s">
        <v>1157</v>
      </c>
      <c r="BP45" t="s">
        <v>74</v>
      </c>
      <c r="BQ45" t="s">
        <v>74</v>
      </c>
      <c r="BR45" t="s">
        <v>105</v>
      </c>
      <c r="BS45" t="s">
        <v>1158</v>
      </c>
      <c r="BT45" t="str">
        <f>HYPERLINK("https%3A%2F%2Fwww.webofscience.com%2Fwos%2Fwoscc%2Ffull-record%2FWOS:000723851300001","View Full Record in Web of Science")</f>
        <v>View Full Record in Web of Science</v>
      </c>
    </row>
    <row r="46" spans="1:72" x14ac:dyDescent="0.15">
      <c r="A46" t="s">
        <v>72</v>
      </c>
      <c r="B46" t="s">
        <v>1159</v>
      </c>
      <c r="C46" t="s">
        <v>74</v>
      </c>
      <c r="D46" t="s">
        <v>74</v>
      </c>
      <c r="E46" t="s">
        <v>74</v>
      </c>
      <c r="F46" t="s">
        <v>1160</v>
      </c>
      <c r="G46" t="s">
        <v>74</v>
      </c>
      <c r="H46" t="s">
        <v>74</v>
      </c>
      <c r="I46" t="s">
        <v>1161</v>
      </c>
      <c r="J46" t="s">
        <v>1162</v>
      </c>
      <c r="K46" t="s">
        <v>74</v>
      </c>
      <c r="L46" t="s">
        <v>74</v>
      </c>
      <c r="M46" t="s">
        <v>78</v>
      </c>
      <c r="N46" t="s">
        <v>79</v>
      </c>
      <c r="O46" t="s">
        <v>74</v>
      </c>
      <c r="P46" t="s">
        <v>74</v>
      </c>
      <c r="Q46" t="s">
        <v>74</v>
      </c>
      <c r="R46" t="s">
        <v>74</v>
      </c>
      <c r="S46" t="s">
        <v>74</v>
      </c>
      <c r="T46" t="s">
        <v>1163</v>
      </c>
      <c r="U46" t="s">
        <v>1164</v>
      </c>
      <c r="V46" t="s">
        <v>1165</v>
      </c>
      <c r="W46" t="s">
        <v>1166</v>
      </c>
      <c r="X46" t="s">
        <v>1167</v>
      </c>
      <c r="Y46" t="s">
        <v>1168</v>
      </c>
      <c r="Z46" t="s">
        <v>1169</v>
      </c>
      <c r="AA46" t="s">
        <v>1170</v>
      </c>
      <c r="AB46" t="s">
        <v>1171</v>
      </c>
      <c r="AC46" t="s">
        <v>1172</v>
      </c>
      <c r="AD46" t="s">
        <v>1173</v>
      </c>
      <c r="AE46" t="s">
        <v>1174</v>
      </c>
      <c r="AF46" t="s">
        <v>74</v>
      </c>
      <c r="AG46">
        <v>55</v>
      </c>
      <c r="AH46">
        <v>11</v>
      </c>
      <c r="AI46">
        <v>11</v>
      </c>
      <c r="AJ46">
        <v>1</v>
      </c>
      <c r="AK46">
        <v>10</v>
      </c>
      <c r="AL46" t="s">
        <v>1175</v>
      </c>
      <c r="AM46" t="s">
        <v>170</v>
      </c>
      <c r="AN46" t="s">
        <v>1176</v>
      </c>
      <c r="AO46" t="s">
        <v>1177</v>
      </c>
      <c r="AP46" t="s">
        <v>1178</v>
      </c>
      <c r="AQ46" t="s">
        <v>74</v>
      </c>
      <c r="AR46" t="s">
        <v>1179</v>
      </c>
      <c r="AS46" t="s">
        <v>1180</v>
      </c>
      <c r="AT46" t="s">
        <v>338</v>
      </c>
      <c r="AU46">
        <v>2022</v>
      </c>
      <c r="AV46">
        <v>265</v>
      </c>
      <c r="AW46" t="s">
        <v>74</v>
      </c>
      <c r="AX46" t="s">
        <v>74</v>
      </c>
      <c r="AY46" t="s">
        <v>74</v>
      </c>
      <c r="AZ46" t="s">
        <v>74</v>
      </c>
      <c r="BA46" t="s">
        <v>74</v>
      </c>
      <c r="BB46" t="s">
        <v>74</v>
      </c>
      <c r="BC46" t="s">
        <v>74</v>
      </c>
      <c r="BD46">
        <v>111121</v>
      </c>
      <c r="BE46" t="s">
        <v>1181</v>
      </c>
      <c r="BF46" t="str">
        <f>HYPERLINK("http://dx.doi.org/10.1016/j.cbpa.2021.111121","http://dx.doi.org/10.1016/j.cbpa.2021.111121")</f>
        <v>http://dx.doi.org/10.1016/j.cbpa.2021.111121</v>
      </c>
      <c r="BG46" t="s">
        <v>74</v>
      </c>
      <c r="BH46" t="s">
        <v>263</v>
      </c>
      <c r="BI46">
        <v>8</v>
      </c>
      <c r="BJ46" t="s">
        <v>1182</v>
      </c>
      <c r="BK46" t="s">
        <v>101</v>
      </c>
      <c r="BL46" t="s">
        <v>1182</v>
      </c>
      <c r="BM46" t="s">
        <v>1183</v>
      </c>
      <c r="BN46">
        <v>34822975</v>
      </c>
      <c r="BO46" t="s">
        <v>74</v>
      </c>
      <c r="BP46" t="s">
        <v>74</v>
      </c>
      <c r="BQ46" t="s">
        <v>74</v>
      </c>
      <c r="BR46" t="s">
        <v>105</v>
      </c>
      <c r="BS46" t="s">
        <v>1184</v>
      </c>
      <c r="BT46" t="str">
        <f>HYPERLINK("https%3A%2F%2Fwww.webofscience.com%2Fwos%2Fwoscc%2Ffull-record%2FWOS:000740849000005","View Full Record in Web of Science")</f>
        <v>View Full Record in Web of Science</v>
      </c>
    </row>
    <row r="47" spans="1:72" x14ac:dyDescent="0.15">
      <c r="A47" t="s">
        <v>72</v>
      </c>
      <c r="B47" t="s">
        <v>1185</v>
      </c>
      <c r="C47" t="s">
        <v>74</v>
      </c>
      <c r="D47" t="s">
        <v>74</v>
      </c>
      <c r="E47" t="s">
        <v>74</v>
      </c>
      <c r="F47" t="s">
        <v>1186</v>
      </c>
      <c r="G47" t="s">
        <v>74</v>
      </c>
      <c r="H47" t="s">
        <v>74</v>
      </c>
      <c r="I47" t="s">
        <v>1187</v>
      </c>
      <c r="J47" t="s">
        <v>1188</v>
      </c>
      <c r="K47" t="s">
        <v>74</v>
      </c>
      <c r="L47" t="s">
        <v>74</v>
      </c>
      <c r="M47" t="s">
        <v>78</v>
      </c>
      <c r="N47" t="s">
        <v>79</v>
      </c>
      <c r="O47" t="s">
        <v>74</v>
      </c>
      <c r="P47" t="s">
        <v>74</v>
      </c>
      <c r="Q47" t="s">
        <v>74</v>
      </c>
      <c r="R47" t="s">
        <v>74</v>
      </c>
      <c r="S47" t="s">
        <v>74</v>
      </c>
      <c r="T47" t="s">
        <v>1189</v>
      </c>
      <c r="U47" t="s">
        <v>1190</v>
      </c>
      <c r="V47" t="s">
        <v>1191</v>
      </c>
      <c r="W47" t="s">
        <v>1192</v>
      </c>
      <c r="X47" t="s">
        <v>1193</v>
      </c>
      <c r="Y47" t="s">
        <v>1194</v>
      </c>
      <c r="Z47" t="s">
        <v>1195</v>
      </c>
      <c r="AA47" t="s">
        <v>1196</v>
      </c>
      <c r="AB47" t="s">
        <v>1197</v>
      </c>
      <c r="AC47" t="s">
        <v>1198</v>
      </c>
      <c r="AD47" t="s">
        <v>1199</v>
      </c>
      <c r="AE47" t="s">
        <v>1200</v>
      </c>
      <c r="AF47" t="s">
        <v>74</v>
      </c>
      <c r="AG47">
        <v>42</v>
      </c>
      <c r="AH47">
        <v>8</v>
      </c>
      <c r="AI47">
        <v>8</v>
      </c>
      <c r="AJ47">
        <v>10</v>
      </c>
      <c r="AK47">
        <v>36</v>
      </c>
      <c r="AL47" t="s">
        <v>847</v>
      </c>
      <c r="AM47" t="s">
        <v>848</v>
      </c>
      <c r="AN47" t="s">
        <v>849</v>
      </c>
      <c r="AO47" t="s">
        <v>1201</v>
      </c>
      <c r="AP47" t="s">
        <v>1202</v>
      </c>
      <c r="AQ47" t="s">
        <v>74</v>
      </c>
      <c r="AR47" t="s">
        <v>1203</v>
      </c>
      <c r="AS47" t="s">
        <v>1204</v>
      </c>
      <c r="AT47" t="s">
        <v>363</v>
      </c>
      <c r="AU47">
        <v>2022</v>
      </c>
      <c r="AV47">
        <v>154</v>
      </c>
      <c r="AW47" t="s">
        <v>74</v>
      </c>
      <c r="AX47" t="s">
        <v>74</v>
      </c>
      <c r="AY47" t="s">
        <v>74</v>
      </c>
      <c r="AZ47" t="s">
        <v>74</v>
      </c>
      <c r="BA47" t="s">
        <v>74</v>
      </c>
      <c r="BB47" t="s">
        <v>74</v>
      </c>
      <c r="BC47" t="s">
        <v>74</v>
      </c>
      <c r="BD47">
        <v>112832</v>
      </c>
      <c r="BE47" t="s">
        <v>1205</v>
      </c>
      <c r="BF47" t="str">
        <f>HYPERLINK("http://dx.doi.org/10.1016/j.lwt.2021.112832","http://dx.doi.org/10.1016/j.lwt.2021.112832")</f>
        <v>http://dx.doi.org/10.1016/j.lwt.2021.112832</v>
      </c>
      <c r="BG47" t="s">
        <v>74</v>
      </c>
      <c r="BH47" t="s">
        <v>263</v>
      </c>
      <c r="BI47">
        <v>9</v>
      </c>
      <c r="BJ47" t="s">
        <v>1206</v>
      </c>
      <c r="BK47" t="s">
        <v>101</v>
      </c>
      <c r="BL47" t="s">
        <v>1206</v>
      </c>
      <c r="BM47" t="s">
        <v>1207</v>
      </c>
      <c r="BN47" t="s">
        <v>74</v>
      </c>
      <c r="BO47" t="s">
        <v>210</v>
      </c>
      <c r="BP47" t="s">
        <v>74</v>
      </c>
      <c r="BQ47" t="s">
        <v>74</v>
      </c>
      <c r="BR47" t="s">
        <v>105</v>
      </c>
      <c r="BS47" t="s">
        <v>1208</v>
      </c>
      <c r="BT47" t="str">
        <f>HYPERLINK("https%3A%2F%2Fwww.webofscience.com%2Fwos%2Fwoscc%2Ffull-record%2FWOS:000735295100012","View Full Record in Web of Science")</f>
        <v>View Full Record in Web of Science</v>
      </c>
    </row>
    <row r="48" spans="1:72" x14ac:dyDescent="0.15">
      <c r="A48" t="s">
        <v>72</v>
      </c>
      <c r="B48" t="s">
        <v>1209</v>
      </c>
      <c r="C48" t="s">
        <v>74</v>
      </c>
      <c r="D48" t="s">
        <v>74</v>
      </c>
      <c r="E48" t="s">
        <v>74</v>
      </c>
      <c r="F48" t="s">
        <v>1210</v>
      </c>
      <c r="G48" t="s">
        <v>74</v>
      </c>
      <c r="H48" t="s">
        <v>74</v>
      </c>
      <c r="I48" t="s">
        <v>1211</v>
      </c>
      <c r="J48" t="s">
        <v>1212</v>
      </c>
      <c r="K48" t="s">
        <v>74</v>
      </c>
      <c r="L48" t="s">
        <v>74</v>
      </c>
      <c r="M48" t="s">
        <v>78</v>
      </c>
      <c r="N48" t="s">
        <v>79</v>
      </c>
      <c r="O48" t="s">
        <v>74</v>
      </c>
      <c r="P48" t="s">
        <v>74</v>
      </c>
      <c r="Q48" t="s">
        <v>74</v>
      </c>
      <c r="R48" t="s">
        <v>74</v>
      </c>
      <c r="S48" t="s">
        <v>74</v>
      </c>
      <c r="T48" t="s">
        <v>74</v>
      </c>
      <c r="U48" t="s">
        <v>1213</v>
      </c>
      <c r="V48" t="s">
        <v>1214</v>
      </c>
      <c r="W48" t="s">
        <v>1215</v>
      </c>
      <c r="X48" t="s">
        <v>1216</v>
      </c>
      <c r="Y48" t="s">
        <v>1217</v>
      </c>
      <c r="Z48" t="s">
        <v>1218</v>
      </c>
      <c r="AA48" t="s">
        <v>1219</v>
      </c>
      <c r="AB48" t="s">
        <v>1220</v>
      </c>
      <c r="AC48" t="s">
        <v>1221</v>
      </c>
      <c r="AD48" t="s">
        <v>1222</v>
      </c>
      <c r="AE48" t="s">
        <v>1223</v>
      </c>
      <c r="AF48" t="s">
        <v>74</v>
      </c>
      <c r="AG48">
        <v>87</v>
      </c>
      <c r="AH48">
        <v>9</v>
      </c>
      <c r="AI48">
        <v>9</v>
      </c>
      <c r="AJ48">
        <v>0</v>
      </c>
      <c r="AK48">
        <v>14</v>
      </c>
      <c r="AL48" t="s">
        <v>492</v>
      </c>
      <c r="AM48" t="s">
        <v>493</v>
      </c>
      <c r="AN48" t="s">
        <v>494</v>
      </c>
      <c r="AO48" t="s">
        <v>1224</v>
      </c>
      <c r="AP48" t="s">
        <v>74</v>
      </c>
      <c r="AQ48" t="s">
        <v>74</v>
      </c>
      <c r="AR48" t="s">
        <v>1225</v>
      </c>
      <c r="AS48" t="s">
        <v>1226</v>
      </c>
      <c r="AT48" t="s">
        <v>1227</v>
      </c>
      <c r="AU48">
        <v>2021</v>
      </c>
      <c r="AV48">
        <v>11</v>
      </c>
      <c r="AW48">
        <v>1</v>
      </c>
      <c r="AX48" t="s">
        <v>74</v>
      </c>
      <c r="AY48" t="s">
        <v>74</v>
      </c>
      <c r="AZ48" t="s">
        <v>74</v>
      </c>
      <c r="BA48" t="s">
        <v>74</v>
      </c>
      <c r="BB48" t="s">
        <v>74</v>
      </c>
      <c r="BC48" t="s">
        <v>74</v>
      </c>
      <c r="BD48">
        <v>22359</v>
      </c>
      <c r="BE48" t="s">
        <v>1228</v>
      </c>
      <c r="BF48" t="str">
        <f>HYPERLINK("http://dx.doi.org/10.1038/s41598-021-01651-2","http://dx.doi.org/10.1038/s41598-021-01651-2")</f>
        <v>http://dx.doi.org/10.1038/s41598-021-01651-2</v>
      </c>
      <c r="BG48" t="s">
        <v>74</v>
      </c>
      <c r="BH48" t="s">
        <v>74</v>
      </c>
      <c r="BI48">
        <v>11</v>
      </c>
      <c r="BJ48" t="s">
        <v>126</v>
      </c>
      <c r="BK48" t="s">
        <v>101</v>
      </c>
      <c r="BL48" t="s">
        <v>127</v>
      </c>
      <c r="BM48" t="s">
        <v>1229</v>
      </c>
      <c r="BN48">
        <v>34824287</v>
      </c>
      <c r="BO48" t="s">
        <v>1094</v>
      </c>
      <c r="BP48" t="s">
        <v>74</v>
      </c>
      <c r="BQ48" t="s">
        <v>74</v>
      </c>
      <c r="BR48" t="s">
        <v>105</v>
      </c>
      <c r="BS48" t="s">
        <v>1230</v>
      </c>
      <c r="BT48" t="str">
        <f>HYPERLINK("https%3A%2F%2Fwww.webofscience.com%2Fwos%2Fwoscc%2Ffull-record%2FWOS:000722710200046","View Full Record in Web of Science")</f>
        <v>View Full Record in Web of Science</v>
      </c>
    </row>
    <row r="49" spans="1:72" x14ac:dyDescent="0.15">
      <c r="A49" t="s">
        <v>72</v>
      </c>
      <c r="B49" t="s">
        <v>1231</v>
      </c>
      <c r="C49" t="s">
        <v>74</v>
      </c>
      <c r="D49" t="s">
        <v>74</v>
      </c>
      <c r="E49" t="s">
        <v>74</v>
      </c>
      <c r="F49" t="s">
        <v>1232</v>
      </c>
      <c r="G49" t="s">
        <v>74</v>
      </c>
      <c r="H49" t="s">
        <v>74</v>
      </c>
      <c r="I49" t="s">
        <v>1233</v>
      </c>
      <c r="J49" t="s">
        <v>1234</v>
      </c>
      <c r="K49" t="s">
        <v>74</v>
      </c>
      <c r="L49" t="s">
        <v>74</v>
      </c>
      <c r="M49" t="s">
        <v>78</v>
      </c>
      <c r="N49" t="s">
        <v>79</v>
      </c>
      <c r="O49" t="s">
        <v>74</v>
      </c>
      <c r="P49" t="s">
        <v>74</v>
      </c>
      <c r="Q49" t="s">
        <v>74</v>
      </c>
      <c r="R49" t="s">
        <v>74</v>
      </c>
      <c r="S49" t="s">
        <v>74</v>
      </c>
      <c r="T49" t="s">
        <v>1235</v>
      </c>
      <c r="U49" t="s">
        <v>1236</v>
      </c>
      <c r="V49" t="s">
        <v>1237</v>
      </c>
      <c r="W49" t="s">
        <v>1238</v>
      </c>
      <c r="X49" t="s">
        <v>1239</v>
      </c>
      <c r="Y49" t="s">
        <v>1240</v>
      </c>
      <c r="Z49" t="s">
        <v>1241</v>
      </c>
      <c r="AA49" t="s">
        <v>74</v>
      </c>
      <c r="AB49" t="s">
        <v>1242</v>
      </c>
      <c r="AC49" t="s">
        <v>74</v>
      </c>
      <c r="AD49" t="s">
        <v>74</v>
      </c>
      <c r="AE49" t="s">
        <v>74</v>
      </c>
      <c r="AF49" t="s">
        <v>74</v>
      </c>
      <c r="AG49">
        <v>82</v>
      </c>
      <c r="AH49">
        <v>2</v>
      </c>
      <c r="AI49">
        <v>4</v>
      </c>
      <c r="AJ49">
        <v>2</v>
      </c>
      <c r="AK49">
        <v>16</v>
      </c>
      <c r="AL49" t="s">
        <v>383</v>
      </c>
      <c r="AM49" t="s">
        <v>384</v>
      </c>
      <c r="AN49" t="s">
        <v>385</v>
      </c>
      <c r="AO49" t="s">
        <v>74</v>
      </c>
      <c r="AP49" t="s">
        <v>1243</v>
      </c>
      <c r="AQ49" t="s">
        <v>74</v>
      </c>
      <c r="AR49" t="s">
        <v>1244</v>
      </c>
      <c r="AS49" t="s">
        <v>1245</v>
      </c>
      <c r="AT49" t="s">
        <v>1227</v>
      </c>
      <c r="AU49">
        <v>2021</v>
      </c>
      <c r="AV49">
        <v>12</v>
      </c>
      <c r="AW49" t="s">
        <v>74</v>
      </c>
      <c r="AX49" t="s">
        <v>74</v>
      </c>
      <c r="AY49" t="s">
        <v>74</v>
      </c>
      <c r="AZ49" t="s">
        <v>74</v>
      </c>
      <c r="BA49" t="s">
        <v>74</v>
      </c>
      <c r="BB49" t="s">
        <v>74</v>
      </c>
      <c r="BC49" t="s">
        <v>74</v>
      </c>
      <c r="BD49">
        <v>738451</v>
      </c>
      <c r="BE49" t="s">
        <v>1246</v>
      </c>
      <c r="BF49" t="str">
        <f>HYPERLINK("http://dx.doi.org/10.3389/fmicb.2021.738451","http://dx.doi.org/10.3389/fmicb.2021.738451")</f>
        <v>http://dx.doi.org/10.3389/fmicb.2021.738451</v>
      </c>
      <c r="BG49" t="s">
        <v>74</v>
      </c>
      <c r="BH49" t="s">
        <v>74</v>
      </c>
      <c r="BI49">
        <v>16</v>
      </c>
      <c r="BJ49" t="s">
        <v>975</v>
      </c>
      <c r="BK49" t="s">
        <v>101</v>
      </c>
      <c r="BL49" t="s">
        <v>975</v>
      </c>
      <c r="BM49" t="s">
        <v>1247</v>
      </c>
      <c r="BN49">
        <v>34899626</v>
      </c>
      <c r="BO49" t="s">
        <v>1248</v>
      </c>
      <c r="BP49" t="s">
        <v>74</v>
      </c>
      <c r="BQ49" t="s">
        <v>74</v>
      </c>
      <c r="BR49" t="s">
        <v>105</v>
      </c>
      <c r="BS49" t="s">
        <v>1249</v>
      </c>
      <c r="BT49" t="str">
        <f>HYPERLINK("https%3A%2F%2Fwww.webofscience.com%2Fwos%2Fwoscc%2Ffull-record%2FWOS:000728909000001","View Full Record in Web of Science")</f>
        <v>View Full Record in Web of Science</v>
      </c>
    </row>
    <row r="50" spans="1:72" x14ac:dyDescent="0.15">
      <c r="A50" t="s">
        <v>72</v>
      </c>
      <c r="B50" t="s">
        <v>1250</v>
      </c>
      <c r="C50" t="s">
        <v>74</v>
      </c>
      <c r="D50" t="s">
        <v>74</v>
      </c>
      <c r="E50" t="s">
        <v>74</v>
      </c>
      <c r="F50" t="s">
        <v>1251</v>
      </c>
      <c r="G50" t="s">
        <v>74</v>
      </c>
      <c r="H50" t="s">
        <v>74</v>
      </c>
      <c r="I50" t="s">
        <v>1252</v>
      </c>
      <c r="J50" t="s">
        <v>1253</v>
      </c>
      <c r="K50" t="s">
        <v>74</v>
      </c>
      <c r="L50" t="s">
        <v>74</v>
      </c>
      <c r="M50" t="s">
        <v>78</v>
      </c>
      <c r="N50" t="s">
        <v>79</v>
      </c>
      <c r="O50" t="s">
        <v>74</v>
      </c>
      <c r="P50" t="s">
        <v>74</v>
      </c>
      <c r="Q50" t="s">
        <v>74</v>
      </c>
      <c r="R50" t="s">
        <v>74</v>
      </c>
      <c r="S50" t="s">
        <v>74</v>
      </c>
      <c r="T50" t="s">
        <v>1254</v>
      </c>
      <c r="U50" t="s">
        <v>1255</v>
      </c>
      <c r="V50" t="s">
        <v>1256</v>
      </c>
      <c r="W50" t="s">
        <v>1257</v>
      </c>
      <c r="X50" t="s">
        <v>1258</v>
      </c>
      <c r="Y50" t="s">
        <v>1259</v>
      </c>
      <c r="Z50" t="s">
        <v>1260</v>
      </c>
      <c r="AA50" t="s">
        <v>1261</v>
      </c>
      <c r="AB50" t="s">
        <v>1262</v>
      </c>
      <c r="AC50" t="s">
        <v>1263</v>
      </c>
      <c r="AD50" t="s">
        <v>1264</v>
      </c>
      <c r="AE50" t="s">
        <v>1265</v>
      </c>
      <c r="AF50" t="s">
        <v>74</v>
      </c>
      <c r="AG50">
        <v>84</v>
      </c>
      <c r="AH50">
        <v>3</v>
      </c>
      <c r="AI50">
        <v>3</v>
      </c>
      <c r="AJ50">
        <v>1</v>
      </c>
      <c r="AK50">
        <v>15</v>
      </c>
      <c r="AL50" t="s">
        <v>847</v>
      </c>
      <c r="AM50" t="s">
        <v>848</v>
      </c>
      <c r="AN50" t="s">
        <v>849</v>
      </c>
      <c r="AO50" t="s">
        <v>1266</v>
      </c>
      <c r="AP50" t="s">
        <v>1267</v>
      </c>
      <c r="AQ50" t="s">
        <v>74</v>
      </c>
      <c r="AR50" t="s">
        <v>1268</v>
      </c>
      <c r="AS50" t="s">
        <v>1269</v>
      </c>
      <c r="AT50" t="s">
        <v>1270</v>
      </c>
      <c r="AU50">
        <v>2022</v>
      </c>
      <c r="AV50">
        <v>238</v>
      </c>
      <c r="AW50" t="s">
        <v>74</v>
      </c>
      <c r="AX50" t="s">
        <v>74</v>
      </c>
      <c r="AY50" t="s">
        <v>74</v>
      </c>
      <c r="AZ50" t="s">
        <v>74</v>
      </c>
      <c r="BA50" t="s">
        <v>74</v>
      </c>
      <c r="BB50" t="s">
        <v>74</v>
      </c>
      <c r="BC50" t="s">
        <v>74</v>
      </c>
      <c r="BD50">
        <v>104051</v>
      </c>
      <c r="BE50" t="s">
        <v>1271</v>
      </c>
      <c r="BF50" t="str">
        <f>HYPERLINK("http://dx.doi.org/10.1016/j.marchem.2021.104051","http://dx.doi.org/10.1016/j.marchem.2021.104051")</f>
        <v>http://dx.doi.org/10.1016/j.marchem.2021.104051</v>
      </c>
      <c r="BG50" t="s">
        <v>74</v>
      </c>
      <c r="BH50" t="s">
        <v>263</v>
      </c>
      <c r="BI50">
        <v>10</v>
      </c>
      <c r="BJ50" t="s">
        <v>1272</v>
      </c>
      <c r="BK50" t="s">
        <v>101</v>
      </c>
      <c r="BL50" t="s">
        <v>1273</v>
      </c>
      <c r="BM50" t="s">
        <v>1274</v>
      </c>
      <c r="BN50" t="s">
        <v>74</v>
      </c>
      <c r="BO50" t="s">
        <v>314</v>
      </c>
      <c r="BP50" t="s">
        <v>74</v>
      </c>
      <c r="BQ50" t="s">
        <v>74</v>
      </c>
      <c r="BR50" t="s">
        <v>105</v>
      </c>
      <c r="BS50" t="s">
        <v>1275</v>
      </c>
      <c r="BT50" t="str">
        <f>HYPERLINK("https%3A%2F%2Fwww.webofscience.com%2Fwos%2Fwoscc%2Ffull-record%2FWOS:000723508100003","View Full Record in Web of Science")</f>
        <v>View Full Record in Web of Science</v>
      </c>
    </row>
    <row r="51" spans="1:72" x14ac:dyDescent="0.15">
      <c r="A51" t="s">
        <v>72</v>
      </c>
      <c r="B51" t="s">
        <v>1276</v>
      </c>
      <c r="C51" t="s">
        <v>74</v>
      </c>
      <c r="D51" t="s">
        <v>74</v>
      </c>
      <c r="E51" t="s">
        <v>74</v>
      </c>
      <c r="F51" t="s">
        <v>1277</v>
      </c>
      <c r="G51" t="s">
        <v>74</v>
      </c>
      <c r="H51" t="s">
        <v>74</v>
      </c>
      <c r="I51" t="s">
        <v>1278</v>
      </c>
      <c r="J51" t="s">
        <v>1279</v>
      </c>
      <c r="K51" t="s">
        <v>74</v>
      </c>
      <c r="L51" t="s">
        <v>74</v>
      </c>
      <c r="M51" t="s">
        <v>78</v>
      </c>
      <c r="N51" t="s">
        <v>79</v>
      </c>
      <c r="O51" t="s">
        <v>74</v>
      </c>
      <c r="P51" t="s">
        <v>74</v>
      </c>
      <c r="Q51" t="s">
        <v>74</v>
      </c>
      <c r="R51" t="s">
        <v>74</v>
      </c>
      <c r="S51" t="s">
        <v>74</v>
      </c>
      <c r="T51" t="s">
        <v>74</v>
      </c>
      <c r="U51" t="s">
        <v>1280</v>
      </c>
      <c r="V51" t="s">
        <v>1281</v>
      </c>
      <c r="W51" t="s">
        <v>1282</v>
      </c>
      <c r="X51" t="s">
        <v>1283</v>
      </c>
      <c r="Y51" t="s">
        <v>1284</v>
      </c>
      <c r="Z51" t="s">
        <v>1285</v>
      </c>
      <c r="AA51" t="s">
        <v>1286</v>
      </c>
      <c r="AB51" t="s">
        <v>1287</v>
      </c>
      <c r="AC51" t="s">
        <v>1288</v>
      </c>
      <c r="AD51" t="s">
        <v>1289</v>
      </c>
      <c r="AE51" t="s">
        <v>1290</v>
      </c>
      <c r="AF51" t="s">
        <v>74</v>
      </c>
      <c r="AG51">
        <v>42</v>
      </c>
      <c r="AH51">
        <v>12</v>
      </c>
      <c r="AI51">
        <v>12</v>
      </c>
      <c r="AJ51">
        <v>5</v>
      </c>
      <c r="AK51">
        <v>35</v>
      </c>
      <c r="AL51" t="s">
        <v>492</v>
      </c>
      <c r="AM51" t="s">
        <v>493</v>
      </c>
      <c r="AN51" t="s">
        <v>494</v>
      </c>
      <c r="AO51" t="s">
        <v>74</v>
      </c>
      <c r="AP51" t="s">
        <v>1291</v>
      </c>
      <c r="AQ51" t="s">
        <v>74</v>
      </c>
      <c r="AR51" t="s">
        <v>1292</v>
      </c>
      <c r="AS51" t="s">
        <v>1293</v>
      </c>
      <c r="AT51" t="s">
        <v>1227</v>
      </c>
      <c r="AU51">
        <v>2021</v>
      </c>
      <c r="AV51">
        <v>12</v>
      </c>
      <c r="AW51">
        <v>1</v>
      </c>
      <c r="AX51" t="s">
        <v>74</v>
      </c>
      <c r="AY51" t="s">
        <v>74</v>
      </c>
      <c r="AZ51" t="s">
        <v>74</v>
      </c>
      <c r="BA51" t="s">
        <v>74</v>
      </c>
      <c r="BB51" t="s">
        <v>74</v>
      </c>
      <c r="BC51" t="s">
        <v>74</v>
      </c>
      <c r="BD51">
        <v>6875</v>
      </c>
      <c r="BE51" t="s">
        <v>1294</v>
      </c>
      <c r="BF51" t="str">
        <f>HYPERLINK("http://dx.doi.org/10.1038/s41467-021-27212-9","http://dx.doi.org/10.1038/s41467-021-27212-9")</f>
        <v>http://dx.doi.org/10.1038/s41467-021-27212-9</v>
      </c>
      <c r="BG51" t="s">
        <v>74</v>
      </c>
      <c r="BH51" t="s">
        <v>74</v>
      </c>
      <c r="BI51">
        <v>9</v>
      </c>
      <c r="BJ51" t="s">
        <v>126</v>
      </c>
      <c r="BK51" t="s">
        <v>101</v>
      </c>
      <c r="BL51" t="s">
        <v>127</v>
      </c>
      <c r="BM51" t="s">
        <v>1295</v>
      </c>
      <c r="BN51">
        <v>34824244</v>
      </c>
      <c r="BO51" t="s">
        <v>1094</v>
      </c>
      <c r="BP51" t="s">
        <v>74</v>
      </c>
      <c r="BQ51" t="s">
        <v>74</v>
      </c>
      <c r="BR51" t="s">
        <v>105</v>
      </c>
      <c r="BS51" t="s">
        <v>1296</v>
      </c>
      <c r="BT51" t="str">
        <f>HYPERLINK("https%3A%2F%2Fwww.webofscience.com%2Fwos%2Fwoscc%2Ffull-record%2FWOS:000722866700076","View Full Record in Web of Science")</f>
        <v>View Full Record in Web of Science</v>
      </c>
    </row>
    <row r="52" spans="1:72" x14ac:dyDescent="0.15">
      <c r="A52" t="s">
        <v>72</v>
      </c>
      <c r="B52" t="s">
        <v>1297</v>
      </c>
      <c r="C52" t="s">
        <v>74</v>
      </c>
      <c r="D52" t="s">
        <v>74</v>
      </c>
      <c r="E52" t="s">
        <v>74</v>
      </c>
      <c r="F52" t="s">
        <v>1298</v>
      </c>
      <c r="G52" t="s">
        <v>74</v>
      </c>
      <c r="H52" t="s">
        <v>74</v>
      </c>
      <c r="I52" t="s">
        <v>1299</v>
      </c>
      <c r="J52" t="s">
        <v>1058</v>
      </c>
      <c r="K52" t="s">
        <v>74</v>
      </c>
      <c r="L52" t="s">
        <v>74</v>
      </c>
      <c r="M52" t="s">
        <v>78</v>
      </c>
      <c r="N52" t="s">
        <v>79</v>
      </c>
      <c r="O52" t="s">
        <v>74</v>
      </c>
      <c r="P52" t="s">
        <v>74</v>
      </c>
      <c r="Q52" t="s">
        <v>74</v>
      </c>
      <c r="R52" t="s">
        <v>74</v>
      </c>
      <c r="S52" t="s">
        <v>74</v>
      </c>
      <c r="T52" t="s">
        <v>74</v>
      </c>
      <c r="U52" t="s">
        <v>1300</v>
      </c>
      <c r="V52" t="s">
        <v>1301</v>
      </c>
      <c r="W52" t="s">
        <v>1302</v>
      </c>
      <c r="X52" t="s">
        <v>1303</v>
      </c>
      <c r="Y52" t="s">
        <v>1304</v>
      </c>
      <c r="Z52" t="s">
        <v>1305</v>
      </c>
      <c r="AA52" t="s">
        <v>74</v>
      </c>
      <c r="AB52" t="s">
        <v>1306</v>
      </c>
      <c r="AC52" t="s">
        <v>74</v>
      </c>
      <c r="AD52" t="s">
        <v>74</v>
      </c>
      <c r="AE52" t="s">
        <v>74</v>
      </c>
      <c r="AF52" t="s">
        <v>74</v>
      </c>
      <c r="AG52">
        <v>93</v>
      </c>
      <c r="AH52">
        <v>9</v>
      </c>
      <c r="AI52">
        <v>9</v>
      </c>
      <c r="AJ52">
        <v>4</v>
      </c>
      <c r="AK52">
        <v>25</v>
      </c>
      <c r="AL52" t="s">
        <v>227</v>
      </c>
      <c r="AM52" t="s">
        <v>228</v>
      </c>
      <c r="AN52" t="s">
        <v>229</v>
      </c>
      <c r="AO52" t="s">
        <v>1065</v>
      </c>
      <c r="AP52" t="s">
        <v>1066</v>
      </c>
      <c r="AQ52" t="s">
        <v>74</v>
      </c>
      <c r="AR52" t="s">
        <v>1058</v>
      </c>
      <c r="AS52" t="s">
        <v>1067</v>
      </c>
      <c r="AT52" t="s">
        <v>1227</v>
      </c>
      <c r="AU52">
        <v>2021</v>
      </c>
      <c r="AV52">
        <v>15</v>
      </c>
      <c r="AW52">
        <v>11</v>
      </c>
      <c r="AX52" t="s">
        <v>74</v>
      </c>
      <c r="AY52" t="s">
        <v>74</v>
      </c>
      <c r="AZ52" t="s">
        <v>74</v>
      </c>
      <c r="BA52" t="s">
        <v>74</v>
      </c>
      <c r="BB52">
        <v>5205</v>
      </c>
      <c r="BC52">
        <v>5226</v>
      </c>
      <c r="BD52" t="s">
        <v>74</v>
      </c>
      <c r="BE52" t="s">
        <v>1307</v>
      </c>
      <c r="BF52" t="str">
        <f>HYPERLINK("http://dx.doi.org/10.5194/tc-15-5205-2021","http://dx.doi.org/10.5194/tc-15-5205-2021")</f>
        <v>http://dx.doi.org/10.5194/tc-15-5205-2021</v>
      </c>
      <c r="BG52" t="s">
        <v>74</v>
      </c>
      <c r="BH52" t="s">
        <v>74</v>
      </c>
      <c r="BI52">
        <v>22</v>
      </c>
      <c r="BJ52" t="s">
        <v>340</v>
      </c>
      <c r="BK52" t="s">
        <v>101</v>
      </c>
      <c r="BL52" t="s">
        <v>341</v>
      </c>
      <c r="BM52" t="s">
        <v>1308</v>
      </c>
      <c r="BN52" t="s">
        <v>74</v>
      </c>
      <c r="BO52" t="s">
        <v>1117</v>
      </c>
      <c r="BP52" t="s">
        <v>74</v>
      </c>
      <c r="BQ52" t="s">
        <v>74</v>
      </c>
      <c r="BR52" t="s">
        <v>105</v>
      </c>
      <c r="BS52" t="s">
        <v>1309</v>
      </c>
      <c r="BT52" t="str">
        <f>HYPERLINK("https%3A%2F%2Fwww.webofscience.com%2Fwos%2Fwoscc%2Ffull-record%2FWOS:000723036600001","View Full Record in Web of Science")</f>
        <v>View Full Record in Web of Science</v>
      </c>
    </row>
    <row r="53" spans="1:72" x14ac:dyDescent="0.15">
      <c r="A53" t="s">
        <v>72</v>
      </c>
      <c r="B53" t="s">
        <v>1310</v>
      </c>
      <c r="C53" t="s">
        <v>74</v>
      </c>
      <c r="D53" t="s">
        <v>74</v>
      </c>
      <c r="E53" t="s">
        <v>74</v>
      </c>
      <c r="F53" t="s">
        <v>1311</v>
      </c>
      <c r="G53" t="s">
        <v>74</v>
      </c>
      <c r="H53" t="s">
        <v>74</v>
      </c>
      <c r="I53" t="s">
        <v>1312</v>
      </c>
      <c r="J53" t="s">
        <v>1313</v>
      </c>
      <c r="K53" t="s">
        <v>74</v>
      </c>
      <c r="L53" t="s">
        <v>74</v>
      </c>
      <c r="M53" t="s">
        <v>78</v>
      </c>
      <c r="N53" t="s">
        <v>79</v>
      </c>
      <c r="O53" t="s">
        <v>74</v>
      </c>
      <c r="P53" t="s">
        <v>74</v>
      </c>
      <c r="Q53" t="s">
        <v>74</v>
      </c>
      <c r="R53" t="s">
        <v>74</v>
      </c>
      <c r="S53" t="s">
        <v>74</v>
      </c>
      <c r="T53" t="s">
        <v>1314</v>
      </c>
      <c r="U53" t="s">
        <v>1315</v>
      </c>
      <c r="V53" t="s">
        <v>1316</v>
      </c>
      <c r="W53" t="s">
        <v>1317</v>
      </c>
      <c r="X53" t="s">
        <v>1318</v>
      </c>
      <c r="Y53" t="s">
        <v>1319</v>
      </c>
      <c r="Z53" t="s">
        <v>1320</v>
      </c>
      <c r="AA53" t="s">
        <v>1321</v>
      </c>
      <c r="AB53" t="s">
        <v>1322</v>
      </c>
      <c r="AC53" t="s">
        <v>1323</v>
      </c>
      <c r="AD53" t="s">
        <v>1324</v>
      </c>
      <c r="AE53" t="s">
        <v>1325</v>
      </c>
      <c r="AF53" t="s">
        <v>74</v>
      </c>
      <c r="AG53">
        <v>78</v>
      </c>
      <c r="AH53">
        <v>10</v>
      </c>
      <c r="AI53">
        <v>10</v>
      </c>
      <c r="AJ53">
        <v>3</v>
      </c>
      <c r="AK53">
        <v>11</v>
      </c>
      <c r="AL53" t="s">
        <v>1326</v>
      </c>
      <c r="AM53" t="s">
        <v>256</v>
      </c>
      <c r="AN53" t="s">
        <v>1327</v>
      </c>
      <c r="AO53" t="s">
        <v>1328</v>
      </c>
      <c r="AP53" t="s">
        <v>1329</v>
      </c>
      <c r="AQ53" t="s">
        <v>74</v>
      </c>
      <c r="AR53" t="s">
        <v>1330</v>
      </c>
      <c r="AS53" t="s">
        <v>1331</v>
      </c>
      <c r="AT53" t="s">
        <v>416</v>
      </c>
      <c r="AU53">
        <v>2022</v>
      </c>
      <c r="AV53">
        <v>169</v>
      </c>
      <c r="AW53" t="s">
        <v>74</v>
      </c>
      <c r="AX53" t="s">
        <v>74</v>
      </c>
      <c r="AY53" t="s">
        <v>74</v>
      </c>
      <c r="AZ53" t="s">
        <v>74</v>
      </c>
      <c r="BA53" t="s">
        <v>74</v>
      </c>
      <c r="BB53" t="s">
        <v>74</v>
      </c>
      <c r="BC53" t="s">
        <v>74</v>
      </c>
      <c r="BD53">
        <v>101920</v>
      </c>
      <c r="BE53" t="s">
        <v>1332</v>
      </c>
      <c r="BF53" t="str">
        <f>HYPERLINK("http://dx.doi.org/10.1016/j.ocemod.2021.101920","http://dx.doi.org/10.1016/j.ocemod.2021.101920")</f>
        <v>http://dx.doi.org/10.1016/j.ocemod.2021.101920</v>
      </c>
      <c r="BG53" t="s">
        <v>74</v>
      </c>
      <c r="BH53" t="s">
        <v>263</v>
      </c>
      <c r="BI53">
        <v>14</v>
      </c>
      <c r="BJ53" t="s">
        <v>1155</v>
      </c>
      <c r="BK53" t="s">
        <v>101</v>
      </c>
      <c r="BL53" t="s">
        <v>1155</v>
      </c>
      <c r="BM53" t="s">
        <v>1333</v>
      </c>
      <c r="BN53" t="s">
        <v>74</v>
      </c>
      <c r="BO53" t="s">
        <v>343</v>
      </c>
      <c r="BP53" t="s">
        <v>74</v>
      </c>
      <c r="BQ53" t="s">
        <v>74</v>
      </c>
      <c r="BR53" t="s">
        <v>105</v>
      </c>
      <c r="BS53" t="s">
        <v>1334</v>
      </c>
      <c r="BT53" t="str">
        <f>HYPERLINK("https%3A%2F%2Fwww.webofscience.com%2Fwos%2Fwoscc%2Ffull-record%2FWOS:000724195900002","View Full Record in Web of Science")</f>
        <v>View Full Record in Web of Science</v>
      </c>
    </row>
    <row r="54" spans="1:72" x14ac:dyDescent="0.15">
      <c r="A54" t="s">
        <v>72</v>
      </c>
      <c r="B54" t="s">
        <v>1335</v>
      </c>
      <c r="C54" t="s">
        <v>74</v>
      </c>
      <c r="D54" t="s">
        <v>74</v>
      </c>
      <c r="E54" t="s">
        <v>74</v>
      </c>
      <c r="F54" t="s">
        <v>1336</v>
      </c>
      <c r="G54" t="s">
        <v>74</v>
      </c>
      <c r="H54" t="s">
        <v>74</v>
      </c>
      <c r="I54" t="s">
        <v>1337</v>
      </c>
      <c r="J54" t="s">
        <v>1338</v>
      </c>
      <c r="K54" t="s">
        <v>74</v>
      </c>
      <c r="L54" t="s">
        <v>74</v>
      </c>
      <c r="M54" t="s">
        <v>78</v>
      </c>
      <c r="N54" t="s">
        <v>79</v>
      </c>
      <c r="O54" t="s">
        <v>74</v>
      </c>
      <c r="P54" t="s">
        <v>74</v>
      </c>
      <c r="Q54" t="s">
        <v>74</v>
      </c>
      <c r="R54" t="s">
        <v>74</v>
      </c>
      <c r="S54" t="s">
        <v>74</v>
      </c>
      <c r="T54" t="s">
        <v>74</v>
      </c>
      <c r="U54" t="s">
        <v>1339</v>
      </c>
      <c r="V54" t="s">
        <v>1340</v>
      </c>
      <c r="W54" t="s">
        <v>1341</v>
      </c>
      <c r="X54" t="s">
        <v>1342</v>
      </c>
      <c r="Y54" t="s">
        <v>1343</v>
      </c>
      <c r="Z54" t="s">
        <v>1344</v>
      </c>
      <c r="AA54" t="s">
        <v>74</v>
      </c>
      <c r="AB54" t="s">
        <v>74</v>
      </c>
      <c r="AC54" t="s">
        <v>1345</v>
      </c>
      <c r="AD54" t="s">
        <v>1345</v>
      </c>
      <c r="AE54" t="s">
        <v>1346</v>
      </c>
      <c r="AF54" t="s">
        <v>74</v>
      </c>
      <c r="AG54">
        <v>65</v>
      </c>
      <c r="AH54">
        <v>2</v>
      </c>
      <c r="AI54">
        <v>2</v>
      </c>
      <c r="AJ54">
        <v>1</v>
      </c>
      <c r="AK54">
        <v>5</v>
      </c>
      <c r="AL54" t="s">
        <v>1347</v>
      </c>
      <c r="AM54" t="s">
        <v>333</v>
      </c>
      <c r="AN54" t="s">
        <v>1348</v>
      </c>
      <c r="AO54" t="s">
        <v>74</v>
      </c>
      <c r="AP54" t="s">
        <v>1349</v>
      </c>
      <c r="AQ54" t="s">
        <v>74</v>
      </c>
      <c r="AR54" t="s">
        <v>1350</v>
      </c>
      <c r="AS54" t="s">
        <v>1351</v>
      </c>
      <c r="AT54" t="s">
        <v>1227</v>
      </c>
      <c r="AU54">
        <v>2021</v>
      </c>
      <c r="AV54">
        <v>2</v>
      </c>
      <c r="AW54">
        <v>1</v>
      </c>
      <c r="AX54" t="s">
        <v>74</v>
      </c>
      <c r="AY54" t="s">
        <v>74</v>
      </c>
      <c r="AZ54" t="s">
        <v>74</v>
      </c>
      <c r="BA54" t="s">
        <v>74</v>
      </c>
      <c r="BB54" t="s">
        <v>74</v>
      </c>
      <c r="BC54" t="s">
        <v>74</v>
      </c>
      <c r="BD54">
        <v>244</v>
      </c>
      <c r="BE54" t="s">
        <v>1352</v>
      </c>
      <c r="BF54" t="str">
        <f>HYPERLINK("http://dx.doi.org/10.1038/s43247-021-00315-3","http://dx.doi.org/10.1038/s43247-021-00315-3")</f>
        <v>http://dx.doi.org/10.1038/s43247-021-00315-3</v>
      </c>
      <c r="BG54" t="s">
        <v>74</v>
      </c>
      <c r="BH54" t="s">
        <v>74</v>
      </c>
      <c r="BI54">
        <v>10</v>
      </c>
      <c r="BJ54" t="s">
        <v>1353</v>
      </c>
      <c r="BK54" t="s">
        <v>101</v>
      </c>
      <c r="BL54" t="s">
        <v>1354</v>
      </c>
      <c r="BM54" t="s">
        <v>1355</v>
      </c>
      <c r="BN54" t="s">
        <v>74</v>
      </c>
      <c r="BO54" t="s">
        <v>210</v>
      </c>
      <c r="BP54" t="s">
        <v>74</v>
      </c>
      <c r="BQ54" t="s">
        <v>74</v>
      </c>
      <c r="BR54" t="s">
        <v>105</v>
      </c>
      <c r="BS54" t="s">
        <v>1356</v>
      </c>
      <c r="BT54" t="str">
        <f>HYPERLINK("https%3A%2F%2Fwww.webofscience.com%2Fwos%2Fwoscc%2Ffull-record%2FWOS:000722602800001","View Full Record in Web of Science")</f>
        <v>View Full Record in Web of Science</v>
      </c>
    </row>
    <row r="55" spans="1:72" x14ac:dyDescent="0.15">
      <c r="A55" t="s">
        <v>72</v>
      </c>
      <c r="B55" t="s">
        <v>1357</v>
      </c>
      <c r="C55" t="s">
        <v>74</v>
      </c>
      <c r="D55" t="s">
        <v>74</v>
      </c>
      <c r="E55" t="s">
        <v>74</v>
      </c>
      <c r="F55" t="s">
        <v>1358</v>
      </c>
      <c r="G55" t="s">
        <v>74</v>
      </c>
      <c r="H55" t="s">
        <v>74</v>
      </c>
      <c r="I55" t="s">
        <v>1359</v>
      </c>
      <c r="J55" t="s">
        <v>935</v>
      </c>
      <c r="K55" t="s">
        <v>74</v>
      </c>
      <c r="L55" t="s">
        <v>74</v>
      </c>
      <c r="M55" t="s">
        <v>78</v>
      </c>
      <c r="N55" t="s">
        <v>79</v>
      </c>
      <c r="O55" t="s">
        <v>74</v>
      </c>
      <c r="P55" t="s">
        <v>74</v>
      </c>
      <c r="Q55" t="s">
        <v>74</v>
      </c>
      <c r="R55" t="s">
        <v>74</v>
      </c>
      <c r="S55" t="s">
        <v>74</v>
      </c>
      <c r="T55" t="s">
        <v>1360</v>
      </c>
      <c r="U55" t="s">
        <v>1361</v>
      </c>
      <c r="V55" t="s">
        <v>1362</v>
      </c>
      <c r="W55" t="s">
        <v>1363</v>
      </c>
      <c r="X55" t="s">
        <v>1364</v>
      </c>
      <c r="Y55" t="s">
        <v>1365</v>
      </c>
      <c r="Z55" t="s">
        <v>1366</v>
      </c>
      <c r="AA55" t="s">
        <v>74</v>
      </c>
      <c r="AB55" t="s">
        <v>1367</v>
      </c>
      <c r="AC55" t="s">
        <v>1368</v>
      </c>
      <c r="AD55" t="s">
        <v>1369</v>
      </c>
      <c r="AE55" t="s">
        <v>1370</v>
      </c>
      <c r="AF55" t="s">
        <v>74</v>
      </c>
      <c r="AG55">
        <v>89</v>
      </c>
      <c r="AH55">
        <v>3</v>
      </c>
      <c r="AI55">
        <v>3</v>
      </c>
      <c r="AJ55">
        <v>0</v>
      </c>
      <c r="AK55">
        <v>6</v>
      </c>
      <c r="AL55" t="s">
        <v>169</v>
      </c>
      <c r="AM55" t="s">
        <v>170</v>
      </c>
      <c r="AN55" t="s">
        <v>171</v>
      </c>
      <c r="AO55" t="s">
        <v>948</v>
      </c>
      <c r="AP55" t="s">
        <v>949</v>
      </c>
      <c r="AQ55" t="s">
        <v>74</v>
      </c>
      <c r="AR55" t="s">
        <v>950</v>
      </c>
      <c r="AS55" t="s">
        <v>951</v>
      </c>
      <c r="AT55" t="s">
        <v>416</v>
      </c>
      <c r="AU55">
        <v>2022</v>
      </c>
      <c r="AV55">
        <v>45</v>
      </c>
      <c r="AW55">
        <v>1</v>
      </c>
      <c r="AX55" t="s">
        <v>74</v>
      </c>
      <c r="AY55" t="s">
        <v>74</v>
      </c>
      <c r="AZ55" t="s">
        <v>74</v>
      </c>
      <c r="BA55" t="s">
        <v>74</v>
      </c>
      <c r="BB55">
        <v>127</v>
      </c>
      <c r="BC55">
        <v>141</v>
      </c>
      <c r="BD55" t="s">
        <v>74</v>
      </c>
      <c r="BE55" t="s">
        <v>1371</v>
      </c>
      <c r="BF55" t="str">
        <f>HYPERLINK("http://dx.doi.org/10.1007/s00300-021-02975-5","http://dx.doi.org/10.1007/s00300-021-02975-5")</f>
        <v>http://dx.doi.org/10.1007/s00300-021-02975-5</v>
      </c>
      <c r="BG55" t="s">
        <v>74</v>
      </c>
      <c r="BH55" t="s">
        <v>263</v>
      </c>
      <c r="BI55">
        <v>15</v>
      </c>
      <c r="BJ55" t="s">
        <v>605</v>
      </c>
      <c r="BK55" t="s">
        <v>101</v>
      </c>
      <c r="BL55" t="s">
        <v>606</v>
      </c>
      <c r="BM55" t="s">
        <v>1372</v>
      </c>
      <c r="BN55" t="s">
        <v>74</v>
      </c>
      <c r="BO55" t="s">
        <v>74</v>
      </c>
      <c r="BP55" t="s">
        <v>74</v>
      </c>
      <c r="BQ55" t="s">
        <v>74</v>
      </c>
      <c r="BR55" t="s">
        <v>105</v>
      </c>
      <c r="BS55" t="s">
        <v>1373</v>
      </c>
      <c r="BT55" t="str">
        <f>HYPERLINK("https%3A%2F%2Fwww.webofscience.com%2Fwos%2Fwoscc%2Ffull-record%2FWOS:000722498800001","View Full Record in Web of Science")</f>
        <v>View Full Record in Web of Science</v>
      </c>
    </row>
    <row r="56" spans="1:72" x14ac:dyDescent="0.15">
      <c r="A56" t="s">
        <v>72</v>
      </c>
      <c r="B56" t="s">
        <v>1374</v>
      </c>
      <c r="C56" t="s">
        <v>74</v>
      </c>
      <c r="D56" t="s">
        <v>74</v>
      </c>
      <c r="E56" t="s">
        <v>74</v>
      </c>
      <c r="F56" t="s">
        <v>1375</v>
      </c>
      <c r="G56" t="s">
        <v>74</v>
      </c>
      <c r="H56" t="s">
        <v>74</v>
      </c>
      <c r="I56" t="s">
        <v>1376</v>
      </c>
      <c r="J56" t="s">
        <v>1377</v>
      </c>
      <c r="K56" t="s">
        <v>74</v>
      </c>
      <c r="L56" t="s">
        <v>74</v>
      </c>
      <c r="M56" t="s">
        <v>78</v>
      </c>
      <c r="N56" t="s">
        <v>79</v>
      </c>
      <c r="O56" t="s">
        <v>74</v>
      </c>
      <c r="P56" t="s">
        <v>74</v>
      </c>
      <c r="Q56" t="s">
        <v>74</v>
      </c>
      <c r="R56" t="s">
        <v>74</v>
      </c>
      <c r="S56" t="s">
        <v>74</v>
      </c>
      <c r="T56" t="s">
        <v>1378</v>
      </c>
      <c r="U56" t="s">
        <v>1379</v>
      </c>
      <c r="V56" t="s">
        <v>1380</v>
      </c>
      <c r="W56" t="s">
        <v>1381</v>
      </c>
      <c r="X56" t="s">
        <v>1382</v>
      </c>
      <c r="Y56" t="s">
        <v>1383</v>
      </c>
      <c r="Z56" t="s">
        <v>1384</v>
      </c>
      <c r="AA56" t="s">
        <v>1385</v>
      </c>
      <c r="AB56" t="s">
        <v>1386</v>
      </c>
      <c r="AC56" t="s">
        <v>1387</v>
      </c>
      <c r="AD56" t="s">
        <v>1388</v>
      </c>
      <c r="AE56" t="s">
        <v>1389</v>
      </c>
      <c r="AF56" t="s">
        <v>74</v>
      </c>
      <c r="AG56">
        <v>84</v>
      </c>
      <c r="AH56">
        <v>6</v>
      </c>
      <c r="AI56">
        <v>7</v>
      </c>
      <c r="AJ56">
        <v>1</v>
      </c>
      <c r="AK56">
        <v>10</v>
      </c>
      <c r="AL56" t="s">
        <v>255</v>
      </c>
      <c r="AM56" t="s">
        <v>256</v>
      </c>
      <c r="AN56" t="s">
        <v>257</v>
      </c>
      <c r="AO56" t="s">
        <v>1390</v>
      </c>
      <c r="AP56" t="s">
        <v>1391</v>
      </c>
      <c r="AQ56" t="s">
        <v>74</v>
      </c>
      <c r="AR56" t="s">
        <v>1392</v>
      </c>
      <c r="AS56" t="s">
        <v>1393</v>
      </c>
      <c r="AT56" t="s">
        <v>1394</v>
      </c>
      <c r="AU56">
        <v>2022</v>
      </c>
      <c r="AV56">
        <v>275</v>
      </c>
      <c r="AW56" t="s">
        <v>74</v>
      </c>
      <c r="AX56" t="s">
        <v>74</v>
      </c>
      <c r="AY56" t="s">
        <v>74</v>
      </c>
      <c r="AZ56" t="s">
        <v>74</v>
      </c>
      <c r="BA56" t="s">
        <v>74</v>
      </c>
      <c r="BB56" t="s">
        <v>74</v>
      </c>
      <c r="BC56" t="s">
        <v>74</v>
      </c>
      <c r="BD56">
        <v>107281</v>
      </c>
      <c r="BE56" t="s">
        <v>1395</v>
      </c>
      <c r="BF56" t="str">
        <f>HYPERLINK("http://dx.doi.org/10.1016/j.quascirev.2021.107281","http://dx.doi.org/10.1016/j.quascirev.2021.107281")</f>
        <v>http://dx.doi.org/10.1016/j.quascirev.2021.107281</v>
      </c>
      <c r="BG56" t="s">
        <v>74</v>
      </c>
      <c r="BH56" t="s">
        <v>263</v>
      </c>
      <c r="BI56">
        <v>15</v>
      </c>
      <c r="BJ56" t="s">
        <v>340</v>
      </c>
      <c r="BK56" t="s">
        <v>101</v>
      </c>
      <c r="BL56" t="s">
        <v>341</v>
      </c>
      <c r="BM56" t="s">
        <v>1396</v>
      </c>
      <c r="BN56" t="s">
        <v>74</v>
      </c>
      <c r="BO56" t="s">
        <v>475</v>
      </c>
      <c r="BP56" t="s">
        <v>74</v>
      </c>
      <c r="BQ56" t="s">
        <v>74</v>
      </c>
      <c r="BR56" t="s">
        <v>105</v>
      </c>
      <c r="BS56" t="s">
        <v>1397</v>
      </c>
      <c r="BT56" t="str">
        <f>HYPERLINK("https%3A%2F%2Fwww.webofscience.com%2Fwos%2Fwoscc%2Ffull-record%2FWOS:000723195900002","View Full Record in Web of Science")</f>
        <v>View Full Record in Web of Science</v>
      </c>
    </row>
    <row r="57" spans="1:72" x14ac:dyDescent="0.15">
      <c r="A57" t="s">
        <v>72</v>
      </c>
      <c r="B57" t="s">
        <v>1398</v>
      </c>
      <c r="C57" t="s">
        <v>74</v>
      </c>
      <c r="D57" t="s">
        <v>74</v>
      </c>
      <c r="E57" t="s">
        <v>74</v>
      </c>
      <c r="F57" t="s">
        <v>1399</v>
      </c>
      <c r="G57" t="s">
        <v>74</v>
      </c>
      <c r="H57" t="s">
        <v>74</v>
      </c>
      <c r="I57" t="s">
        <v>1400</v>
      </c>
      <c r="J57" t="s">
        <v>1401</v>
      </c>
      <c r="K57" t="s">
        <v>74</v>
      </c>
      <c r="L57" t="s">
        <v>74</v>
      </c>
      <c r="M57" t="s">
        <v>78</v>
      </c>
      <c r="N57" t="s">
        <v>79</v>
      </c>
      <c r="O57" t="s">
        <v>74</v>
      </c>
      <c r="P57" t="s">
        <v>74</v>
      </c>
      <c r="Q57" t="s">
        <v>74</v>
      </c>
      <c r="R57" t="s">
        <v>74</v>
      </c>
      <c r="S57" t="s">
        <v>74</v>
      </c>
      <c r="T57" t="s">
        <v>74</v>
      </c>
      <c r="U57" t="s">
        <v>1402</v>
      </c>
      <c r="V57" t="s">
        <v>1403</v>
      </c>
      <c r="W57" t="s">
        <v>1404</v>
      </c>
      <c r="X57" t="s">
        <v>1405</v>
      </c>
      <c r="Y57" t="s">
        <v>1406</v>
      </c>
      <c r="Z57" t="s">
        <v>1407</v>
      </c>
      <c r="AA57" t="s">
        <v>1408</v>
      </c>
      <c r="AB57" t="s">
        <v>1409</v>
      </c>
      <c r="AC57" t="s">
        <v>1410</v>
      </c>
      <c r="AD57" t="s">
        <v>1411</v>
      </c>
      <c r="AE57" t="s">
        <v>1412</v>
      </c>
      <c r="AF57" t="s">
        <v>74</v>
      </c>
      <c r="AG57">
        <v>63</v>
      </c>
      <c r="AH57">
        <v>6</v>
      </c>
      <c r="AI57">
        <v>6</v>
      </c>
      <c r="AJ57">
        <v>0</v>
      </c>
      <c r="AK57">
        <v>2</v>
      </c>
      <c r="AL57" t="s">
        <v>227</v>
      </c>
      <c r="AM57" t="s">
        <v>228</v>
      </c>
      <c r="AN57" t="s">
        <v>229</v>
      </c>
      <c r="AO57" t="s">
        <v>1413</v>
      </c>
      <c r="AP57" t="s">
        <v>1414</v>
      </c>
      <c r="AQ57" t="s">
        <v>74</v>
      </c>
      <c r="AR57" t="s">
        <v>1415</v>
      </c>
      <c r="AS57" t="s">
        <v>1416</v>
      </c>
      <c r="AT57" t="s">
        <v>1227</v>
      </c>
      <c r="AU57">
        <v>2021</v>
      </c>
      <c r="AV57">
        <v>13</v>
      </c>
      <c r="AW57">
        <v>11</v>
      </c>
      <c r="AX57" t="s">
        <v>74</v>
      </c>
      <c r="AY57" t="s">
        <v>74</v>
      </c>
      <c r="AZ57" t="s">
        <v>74</v>
      </c>
      <c r="BA57" t="s">
        <v>74</v>
      </c>
      <c r="BB57">
        <v>5441</v>
      </c>
      <c r="BC57">
        <v>5453</v>
      </c>
      <c r="BD57" t="s">
        <v>74</v>
      </c>
      <c r="BE57" t="s">
        <v>1417</v>
      </c>
      <c r="BF57" t="str">
        <f>HYPERLINK("http://dx.doi.org/10.5194/essd-13-5441-2021","http://dx.doi.org/10.5194/essd-13-5441-2021")</f>
        <v>http://dx.doi.org/10.5194/essd-13-5441-2021</v>
      </c>
      <c r="BG57" t="s">
        <v>74</v>
      </c>
      <c r="BH57" t="s">
        <v>74</v>
      </c>
      <c r="BI57">
        <v>13</v>
      </c>
      <c r="BJ57" t="s">
        <v>1418</v>
      </c>
      <c r="BK57" t="s">
        <v>101</v>
      </c>
      <c r="BL57" t="s">
        <v>1419</v>
      </c>
      <c r="BM57" t="s">
        <v>1420</v>
      </c>
      <c r="BN57" t="s">
        <v>74</v>
      </c>
      <c r="BO57" t="s">
        <v>554</v>
      </c>
      <c r="BP57" t="s">
        <v>74</v>
      </c>
      <c r="BQ57" t="s">
        <v>74</v>
      </c>
      <c r="BR57" t="s">
        <v>105</v>
      </c>
      <c r="BS57" t="s">
        <v>1421</v>
      </c>
      <c r="BT57" t="str">
        <f>HYPERLINK("https%3A%2F%2Fwww.webofscience.com%2Fwos%2Fwoscc%2Ffull-record%2FWOS:000723038300001","View Full Record in Web of Science")</f>
        <v>View Full Record in Web of Science</v>
      </c>
    </row>
    <row r="58" spans="1:72" x14ac:dyDescent="0.15">
      <c r="A58" t="s">
        <v>72</v>
      </c>
      <c r="B58" t="s">
        <v>1422</v>
      </c>
      <c r="C58" t="s">
        <v>74</v>
      </c>
      <c r="D58" t="s">
        <v>74</v>
      </c>
      <c r="E58" t="s">
        <v>74</v>
      </c>
      <c r="F58" t="s">
        <v>1423</v>
      </c>
      <c r="G58" t="s">
        <v>74</v>
      </c>
      <c r="H58" t="s">
        <v>74</v>
      </c>
      <c r="I58" t="s">
        <v>1424</v>
      </c>
      <c r="J58" t="s">
        <v>1425</v>
      </c>
      <c r="K58" t="s">
        <v>74</v>
      </c>
      <c r="L58" t="s">
        <v>74</v>
      </c>
      <c r="M58" t="s">
        <v>78</v>
      </c>
      <c r="N58" t="s">
        <v>79</v>
      </c>
      <c r="O58" t="s">
        <v>74</v>
      </c>
      <c r="P58" t="s">
        <v>74</v>
      </c>
      <c r="Q58" t="s">
        <v>74</v>
      </c>
      <c r="R58" t="s">
        <v>74</v>
      </c>
      <c r="S58" t="s">
        <v>74</v>
      </c>
      <c r="T58" t="s">
        <v>1426</v>
      </c>
      <c r="U58" t="s">
        <v>1427</v>
      </c>
      <c r="V58" t="s">
        <v>1428</v>
      </c>
      <c r="W58" t="s">
        <v>1429</v>
      </c>
      <c r="X58" t="s">
        <v>1430</v>
      </c>
      <c r="Y58" t="s">
        <v>1431</v>
      </c>
      <c r="Z58" t="s">
        <v>1432</v>
      </c>
      <c r="AA58" t="s">
        <v>1433</v>
      </c>
      <c r="AB58" t="s">
        <v>1434</v>
      </c>
      <c r="AC58" t="s">
        <v>1435</v>
      </c>
      <c r="AD58" t="s">
        <v>1436</v>
      </c>
      <c r="AE58" t="s">
        <v>1437</v>
      </c>
      <c r="AF58" t="s">
        <v>74</v>
      </c>
      <c r="AG58">
        <v>58</v>
      </c>
      <c r="AH58">
        <v>5</v>
      </c>
      <c r="AI58">
        <v>5</v>
      </c>
      <c r="AJ58">
        <v>1</v>
      </c>
      <c r="AK58">
        <v>37</v>
      </c>
      <c r="AL58" t="s">
        <v>1438</v>
      </c>
      <c r="AM58" t="s">
        <v>333</v>
      </c>
      <c r="AN58" t="s">
        <v>1439</v>
      </c>
      <c r="AO58" t="s">
        <v>1440</v>
      </c>
      <c r="AP58" t="s">
        <v>1441</v>
      </c>
      <c r="AQ58" t="s">
        <v>74</v>
      </c>
      <c r="AR58" t="s">
        <v>1442</v>
      </c>
      <c r="AS58" t="s">
        <v>1443</v>
      </c>
      <c r="AT58" t="s">
        <v>338</v>
      </c>
      <c r="AU58">
        <v>2022</v>
      </c>
      <c r="AV58">
        <v>13</v>
      </c>
      <c r="AW58">
        <v>3</v>
      </c>
      <c r="AX58" t="s">
        <v>74</v>
      </c>
      <c r="AY58" t="s">
        <v>74</v>
      </c>
      <c r="AZ58" t="s">
        <v>74</v>
      </c>
      <c r="BA58" t="s">
        <v>74</v>
      </c>
      <c r="BB58">
        <v>1583</v>
      </c>
      <c r="BC58">
        <v>1598</v>
      </c>
      <c r="BD58" t="s">
        <v>74</v>
      </c>
      <c r="BE58" t="s">
        <v>1444</v>
      </c>
      <c r="BF58" t="str">
        <f>HYPERLINK("http://dx.doi.org/10.2166/wcc.2021.413","http://dx.doi.org/10.2166/wcc.2021.413")</f>
        <v>http://dx.doi.org/10.2166/wcc.2021.413</v>
      </c>
      <c r="BG58" t="s">
        <v>74</v>
      </c>
      <c r="BH58" t="s">
        <v>263</v>
      </c>
      <c r="BI58">
        <v>16</v>
      </c>
      <c r="BJ58" t="s">
        <v>1445</v>
      </c>
      <c r="BK58" t="s">
        <v>101</v>
      </c>
      <c r="BL58" t="s">
        <v>1445</v>
      </c>
      <c r="BM58" t="s">
        <v>1446</v>
      </c>
      <c r="BN58" t="s">
        <v>74</v>
      </c>
      <c r="BO58" t="s">
        <v>210</v>
      </c>
      <c r="BP58" t="s">
        <v>74</v>
      </c>
      <c r="BQ58" t="s">
        <v>74</v>
      </c>
      <c r="BR58" t="s">
        <v>105</v>
      </c>
      <c r="BS58" t="s">
        <v>1447</v>
      </c>
      <c r="BT58" t="str">
        <f>HYPERLINK("https%3A%2F%2Fwww.webofscience.com%2Fwos%2Fwoscc%2Ffull-record%2FWOS:000722325300001","View Full Record in Web of Science")</f>
        <v>View Full Record in Web of Science</v>
      </c>
    </row>
    <row r="59" spans="1:72" x14ac:dyDescent="0.15">
      <c r="A59" t="s">
        <v>72</v>
      </c>
      <c r="B59" t="s">
        <v>1448</v>
      </c>
      <c r="C59" t="s">
        <v>74</v>
      </c>
      <c r="D59" t="s">
        <v>74</v>
      </c>
      <c r="E59" t="s">
        <v>74</v>
      </c>
      <c r="F59" t="s">
        <v>1449</v>
      </c>
      <c r="G59" t="s">
        <v>74</v>
      </c>
      <c r="H59" t="s">
        <v>74</v>
      </c>
      <c r="I59" t="s">
        <v>1450</v>
      </c>
      <c r="J59" t="s">
        <v>1451</v>
      </c>
      <c r="K59" t="s">
        <v>74</v>
      </c>
      <c r="L59" t="s">
        <v>74</v>
      </c>
      <c r="M59" t="s">
        <v>78</v>
      </c>
      <c r="N59" t="s">
        <v>79</v>
      </c>
      <c r="O59" t="s">
        <v>74</v>
      </c>
      <c r="P59" t="s">
        <v>74</v>
      </c>
      <c r="Q59" t="s">
        <v>74</v>
      </c>
      <c r="R59" t="s">
        <v>74</v>
      </c>
      <c r="S59" t="s">
        <v>74</v>
      </c>
      <c r="T59" t="s">
        <v>1452</v>
      </c>
      <c r="U59" t="s">
        <v>1453</v>
      </c>
      <c r="V59" t="s">
        <v>1454</v>
      </c>
      <c r="W59" t="s">
        <v>1455</v>
      </c>
      <c r="X59" t="s">
        <v>1456</v>
      </c>
      <c r="Y59" t="s">
        <v>1457</v>
      </c>
      <c r="Z59" t="s">
        <v>1458</v>
      </c>
      <c r="AA59" t="s">
        <v>1459</v>
      </c>
      <c r="AB59" t="s">
        <v>1460</v>
      </c>
      <c r="AC59" t="s">
        <v>1461</v>
      </c>
      <c r="AD59" t="s">
        <v>1462</v>
      </c>
      <c r="AE59" t="s">
        <v>1461</v>
      </c>
      <c r="AF59" t="s">
        <v>74</v>
      </c>
      <c r="AG59">
        <v>55</v>
      </c>
      <c r="AH59">
        <v>11</v>
      </c>
      <c r="AI59">
        <v>11</v>
      </c>
      <c r="AJ59">
        <v>0</v>
      </c>
      <c r="AK59">
        <v>4</v>
      </c>
      <c r="AL59" t="s">
        <v>572</v>
      </c>
      <c r="AM59" t="s">
        <v>573</v>
      </c>
      <c r="AN59" t="s">
        <v>574</v>
      </c>
      <c r="AO59" t="s">
        <v>1463</v>
      </c>
      <c r="AP59" t="s">
        <v>1464</v>
      </c>
      <c r="AQ59" t="s">
        <v>74</v>
      </c>
      <c r="AR59" t="s">
        <v>1465</v>
      </c>
      <c r="AS59" t="s">
        <v>1466</v>
      </c>
      <c r="AT59" t="s">
        <v>1000</v>
      </c>
      <c r="AU59">
        <v>2022</v>
      </c>
      <c r="AV59">
        <v>148</v>
      </c>
      <c r="AW59">
        <v>3</v>
      </c>
      <c r="AX59" t="s">
        <v>74</v>
      </c>
      <c r="AY59" t="s">
        <v>74</v>
      </c>
      <c r="AZ59" t="s">
        <v>74</v>
      </c>
      <c r="BA59" t="s">
        <v>74</v>
      </c>
      <c r="BB59">
        <v>1021</v>
      </c>
      <c r="BC59">
        <v>1039</v>
      </c>
      <c r="BD59" t="s">
        <v>74</v>
      </c>
      <c r="BE59" t="s">
        <v>1467</v>
      </c>
      <c r="BF59" t="str">
        <f>HYPERLINK("http://dx.doi.org/10.1111/sapm.12467","http://dx.doi.org/10.1111/sapm.12467")</f>
        <v>http://dx.doi.org/10.1111/sapm.12467</v>
      </c>
      <c r="BG59" t="s">
        <v>74</v>
      </c>
      <c r="BH59" t="s">
        <v>263</v>
      </c>
      <c r="BI59">
        <v>19</v>
      </c>
      <c r="BJ59" t="s">
        <v>1468</v>
      </c>
      <c r="BK59" t="s">
        <v>101</v>
      </c>
      <c r="BL59" t="s">
        <v>1469</v>
      </c>
      <c r="BM59" t="s">
        <v>1470</v>
      </c>
      <c r="BN59" t="s">
        <v>74</v>
      </c>
      <c r="BO59" t="s">
        <v>1471</v>
      </c>
      <c r="BP59" t="s">
        <v>74</v>
      </c>
      <c r="BQ59" t="s">
        <v>74</v>
      </c>
      <c r="BR59" t="s">
        <v>105</v>
      </c>
      <c r="BS59" t="s">
        <v>1472</v>
      </c>
      <c r="BT59" t="str">
        <f>HYPERLINK("https%3A%2F%2Fwww.webofscience.com%2Fwos%2Fwoscc%2Ffull-record%2FWOS:000722359400001","View Full Record in Web of Science")</f>
        <v>View Full Record in Web of Science</v>
      </c>
    </row>
    <row r="60" spans="1:72" x14ac:dyDescent="0.15">
      <c r="A60" t="s">
        <v>72</v>
      </c>
      <c r="B60" t="s">
        <v>1473</v>
      </c>
      <c r="C60" t="s">
        <v>74</v>
      </c>
      <c r="D60" t="s">
        <v>74</v>
      </c>
      <c r="E60" t="s">
        <v>74</v>
      </c>
      <c r="F60" t="s">
        <v>1474</v>
      </c>
      <c r="G60" t="s">
        <v>74</v>
      </c>
      <c r="H60" t="s">
        <v>74</v>
      </c>
      <c r="I60" t="s">
        <v>1475</v>
      </c>
      <c r="J60" t="s">
        <v>1476</v>
      </c>
      <c r="K60" t="s">
        <v>74</v>
      </c>
      <c r="L60" t="s">
        <v>74</v>
      </c>
      <c r="M60" t="s">
        <v>78</v>
      </c>
      <c r="N60" t="s">
        <v>79</v>
      </c>
      <c r="O60" t="s">
        <v>74</v>
      </c>
      <c r="P60" t="s">
        <v>74</v>
      </c>
      <c r="Q60" t="s">
        <v>74</v>
      </c>
      <c r="R60" t="s">
        <v>74</v>
      </c>
      <c r="S60" t="s">
        <v>74</v>
      </c>
      <c r="T60" t="s">
        <v>1477</v>
      </c>
      <c r="U60" t="s">
        <v>1478</v>
      </c>
      <c r="V60" t="s">
        <v>1479</v>
      </c>
      <c r="W60" t="s">
        <v>1480</v>
      </c>
      <c r="X60" t="s">
        <v>1481</v>
      </c>
      <c r="Y60" t="s">
        <v>1482</v>
      </c>
      <c r="Z60" t="s">
        <v>1483</v>
      </c>
      <c r="AA60" t="s">
        <v>74</v>
      </c>
      <c r="AB60" t="s">
        <v>1484</v>
      </c>
      <c r="AC60" t="s">
        <v>1485</v>
      </c>
      <c r="AD60" t="s">
        <v>1486</v>
      </c>
      <c r="AE60" t="s">
        <v>1487</v>
      </c>
      <c r="AF60" t="s">
        <v>74</v>
      </c>
      <c r="AG60">
        <v>105</v>
      </c>
      <c r="AH60">
        <v>2</v>
      </c>
      <c r="AI60">
        <v>2</v>
      </c>
      <c r="AJ60">
        <v>3</v>
      </c>
      <c r="AK60">
        <v>18</v>
      </c>
      <c r="AL60" t="s">
        <v>169</v>
      </c>
      <c r="AM60" t="s">
        <v>520</v>
      </c>
      <c r="AN60" t="s">
        <v>521</v>
      </c>
      <c r="AO60" t="s">
        <v>1488</v>
      </c>
      <c r="AP60" t="s">
        <v>1489</v>
      </c>
      <c r="AQ60" t="s">
        <v>74</v>
      </c>
      <c r="AR60" t="s">
        <v>1490</v>
      </c>
      <c r="AS60" t="s">
        <v>1491</v>
      </c>
      <c r="AT60" t="s">
        <v>525</v>
      </c>
      <c r="AU60">
        <v>2022</v>
      </c>
      <c r="AV60">
        <v>78</v>
      </c>
      <c r="AW60">
        <v>1</v>
      </c>
      <c r="AX60" t="s">
        <v>74</v>
      </c>
      <c r="AY60" t="s">
        <v>74</v>
      </c>
      <c r="AZ60" t="s">
        <v>74</v>
      </c>
      <c r="BA60" t="s">
        <v>74</v>
      </c>
      <c r="BB60">
        <v>49</v>
      </c>
      <c r="BC60">
        <v>62</v>
      </c>
      <c r="BD60" t="s">
        <v>74</v>
      </c>
      <c r="BE60" t="s">
        <v>1492</v>
      </c>
      <c r="BF60" t="str">
        <f>HYPERLINK("http://dx.doi.org/10.1007/s10872-021-00626-1","http://dx.doi.org/10.1007/s10872-021-00626-1")</f>
        <v>http://dx.doi.org/10.1007/s10872-021-00626-1</v>
      </c>
      <c r="BG60" t="s">
        <v>74</v>
      </c>
      <c r="BH60" t="s">
        <v>263</v>
      </c>
      <c r="BI60">
        <v>14</v>
      </c>
      <c r="BJ60" t="s">
        <v>264</v>
      </c>
      <c r="BK60" t="s">
        <v>101</v>
      </c>
      <c r="BL60" t="s">
        <v>264</v>
      </c>
      <c r="BM60" t="s">
        <v>1493</v>
      </c>
      <c r="BN60" t="s">
        <v>74</v>
      </c>
      <c r="BO60" t="s">
        <v>74</v>
      </c>
      <c r="BP60" t="s">
        <v>74</v>
      </c>
      <c r="BQ60" t="s">
        <v>74</v>
      </c>
      <c r="BR60" t="s">
        <v>105</v>
      </c>
      <c r="BS60" t="s">
        <v>1494</v>
      </c>
      <c r="BT60" t="str">
        <f>HYPERLINK("https%3A%2F%2Fwww.webofscience.com%2Fwos%2Fwoscc%2Ffull-record%2FWOS:000722480800001","View Full Record in Web of Science")</f>
        <v>View Full Record in Web of Science</v>
      </c>
    </row>
    <row r="61" spans="1:72" x14ac:dyDescent="0.15">
      <c r="A61" t="s">
        <v>72</v>
      </c>
      <c r="B61" t="s">
        <v>1495</v>
      </c>
      <c r="C61" t="s">
        <v>74</v>
      </c>
      <c r="D61" t="s">
        <v>74</v>
      </c>
      <c r="E61" t="s">
        <v>74</v>
      </c>
      <c r="F61" t="s">
        <v>1496</v>
      </c>
      <c r="G61" t="s">
        <v>74</v>
      </c>
      <c r="H61" t="s">
        <v>74</v>
      </c>
      <c r="I61" t="s">
        <v>1497</v>
      </c>
      <c r="J61" t="s">
        <v>507</v>
      </c>
      <c r="K61" t="s">
        <v>74</v>
      </c>
      <c r="L61" t="s">
        <v>74</v>
      </c>
      <c r="M61" t="s">
        <v>78</v>
      </c>
      <c r="N61" t="s">
        <v>79</v>
      </c>
      <c r="O61" t="s">
        <v>74</v>
      </c>
      <c r="P61" t="s">
        <v>74</v>
      </c>
      <c r="Q61" t="s">
        <v>74</v>
      </c>
      <c r="R61" t="s">
        <v>74</v>
      </c>
      <c r="S61" t="s">
        <v>74</v>
      </c>
      <c r="T61" t="s">
        <v>1498</v>
      </c>
      <c r="U61" t="s">
        <v>1499</v>
      </c>
      <c r="V61" t="s">
        <v>1500</v>
      </c>
      <c r="W61" t="s">
        <v>1501</v>
      </c>
      <c r="X61" t="s">
        <v>1502</v>
      </c>
      <c r="Y61" t="s">
        <v>1503</v>
      </c>
      <c r="Z61" t="s">
        <v>1504</v>
      </c>
      <c r="AA61" t="s">
        <v>1505</v>
      </c>
      <c r="AB61" t="s">
        <v>1506</v>
      </c>
      <c r="AC61" t="s">
        <v>1507</v>
      </c>
      <c r="AD61" t="s">
        <v>1508</v>
      </c>
      <c r="AE61" t="s">
        <v>1509</v>
      </c>
      <c r="AF61" t="s">
        <v>74</v>
      </c>
      <c r="AG61">
        <v>61</v>
      </c>
      <c r="AH61">
        <v>22</v>
      </c>
      <c r="AI61">
        <v>23</v>
      </c>
      <c r="AJ61">
        <v>0</v>
      </c>
      <c r="AK61">
        <v>22</v>
      </c>
      <c r="AL61" t="s">
        <v>169</v>
      </c>
      <c r="AM61" t="s">
        <v>520</v>
      </c>
      <c r="AN61" t="s">
        <v>521</v>
      </c>
      <c r="AO61" t="s">
        <v>522</v>
      </c>
      <c r="AP61" t="s">
        <v>523</v>
      </c>
      <c r="AQ61" t="s">
        <v>74</v>
      </c>
      <c r="AR61" t="s">
        <v>507</v>
      </c>
      <c r="AS61" t="s">
        <v>524</v>
      </c>
      <c r="AT61" t="s">
        <v>525</v>
      </c>
      <c r="AU61">
        <v>2022</v>
      </c>
      <c r="AV61">
        <v>51</v>
      </c>
      <c r="AW61">
        <v>2</v>
      </c>
      <c r="AX61" t="s">
        <v>74</v>
      </c>
      <c r="AY61" t="s">
        <v>74</v>
      </c>
      <c r="AZ61" t="s">
        <v>526</v>
      </c>
      <c r="BA61" t="s">
        <v>74</v>
      </c>
      <c r="BB61">
        <v>307</v>
      </c>
      <c r="BC61">
        <v>317</v>
      </c>
      <c r="BD61" t="s">
        <v>74</v>
      </c>
      <c r="BE61" t="s">
        <v>1510</v>
      </c>
      <c r="BF61" t="str">
        <f>HYPERLINK("http://dx.doi.org/10.1007/s13280-021-01662-3","http://dx.doi.org/10.1007/s13280-021-01662-3")</f>
        <v>http://dx.doi.org/10.1007/s13280-021-01662-3</v>
      </c>
      <c r="BG61" t="s">
        <v>74</v>
      </c>
      <c r="BH61" t="s">
        <v>263</v>
      </c>
      <c r="BI61">
        <v>11</v>
      </c>
      <c r="BJ61" t="s">
        <v>528</v>
      </c>
      <c r="BK61" t="s">
        <v>101</v>
      </c>
      <c r="BL61" t="s">
        <v>529</v>
      </c>
      <c r="BM61" t="s">
        <v>530</v>
      </c>
      <c r="BN61">
        <v>34822117</v>
      </c>
      <c r="BO61" t="s">
        <v>1511</v>
      </c>
      <c r="BP61" t="s">
        <v>74</v>
      </c>
      <c r="BQ61" t="s">
        <v>74</v>
      </c>
      <c r="BR61" t="s">
        <v>105</v>
      </c>
      <c r="BS61" t="s">
        <v>1512</v>
      </c>
      <c r="BT61" t="str">
        <f>HYPERLINK("https%3A%2F%2Fwww.webofscience.com%2Fwos%2Fwoscc%2Ffull-record%2FWOS:000722479700001","View Full Record in Web of Science")</f>
        <v>View Full Record in Web of Science</v>
      </c>
    </row>
    <row r="62" spans="1:72" x14ac:dyDescent="0.15">
      <c r="A62" t="s">
        <v>72</v>
      </c>
      <c r="B62" t="s">
        <v>1513</v>
      </c>
      <c r="C62" t="s">
        <v>74</v>
      </c>
      <c r="D62" t="s">
        <v>74</v>
      </c>
      <c r="E62" t="s">
        <v>74</v>
      </c>
      <c r="F62" t="s">
        <v>1514</v>
      </c>
      <c r="G62" t="s">
        <v>74</v>
      </c>
      <c r="H62" t="s">
        <v>74</v>
      </c>
      <c r="I62" t="s">
        <v>1515</v>
      </c>
      <c r="J62" t="s">
        <v>1516</v>
      </c>
      <c r="K62" t="s">
        <v>74</v>
      </c>
      <c r="L62" t="s">
        <v>74</v>
      </c>
      <c r="M62" t="s">
        <v>78</v>
      </c>
      <c r="N62" t="s">
        <v>79</v>
      </c>
      <c r="O62" t="s">
        <v>74</v>
      </c>
      <c r="P62" t="s">
        <v>74</v>
      </c>
      <c r="Q62" t="s">
        <v>74</v>
      </c>
      <c r="R62" t="s">
        <v>74</v>
      </c>
      <c r="S62" t="s">
        <v>74</v>
      </c>
      <c r="T62" t="s">
        <v>74</v>
      </c>
      <c r="U62" t="s">
        <v>1517</v>
      </c>
      <c r="V62" t="s">
        <v>1518</v>
      </c>
      <c r="W62" t="s">
        <v>1519</v>
      </c>
      <c r="X62" t="s">
        <v>1520</v>
      </c>
      <c r="Y62" t="s">
        <v>1521</v>
      </c>
      <c r="Z62" t="s">
        <v>1522</v>
      </c>
      <c r="AA62" t="s">
        <v>1523</v>
      </c>
      <c r="AB62" t="s">
        <v>74</v>
      </c>
      <c r="AC62" t="s">
        <v>1524</v>
      </c>
      <c r="AD62" t="s">
        <v>1525</v>
      </c>
      <c r="AE62" t="s">
        <v>1526</v>
      </c>
      <c r="AF62" t="s">
        <v>74</v>
      </c>
      <c r="AG62">
        <v>111</v>
      </c>
      <c r="AH62">
        <v>1</v>
      </c>
      <c r="AI62">
        <v>1</v>
      </c>
      <c r="AJ62">
        <v>1</v>
      </c>
      <c r="AK62">
        <v>8</v>
      </c>
      <c r="AL62" t="s">
        <v>1527</v>
      </c>
      <c r="AM62" t="s">
        <v>1528</v>
      </c>
      <c r="AN62" t="s">
        <v>1529</v>
      </c>
      <c r="AO62" t="s">
        <v>1530</v>
      </c>
      <c r="AP62" t="s">
        <v>74</v>
      </c>
      <c r="AQ62" t="s">
        <v>74</v>
      </c>
      <c r="AR62" t="s">
        <v>1516</v>
      </c>
      <c r="AS62" t="s">
        <v>1531</v>
      </c>
      <c r="AT62" t="s">
        <v>1532</v>
      </c>
      <c r="AU62">
        <v>2021</v>
      </c>
      <c r="AV62">
        <v>16</v>
      </c>
      <c r="AW62">
        <v>11</v>
      </c>
      <c r="AX62" t="s">
        <v>74</v>
      </c>
      <c r="AY62" t="s">
        <v>74</v>
      </c>
      <c r="AZ62" t="s">
        <v>74</v>
      </c>
      <c r="BA62" t="s">
        <v>74</v>
      </c>
      <c r="BB62" t="s">
        <v>74</v>
      </c>
      <c r="BC62" t="s">
        <v>74</v>
      </c>
      <c r="BD62" t="s">
        <v>1533</v>
      </c>
      <c r="BE62" t="s">
        <v>1534</v>
      </c>
      <c r="BF62" t="str">
        <f>HYPERLINK("http://dx.doi.org/10.1371/journal.pone.0252359","http://dx.doi.org/10.1371/journal.pone.0252359")</f>
        <v>http://dx.doi.org/10.1371/journal.pone.0252359</v>
      </c>
      <c r="BG62" t="s">
        <v>74</v>
      </c>
      <c r="BH62" t="s">
        <v>74</v>
      </c>
      <c r="BI62">
        <v>29</v>
      </c>
      <c r="BJ62" t="s">
        <v>126</v>
      </c>
      <c r="BK62" t="s">
        <v>101</v>
      </c>
      <c r="BL62" t="s">
        <v>127</v>
      </c>
      <c r="BM62" t="s">
        <v>1535</v>
      </c>
      <c r="BN62">
        <v>34818342</v>
      </c>
      <c r="BO62" t="s">
        <v>1536</v>
      </c>
      <c r="BP62" t="s">
        <v>74</v>
      </c>
      <c r="BQ62" t="s">
        <v>74</v>
      </c>
      <c r="BR62" t="s">
        <v>105</v>
      </c>
      <c r="BS62" t="s">
        <v>1537</v>
      </c>
      <c r="BT62" t="str">
        <f>HYPERLINK("https%3A%2F%2Fwww.webofscience.com%2Fwos%2Fwoscc%2Ffull-record%2FWOS:000747234800003","View Full Record in Web of Science")</f>
        <v>View Full Record in Web of Science</v>
      </c>
    </row>
    <row r="63" spans="1:72" x14ac:dyDescent="0.15">
      <c r="A63" t="s">
        <v>72</v>
      </c>
      <c r="B63" t="s">
        <v>1538</v>
      </c>
      <c r="C63" t="s">
        <v>74</v>
      </c>
      <c r="D63" t="s">
        <v>74</v>
      </c>
      <c r="E63" t="s">
        <v>74</v>
      </c>
      <c r="F63" t="s">
        <v>1539</v>
      </c>
      <c r="G63" t="s">
        <v>74</v>
      </c>
      <c r="H63" t="s">
        <v>74</v>
      </c>
      <c r="I63" t="s">
        <v>1540</v>
      </c>
      <c r="J63" t="s">
        <v>372</v>
      </c>
      <c r="K63" t="s">
        <v>74</v>
      </c>
      <c r="L63" t="s">
        <v>74</v>
      </c>
      <c r="M63" t="s">
        <v>78</v>
      </c>
      <c r="N63" t="s">
        <v>79</v>
      </c>
      <c r="O63" t="s">
        <v>74</v>
      </c>
      <c r="P63" t="s">
        <v>74</v>
      </c>
      <c r="Q63" t="s">
        <v>74</v>
      </c>
      <c r="R63" t="s">
        <v>74</v>
      </c>
      <c r="S63" t="s">
        <v>74</v>
      </c>
      <c r="T63" t="s">
        <v>1541</v>
      </c>
      <c r="U63" t="s">
        <v>1542</v>
      </c>
      <c r="V63" t="s">
        <v>1543</v>
      </c>
      <c r="W63" t="s">
        <v>1544</v>
      </c>
      <c r="X63" t="s">
        <v>1545</v>
      </c>
      <c r="Y63" t="s">
        <v>1546</v>
      </c>
      <c r="Z63" t="s">
        <v>1547</v>
      </c>
      <c r="AA63" t="s">
        <v>1548</v>
      </c>
      <c r="AB63" t="s">
        <v>1549</v>
      </c>
      <c r="AC63" t="s">
        <v>74</v>
      </c>
      <c r="AD63" t="s">
        <v>74</v>
      </c>
      <c r="AE63" t="s">
        <v>74</v>
      </c>
      <c r="AF63" t="s">
        <v>74</v>
      </c>
      <c r="AG63">
        <v>78</v>
      </c>
      <c r="AH63">
        <v>6</v>
      </c>
      <c r="AI63">
        <v>6</v>
      </c>
      <c r="AJ63">
        <v>0</v>
      </c>
      <c r="AK63">
        <v>4</v>
      </c>
      <c r="AL63" t="s">
        <v>383</v>
      </c>
      <c r="AM63" t="s">
        <v>384</v>
      </c>
      <c r="AN63" t="s">
        <v>385</v>
      </c>
      <c r="AO63" t="s">
        <v>74</v>
      </c>
      <c r="AP63" t="s">
        <v>386</v>
      </c>
      <c r="AQ63" t="s">
        <v>74</v>
      </c>
      <c r="AR63" t="s">
        <v>387</v>
      </c>
      <c r="AS63" t="s">
        <v>388</v>
      </c>
      <c r="AT63" t="s">
        <v>1532</v>
      </c>
      <c r="AU63">
        <v>2021</v>
      </c>
      <c r="AV63">
        <v>8</v>
      </c>
      <c r="AW63" t="s">
        <v>74</v>
      </c>
      <c r="AX63" t="s">
        <v>74</v>
      </c>
      <c r="AY63" t="s">
        <v>74</v>
      </c>
      <c r="AZ63" t="s">
        <v>74</v>
      </c>
      <c r="BA63" t="s">
        <v>74</v>
      </c>
      <c r="BB63" t="s">
        <v>74</v>
      </c>
      <c r="BC63" t="s">
        <v>74</v>
      </c>
      <c r="BD63">
        <v>725173</v>
      </c>
      <c r="BE63" t="s">
        <v>1550</v>
      </c>
      <c r="BF63" t="str">
        <f>HYPERLINK("http://dx.doi.org/10.3389/fmars.2021.725173","http://dx.doi.org/10.3389/fmars.2021.725173")</f>
        <v>http://dx.doi.org/10.3389/fmars.2021.725173</v>
      </c>
      <c r="BG63" t="s">
        <v>74</v>
      </c>
      <c r="BH63" t="s">
        <v>74</v>
      </c>
      <c r="BI63">
        <v>12</v>
      </c>
      <c r="BJ63" t="s">
        <v>391</v>
      </c>
      <c r="BK63" t="s">
        <v>101</v>
      </c>
      <c r="BL63" t="s">
        <v>392</v>
      </c>
      <c r="BM63" t="s">
        <v>1551</v>
      </c>
      <c r="BN63" t="s">
        <v>74</v>
      </c>
      <c r="BO63" t="s">
        <v>210</v>
      </c>
      <c r="BP63" t="s">
        <v>74</v>
      </c>
      <c r="BQ63" t="s">
        <v>74</v>
      </c>
      <c r="BR63" t="s">
        <v>105</v>
      </c>
      <c r="BS63" t="s">
        <v>1552</v>
      </c>
      <c r="BT63" t="str">
        <f>HYPERLINK("https%3A%2F%2Fwww.webofscience.com%2Fwos%2Fwoscc%2Ffull-record%2FWOS:000738319100001","View Full Record in Web of Science")</f>
        <v>View Full Record in Web of Science</v>
      </c>
    </row>
    <row r="64" spans="1:72" x14ac:dyDescent="0.15">
      <c r="A64" t="s">
        <v>72</v>
      </c>
      <c r="B64" t="s">
        <v>1553</v>
      </c>
      <c r="C64" t="s">
        <v>74</v>
      </c>
      <c r="D64" t="s">
        <v>74</v>
      </c>
      <c r="E64" t="s">
        <v>74</v>
      </c>
      <c r="F64" t="s">
        <v>1554</v>
      </c>
      <c r="G64" t="s">
        <v>74</v>
      </c>
      <c r="H64" t="s">
        <v>74</v>
      </c>
      <c r="I64" t="s">
        <v>1555</v>
      </c>
      <c r="J64" t="s">
        <v>1556</v>
      </c>
      <c r="K64" t="s">
        <v>74</v>
      </c>
      <c r="L64" t="s">
        <v>74</v>
      </c>
      <c r="M64" t="s">
        <v>78</v>
      </c>
      <c r="N64" t="s">
        <v>79</v>
      </c>
      <c r="O64" t="s">
        <v>74</v>
      </c>
      <c r="P64" t="s">
        <v>74</v>
      </c>
      <c r="Q64" t="s">
        <v>74</v>
      </c>
      <c r="R64" t="s">
        <v>74</v>
      </c>
      <c r="S64" t="s">
        <v>74</v>
      </c>
      <c r="T64" t="s">
        <v>74</v>
      </c>
      <c r="U64" t="s">
        <v>1557</v>
      </c>
      <c r="V64" t="s">
        <v>1558</v>
      </c>
      <c r="W64" t="s">
        <v>1559</v>
      </c>
      <c r="X64" t="s">
        <v>1560</v>
      </c>
      <c r="Y64" t="s">
        <v>1561</v>
      </c>
      <c r="Z64" t="s">
        <v>1562</v>
      </c>
      <c r="AA64" t="s">
        <v>1563</v>
      </c>
      <c r="AB64" t="s">
        <v>1564</v>
      </c>
      <c r="AC64" t="s">
        <v>1565</v>
      </c>
      <c r="AD64" t="s">
        <v>1566</v>
      </c>
      <c r="AE64" t="s">
        <v>1567</v>
      </c>
      <c r="AF64" t="s">
        <v>74</v>
      </c>
      <c r="AG64">
        <v>165</v>
      </c>
      <c r="AH64">
        <v>6</v>
      </c>
      <c r="AI64">
        <v>7</v>
      </c>
      <c r="AJ64">
        <v>3</v>
      </c>
      <c r="AK64">
        <v>14</v>
      </c>
      <c r="AL64" t="s">
        <v>227</v>
      </c>
      <c r="AM64" t="s">
        <v>228</v>
      </c>
      <c r="AN64" t="s">
        <v>229</v>
      </c>
      <c r="AO64" t="s">
        <v>1568</v>
      </c>
      <c r="AP64" t="s">
        <v>1569</v>
      </c>
      <c r="AQ64" t="s">
        <v>74</v>
      </c>
      <c r="AR64" t="s">
        <v>1556</v>
      </c>
      <c r="AS64" t="s">
        <v>1570</v>
      </c>
      <c r="AT64" t="s">
        <v>1532</v>
      </c>
      <c r="AU64">
        <v>2021</v>
      </c>
      <c r="AV64">
        <v>18</v>
      </c>
      <c r="AW64">
        <v>22</v>
      </c>
      <c r="AX64" t="s">
        <v>74</v>
      </c>
      <c r="AY64" t="s">
        <v>74</v>
      </c>
      <c r="AZ64" t="s">
        <v>74</v>
      </c>
      <c r="BA64" t="s">
        <v>74</v>
      </c>
      <c r="BB64">
        <v>6031</v>
      </c>
      <c r="BC64">
        <v>6059</v>
      </c>
      <c r="BD64" t="s">
        <v>74</v>
      </c>
      <c r="BE64" t="s">
        <v>1571</v>
      </c>
      <c r="BF64" t="str">
        <f>HYPERLINK("http://dx.doi.org/10.5194/bg-18-6031-2021","http://dx.doi.org/10.5194/bg-18-6031-2021")</f>
        <v>http://dx.doi.org/10.5194/bg-18-6031-2021</v>
      </c>
      <c r="BG64" t="s">
        <v>74</v>
      </c>
      <c r="BH64" t="s">
        <v>74</v>
      </c>
      <c r="BI64">
        <v>29</v>
      </c>
      <c r="BJ64" t="s">
        <v>1572</v>
      </c>
      <c r="BK64" t="s">
        <v>101</v>
      </c>
      <c r="BL64" t="s">
        <v>1573</v>
      </c>
      <c r="BM64" t="s">
        <v>1574</v>
      </c>
      <c r="BN64" t="s">
        <v>74</v>
      </c>
      <c r="BO64" t="s">
        <v>554</v>
      </c>
      <c r="BP64" t="s">
        <v>74</v>
      </c>
      <c r="BQ64" t="s">
        <v>74</v>
      </c>
      <c r="BR64" t="s">
        <v>105</v>
      </c>
      <c r="BS64" t="s">
        <v>1575</v>
      </c>
      <c r="BT64" t="str">
        <f>HYPERLINK("https%3A%2F%2Fwww.webofscience.com%2Fwos%2Fwoscc%2Ffull-record%2FWOS:000723137600001","View Full Record in Web of Science")</f>
        <v>View Full Record in Web of Science</v>
      </c>
    </row>
    <row r="65" spans="1:72" x14ac:dyDescent="0.15">
      <c r="A65" t="s">
        <v>72</v>
      </c>
      <c r="B65" t="s">
        <v>1576</v>
      </c>
      <c r="C65" t="s">
        <v>74</v>
      </c>
      <c r="D65" t="s">
        <v>74</v>
      </c>
      <c r="E65" t="s">
        <v>74</v>
      </c>
      <c r="F65" t="s">
        <v>1577</v>
      </c>
      <c r="G65" t="s">
        <v>74</v>
      </c>
      <c r="H65" t="s">
        <v>74</v>
      </c>
      <c r="I65" t="s">
        <v>1578</v>
      </c>
      <c r="J65" t="s">
        <v>1212</v>
      </c>
      <c r="K65" t="s">
        <v>74</v>
      </c>
      <c r="L65" t="s">
        <v>74</v>
      </c>
      <c r="M65" t="s">
        <v>78</v>
      </c>
      <c r="N65" t="s">
        <v>79</v>
      </c>
      <c r="O65" t="s">
        <v>74</v>
      </c>
      <c r="P65" t="s">
        <v>74</v>
      </c>
      <c r="Q65" t="s">
        <v>74</v>
      </c>
      <c r="R65" t="s">
        <v>74</v>
      </c>
      <c r="S65" t="s">
        <v>74</v>
      </c>
      <c r="T65" t="s">
        <v>74</v>
      </c>
      <c r="U65" t="s">
        <v>1579</v>
      </c>
      <c r="V65" t="s">
        <v>1580</v>
      </c>
      <c r="W65" t="s">
        <v>1581</v>
      </c>
      <c r="X65" t="s">
        <v>74</v>
      </c>
      <c r="Y65" t="s">
        <v>1582</v>
      </c>
      <c r="Z65" t="s">
        <v>1583</v>
      </c>
      <c r="AA65" t="s">
        <v>74</v>
      </c>
      <c r="AB65" t="s">
        <v>1584</v>
      </c>
      <c r="AC65" t="s">
        <v>1585</v>
      </c>
      <c r="AD65" t="s">
        <v>1586</v>
      </c>
      <c r="AE65" t="s">
        <v>1587</v>
      </c>
      <c r="AF65" t="s">
        <v>74</v>
      </c>
      <c r="AG65">
        <v>62</v>
      </c>
      <c r="AH65">
        <v>7</v>
      </c>
      <c r="AI65">
        <v>7</v>
      </c>
      <c r="AJ65">
        <v>1</v>
      </c>
      <c r="AK65">
        <v>6</v>
      </c>
      <c r="AL65" t="s">
        <v>492</v>
      </c>
      <c r="AM65" t="s">
        <v>493</v>
      </c>
      <c r="AN65" t="s">
        <v>494</v>
      </c>
      <c r="AO65" t="s">
        <v>1224</v>
      </c>
      <c r="AP65" t="s">
        <v>74</v>
      </c>
      <c r="AQ65" t="s">
        <v>74</v>
      </c>
      <c r="AR65" t="s">
        <v>1225</v>
      </c>
      <c r="AS65" t="s">
        <v>1226</v>
      </c>
      <c r="AT65" t="s">
        <v>1532</v>
      </c>
      <c r="AU65">
        <v>2021</v>
      </c>
      <c r="AV65">
        <v>11</v>
      </c>
      <c r="AW65">
        <v>1</v>
      </c>
      <c r="AX65" t="s">
        <v>74</v>
      </c>
      <c r="AY65" t="s">
        <v>74</v>
      </c>
      <c r="AZ65" t="s">
        <v>74</v>
      </c>
      <c r="BA65" t="s">
        <v>74</v>
      </c>
      <c r="BB65" t="s">
        <v>74</v>
      </c>
      <c r="BC65" t="s">
        <v>74</v>
      </c>
      <c r="BD65">
        <v>22883</v>
      </c>
      <c r="BE65" t="s">
        <v>1588</v>
      </c>
      <c r="BF65" t="str">
        <f>HYPERLINK("http://dx.doi.org/10.1038/s41598-021-02451-4","http://dx.doi.org/10.1038/s41598-021-02451-4")</f>
        <v>http://dx.doi.org/10.1038/s41598-021-02451-4</v>
      </c>
      <c r="BG65" t="s">
        <v>74</v>
      </c>
      <c r="BH65" t="s">
        <v>74</v>
      </c>
      <c r="BI65">
        <v>10</v>
      </c>
      <c r="BJ65" t="s">
        <v>126</v>
      </c>
      <c r="BK65" t="s">
        <v>101</v>
      </c>
      <c r="BL65" t="s">
        <v>127</v>
      </c>
      <c r="BM65" t="s">
        <v>1589</v>
      </c>
      <c r="BN65">
        <v>34819596</v>
      </c>
      <c r="BO65" t="s">
        <v>1094</v>
      </c>
      <c r="BP65" t="s">
        <v>74</v>
      </c>
      <c r="BQ65" t="s">
        <v>74</v>
      </c>
      <c r="BR65" t="s">
        <v>105</v>
      </c>
      <c r="BS65" t="s">
        <v>1590</v>
      </c>
      <c r="BT65" t="str">
        <f>HYPERLINK("https%3A%2F%2Fwww.webofscience.com%2Fwos%2Fwoscc%2Ffull-record%2FWOS:000722365800080","View Full Record in Web of Science")</f>
        <v>View Full Record in Web of Science</v>
      </c>
    </row>
    <row r="66" spans="1:72" x14ac:dyDescent="0.15">
      <c r="A66" t="s">
        <v>72</v>
      </c>
      <c r="B66" t="s">
        <v>1591</v>
      </c>
      <c r="C66" t="s">
        <v>74</v>
      </c>
      <c r="D66" t="s">
        <v>74</v>
      </c>
      <c r="E66" t="s">
        <v>74</v>
      </c>
      <c r="F66" t="s">
        <v>1592</v>
      </c>
      <c r="G66" t="s">
        <v>74</v>
      </c>
      <c r="H66" t="s">
        <v>74</v>
      </c>
      <c r="I66" t="s">
        <v>1593</v>
      </c>
      <c r="J66" t="s">
        <v>1594</v>
      </c>
      <c r="K66" t="s">
        <v>74</v>
      </c>
      <c r="L66" t="s">
        <v>74</v>
      </c>
      <c r="M66" t="s">
        <v>78</v>
      </c>
      <c r="N66" t="s">
        <v>79</v>
      </c>
      <c r="O66" t="s">
        <v>74</v>
      </c>
      <c r="P66" t="s">
        <v>74</v>
      </c>
      <c r="Q66" t="s">
        <v>74</v>
      </c>
      <c r="R66" t="s">
        <v>74</v>
      </c>
      <c r="S66" t="s">
        <v>74</v>
      </c>
      <c r="T66" t="s">
        <v>1595</v>
      </c>
      <c r="U66" t="s">
        <v>1596</v>
      </c>
      <c r="V66" t="s">
        <v>1597</v>
      </c>
      <c r="W66" t="s">
        <v>1598</v>
      </c>
      <c r="X66" t="s">
        <v>1599</v>
      </c>
      <c r="Y66" t="s">
        <v>1600</v>
      </c>
      <c r="Z66" t="s">
        <v>1601</v>
      </c>
      <c r="AA66" t="s">
        <v>1602</v>
      </c>
      <c r="AB66" t="s">
        <v>1603</v>
      </c>
      <c r="AC66" t="s">
        <v>1604</v>
      </c>
      <c r="AD66" t="s">
        <v>1605</v>
      </c>
      <c r="AE66" t="s">
        <v>1606</v>
      </c>
      <c r="AF66" t="s">
        <v>74</v>
      </c>
      <c r="AG66">
        <v>71</v>
      </c>
      <c r="AH66">
        <v>1</v>
      </c>
      <c r="AI66">
        <v>1</v>
      </c>
      <c r="AJ66">
        <v>3</v>
      </c>
      <c r="AK66">
        <v>23</v>
      </c>
      <c r="AL66" t="s">
        <v>572</v>
      </c>
      <c r="AM66" t="s">
        <v>573</v>
      </c>
      <c r="AN66" t="s">
        <v>574</v>
      </c>
      <c r="AO66" t="s">
        <v>1607</v>
      </c>
      <c r="AP66" t="s">
        <v>1608</v>
      </c>
      <c r="AQ66" t="s">
        <v>74</v>
      </c>
      <c r="AR66" t="s">
        <v>1609</v>
      </c>
      <c r="AS66" t="s">
        <v>1610</v>
      </c>
      <c r="AT66" t="s">
        <v>525</v>
      </c>
      <c r="AU66">
        <v>2022</v>
      </c>
      <c r="AV66">
        <v>316</v>
      </c>
      <c r="AW66">
        <v>2</v>
      </c>
      <c r="AX66" t="s">
        <v>74</v>
      </c>
      <c r="AY66" t="s">
        <v>74</v>
      </c>
      <c r="AZ66" t="s">
        <v>74</v>
      </c>
      <c r="BA66" t="s">
        <v>74</v>
      </c>
      <c r="BB66">
        <v>104</v>
      </c>
      <c r="BC66">
        <v>117</v>
      </c>
      <c r="BD66" t="s">
        <v>74</v>
      </c>
      <c r="BE66" t="s">
        <v>1611</v>
      </c>
      <c r="BF66" t="str">
        <f>HYPERLINK("http://dx.doi.org/10.1111/jzo.12936","http://dx.doi.org/10.1111/jzo.12936")</f>
        <v>http://dx.doi.org/10.1111/jzo.12936</v>
      </c>
      <c r="BG66" t="s">
        <v>74</v>
      </c>
      <c r="BH66" t="s">
        <v>263</v>
      </c>
      <c r="BI66">
        <v>14</v>
      </c>
      <c r="BJ66" t="s">
        <v>1612</v>
      </c>
      <c r="BK66" t="s">
        <v>101</v>
      </c>
      <c r="BL66" t="s">
        <v>1612</v>
      </c>
      <c r="BM66" t="s">
        <v>1613</v>
      </c>
      <c r="BN66" t="s">
        <v>74</v>
      </c>
      <c r="BO66" t="s">
        <v>1614</v>
      </c>
      <c r="BP66" t="s">
        <v>74</v>
      </c>
      <c r="BQ66" t="s">
        <v>74</v>
      </c>
      <c r="BR66" t="s">
        <v>105</v>
      </c>
      <c r="BS66" t="s">
        <v>1615</v>
      </c>
      <c r="BT66" t="str">
        <f>HYPERLINK("https%3A%2F%2Fwww.webofscience.com%2Fwos%2Fwoscc%2Ffull-record%2FWOS:000722132400001","View Full Record in Web of Science")</f>
        <v>View Full Record in Web of Science</v>
      </c>
    </row>
    <row r="67" spans="1:72" x14ac:dyDescent="0.15">
      <c r="A67" t="s">
        <v>72</v>
      </c>
      <c r="B67" t="s">
        <v>1616</v>
      </c>
      <c r="C67" t="s">
        <v>74</v>
      </c>
      <c r="D67" t="s">
        <v>74</v>
      </c>
      <c r="E67" t="s">
        <v>74</v>
      </c>
      <c r="F67" t="s">
        <v>1617</v>
      </c>
      <c r="G67" t="s">
        <v>74</v>
      </c>
      <c r="H67" t="s">
        <v>74</v>
      </c>
      <c r="I67" t="s">
        <v>1618</v>
      </c>
      <c r="J67" t="s">
        <v>1619</v>
      </c>
      <c r="K67" t="s">
        <v>74</v>
      </c>
      <c r="L67" t="s">
        <v>74</v>
      </c>
      <c r="M67" t="s">
        <v>78</v>
      </c>
      <c r="N67" t="s">
        <v>1620</v>
      </c>
      <c r="O67" t="s">
        <v>74</v>
      </c>
      <c r="P67" t="s">
        <v>74</v>
      </c>
      <c r="Q67" t="s">
        <v>74</v>
      </c>
      <c r="R67" t="s">
        <v>74</v>
      </c>
      <c r="S67" t="s">
        <v>74</v>
      </c>
      <c r="T67" t="s">
        <v>74</v>
      </c>
      <c r="U67" t="s">
        <v>74</v>
      </c>
      <c r="V67" t="s">
        <v>74</v>
      </c>
      <c r="W67" t="s">
        <v>74</v>
      </c>
      <c r="X67" t="s">
        <v>74</v>
      </c>
      <c r="Y67" t="s">
        <v>74</v>
      </c>
      <c r="Z67" t="s">
        <v>74</v>
      </c>
      <c r="AA67" t="s">
        <v>74</v>
      </c>
      <c r="AB67" t="s">
        <v>74</v>
      </c>
      <c r="AC67" t="s">
        <v>74</v>
      </c>
      <c r="AD67" t="s">
        <v>74</v>
      </c>
      <c r="AE67" t="s">
        <v>74</v>
      </c>
      <c r="AF67" t="s">
        <v>74</v>
      </c>
      <c r="AG67">
        <v>1</v>
      </c>
      <c r="AH67">
        <v>0</v>
      </c>
      <c r="AI67">
        <v>0</v>
      </c>
      <c r="AJ67">
        <v>0</v>
      </c>
      <c r="AK67">
        <v>1</v>
      </c>
      <c r="AL67" t="s">
        <v>1621</v>
      </c>
      <c r="AM67" t="s">
        <v>1622</v>
      </c>
      <c r="AN67" t="s">
        <v>1623</v>
      </c>
      <c r="AO67" t="s">
        <v>1624</v>
      </c>
      <c r="AP67" t="s">
        <v>1625</v>
      </c>
      <c r="AQ67" t="s">
        <v>74</v>
      </c>
      <c r="AR67" t="s">
        <v>1626</v>
      </c>
      <c r="AS67" t="s">
        <v>1627</v>
      </c>
      <c r="AT67" t="s">
        <v>74</v>
      </c>
      <c r="AU67">
        <v>2021</v>
      </c>
      <c r="AV67">
        <v>42</v>
      </c>
      <c r="AW67">
        <v>4</v>
      </c>
      <c r="AX67" t="s">
        <v>74</v>
      </c>
      <c r="AY67" t="s">
        <v>74</v>
      </c>
      <c r="AZ67" t="s">
        <v>74</v>
      </c>
      <c r="BA67" t="s">
        <v>74</v>
      </c>
      <c r="BB67">
        <v>196</v>
      </c>
      <c r="BC67">
        <v>196</v>
      </c>
      <c r="BD67" t="s">
        <v>74</v>
      </c>
      <c r="BE67" t="s">
        <v>1628</v>
      </c>
      <c r="BF67" t="str">
        <f>HYPERLINK("http://dx.doi.org/10.1071/MA21054","http://dx.doi.org/10.1071/MA21054")</f>
        <v>http://dx.doi.org/10.1071/MA21054</v>
      </c>
      <c r="BG67" t="s">
        <v>74</v>
      </c>
      <c r="BH67" t="s">
        <v>263</v>
      </c>
      <c r="BI67">
        <v>1</v>
      </c>
      <c r="BJ67" t="s">
        <v>975</v>
      </c>
      <c r="BK67" t="s">
        <v>1629</v>
      </c>
      <c r="BL67" t="s">
        <v>975</v>
      </c>
      <c r="BM67" t="s">
        <v>1630</v>
      </c>
      <c r="BN67" t="s">
        <v>74</v>
      </c>
      <c r="BO67" t="s">
        <v>210</v>
      </c>
      <c r="BP67" t="s">
        <v>74</v>
      </c>
      <c r="BQ67" t="s">
        <v>74</v>
      </c>
      <c r="BR67" t="s">
        <v>105</v>
      </c>
      <c r="BS67" t="s">
        <v>1631</v>
      </c>
      <c r="BT67" t="str">
        <f>HYPERLINK("https%3A%2F%2Fwww.webofscience.com%2Fwos%2Fwoscc%2Ffull-record%2FWOS:000721719700001","View Full Record in Web of Science")</f>
        <v>View Full Record in Web of Science</v>
      </c>
    </row>
    <row r="68" spans="1:72" x14ac:dyDescent="0.15">
      <c r="A68" t="s">
        <v>72</v>
      </c>
      <c r="B68" t="s">
        <v>1632</v>
      </c>
      <c r="C68" t="s">
        <v>74</v>
      </c>
      <c r="D68" t="s">
        <v>74</v>
      </c>
      <c r="E68" t="s">
        <v>74</v>
      </c>
      <c r="F68" t="s">
        <v>1633</v>
      </c>
      <c r="G68" t="s">
        <v>74</v>
      </c>
      <c r="H68" t="s">
        <v>74</v>
      </c>
      <c r="I68" t="s">
        <v>1634</v>
      </c>
      <c r="J68" t="s">
        <v>1635</v>
      </c>
      <c r="K68" t="s">
        <v>74</v>
      </c>
      <c r="L68" t="s">
        <v>74</v>
      </c>
      <c r="M68" t="s">
        <v>78</v>
      </c>
      <c r="N68" t="s">
        <v>79</v>
      </c>
      <c r="O68" t="s">
        <v>74</v>
      </c>
      <c r="P68" t="s">
        <v>74</v>
      </c>
      <c r="Q68" t="s">
        <v>74</v>
      </c>
      <c r="R68" t="s">
        <v>74</v>
      </c>
      <c r="S68" t="s">
        <v>74</v>
      </c>
      <c r="T68" t="s">
        <v>1636</v>
      </c>
      <c r="U68" t="s">
        <v>74</v>
      </c>
      <c r="V68" t="s">
        <v>1637</v>
      </c>
      <c r="W68" t="s">
        <v>1638</v>
      </c>
      <c r="X68" t="s">
        <v>1639</v>
      </c>
      <c r="Y68" t="s">
        <v>1640</v>
      </c>
      <c r="Z68" t="s">
        <v>1641</v>
      </c>
      <c r="AA68" t="s">
        <v>1642</v>
      </c>
      <c r="AB68" t="s">
        <v>1643</v>
      </c>
      <c r="AC68" t="s">
        <v>1644</v>
      </c>
      <c r="AD68" t="s">
        <v>1645</v>
      </c>
      <c r="AE68" t="s">
        <v>1646</v>
      </c>
      <c r="AF68" t="s">
        <v>74</v>
      </c>
      <c r="AG68">
        <v>43</v>
      </c>
      <c r="AH68">
        <v>16</v>
      </c>
      <c r="AI68">
        <v>18</v>
      </c>
      <c r="AJ68">
        <v>4</v>
      </c>
      <c r="AK68">
        <v>14</v>
      </c>
      <c r="AL68" t="s">
        <v>572</v>
      </c>
      <c r="AM68" t="s">
        <v>573</v>
      </c>
      <c r="AN68" t="s">
        <v>574</v>
      </c>
      <c r="AO68" t="s">
        <v>1647</v>
      </c>
      <c r="AP68" t="s">
        <v>1648</v>
      </c>
      <c r="AQ68" t="s">
        <v>74</v>
      </c>
      <c r="AR68" t="s">
        <v>1649</v>
      </c>
      <c r="AS68" t="s">
        <v>1650</v>
      </c>
      <c r="AT68" t="s">
        <v>698</v>
      </c>
      <c r="AU68">
        <v>2022</v>
      </c>
      <c r="AV68">
        <v>39</v>
      </c>
      <c r="AW68">
        <v>3</v>
      </c>
      <c r="AX68" t="s">
        <v>74</v>
      </c>
      <c r="AY68" t="s">
        <v>74</v>
      </c>
      <c r="AZ68" t="s">
        <v>74</v>
      </c>
      <c r="BA68" t="s">
        <v>74</v>
      </c>
      <c r="BB68">
        <v>246</v>
      </c>
      <c r="BC68">
        <v>262</v>
      </c>
      <c r="BD68" t="s">
        <v>74</v>
      </c>
      <c r="BE68" t="s">
        <v>1651</v>
      </c>
      <c r="BF68" t="str">
        <f>HYPERLINK("http://dx.doi.org/10.1002/rob.22049","http://dx.doi.org/10.1002/rob.22049")</f>
        <v>http://dx.doi.org/10.1002/rob.22049</v>
      </c>
      <c r="BG68" t="s">
        <v>74</v>
      </c>
      <c r="BH68" t="s">
        <v>263</v>
      </c>
      <c r="BI68">
        <v>17</v>
      </c>
      <c r="BJ68" t="s">
        <v>1652</v>
      </c>
      <c r="BK68" t="s">
        <v>101</v>
      </c>
      <c r="BL68" t="s">
        <v>1652</v>
      </c>
      <c r="BM68" t="s">
        <v>1653</v>
      </c>
      <c r="BN68" t="s">
        <v>74</v>
      </c>
      <c r="BO68" t="s">
        <v>74</v>
      </c>
      <c r="BP68" t="s">
        <v>74</v>
      </c>
      <c r="BQ68" t="s">
        <v>74</v>
      </c>
      <c r="BR68" t="s">
        <v>105</v>
      </c>
      <c r="BS68" t="s">
        <v>1654</v>
      </c>
      <c r="BT68" t="str">
        <f>HYPERLINK("https%3A%2F%2Fwww.webofscience.com%2Fwos%2Fwoscc%2Ffull-record%2FWOS:000721822800001","View Full Record in Web of Science")</f>
        <v>View Full Record in Web of Science</v>
      </c>
    </row>
    <row r="69" spans="1:72" x14ac:dyDescent="0.15">
      <c r="A69" t="s">
        <v>72</v>
      </c>
      <c r="B69" t="s">
        <v>1655</v>
      </c>
      <c r="C69" t="s">
        <v>74</v>
      </c>
      <c r="D69" t="s">
        <v>74</v>
      </c>
      <c r="E69" t="s">
        <v>74</v>
      </c>
      <c r="F69" t="s">
        <v>1656</v>
      </c>
      <c r="G69" t="s">
        <v>74</v>
      </c>
      <c r="H69" t="s">
        <v>74</v>
      </c>
      <c r="I69" t="s">
        <v>1657</v>
      </c>
      <c r="J69" t="s">
        <v>935</v>
      </c>
      <c r="K69" t="s">
        <v>74</v>
      </c>
      <c r="L69" t="s">
        <v>74</v>
      </c>
      <c r="M69" t="s">
        <v>78</v>
      </c>
      <c r="N69" t="s">
        <v>79</v>
      </c>
      <c r="O69" t="s">
        <v>74</v>
      </c>
      <c r="P69" t="s">
        <v>74</v>
      </c>
      <c r="Q69" t="s">
        <v>74</v>
      </c>
      <c r="R69" t="s">
        <v>74</v>
      </c>
      <c r="S69" t="s">
        <v>74</v>
      </c>
      <c r="T69" t="s">
        <v>1658</v>
      </c>
      <c r="U69" t="s">
        <v>1659</v>
      </c>
      <c r="V69" t="s">
        <v>1660</v>
      </c>
      <c r="W69" t="s">
        <v>1661</v>
      </c>
      <c r="X69" t="s">
        <v>1662</v>
      </c>
      <c r="Y69" t="s">
        <v>1663</v>
      </c>
      <c r="Z69" t="s">
        <v>1664</v>
      </c>
      <c r="AA69" t="s">
        <v>74</v>
      </c>
      <c r="AB69" t="s">
        <v>1665</v>
      </c>
      <c r="AC69" t="s">
        <v>1666</v>
      </c>
      <c r="AD69" t="s">
        <v>1667</v>
      </c>
      <c r="AE69" t="s">
        <v>1668</v>
      </c>
      <c r="AF69" t="s">
        <v>74</v>
      </c>
      <c r="AG69">
        <v>37</v>
      </c>
      <c r="AH69">
        <v>1</v>
      </c>
      <c r="AI69">
        <v>1</v>
      </c>
      <c r="AJ69">
        <v>2</v>
      </c>
      <c r="AK69">
        <v>6</v>
      </c>
      <c r="AL69" t="s">
        <v>169</v>
      </c>
      <c r="AM69" t="s">
        <v>170</v>
      </c>
      <c r="AN69" t="s">
        <v>171</v>
      </c>
      <c r="AO69" t="s">
        <v>948</v>
      </c>
      <c r="AP69" t="s">
        <v>949</v>
      </c>
      <c r="AQ69" t="s">
        <v>74</v>
      </c>
      <c r="AR69" t="s">
        <v>950</v>
      </c>
      <c r="AS69" t="s">
        <v>951</v>
      </c>
      <c r="AT69" t="s">
        <v>416</v>
      </c>
      <c r="AU69">
        <v>2022</v>
      </c>
      <c r="AV69">
        <v>45</v>
      </c>
      <c r="AW69">
        <v>1</v>
      </c>
      <c r="AX69" t="s">
        <v>74</v>
      </c>
      <c r="AY69" t="s">
        <v>74</v>
      </c>
      <c r="AZ69" t="s">
        <v>74</v>
      </c>
      <c r="BA69" t="s">
        <v>74</v>
      </c>
      <c r="BB69">
        <v>153</v>
      </c>
      <c r="BC69">
        <v>158</v>
      </c>
      <c r="BD69" t="s">
        <v>74</v>
      </c>
      <c r="BE69" t="s">
        <v>1669</v>
      </c>
      <c r="BF69" t="str">
        <f>HYPERLINK("http://dx.doi.org/10.1007/s00300-021-02971-9","http://dx.doi.org/10.1007/s00300-021-02971-9")</f>
        <v>http://dx.doi.org/10.1007/s00300-021-02971-9</v>
      </c>
      <c r="BG69" t="s">
        <v>74</v>
      </c>
      <c r="BH69" t="s">
        <v>263</v>
      </c>
      <c r="BI69">
        <v>6</v>
      </c>
      <c r="BJ69" t="s">
        <v>605</v>
      </c>
      <c r="BK69" t="s">
        <v>101</v>
      </c>
      <c r="BL69" t="s">
        <v>606</v>
      </c>
      <c r="BM69" t="s">
        <v>1372</v>
      </c>
      <c r="BN69" t="s">
        <v>74</v>
      </c>
      <c r="BO69" t="s">
        <v>74</v>
      </c>
      <c r="BP69" t="s">
        <v>74</v>
      </c>
      <c r="BQ69" t="s">
        <v>74</v>
      </c>
      <c r="BR69" t="s">
        <v>105</v>
      </c>
      <c r="BS69" t="s">
        <v>1670</v>
      </c>
      <c r="BT69" t="str">
        <f>HYPERLINK("https%3A%2F%2Fwww.webofscience.com%2Fwos%2Fwoscc%2Ffull-record%2FWOS:000722086300001","View Full Record in Web of Science")</f>
        <v>View Full Record in Web of Science</v>
      </c>
    </row>
    <row r="70" spans="1:72" x14ac:dyDescent="0.15">
      <c r="A70" t="s">
        <v>72</v>
      </c>
      <c r="B70" t="s">
        <v>1671</v>
      </c>
      <c r="C70" t="s">
        <v>74</v>
      </c>
      <c r="D70" t="s">
        <v>74</v>
      </c>
      <c r="E70" t="s">
        <v>74</v>
      </c>
      <c r="F70" t="s">
        <v>1672</v>
      </c>
      <c r="G70" t="s">
        <v>74</v>
      </c>
      <c r="H70" t="s">
        <v>74</v>
      </c>
      <c r="I70" t="s">
        <v>1673</v>
      </c>
      <c r="J70" t="s">
        <v>1674</v>
      </c>
      <c r="K70" t="s">
        <v>74</v>
      </c>
      <c r="L70" t="s">
        <v>74</v>
      </c>
      <c r="M70" t="s">
        <v>78</v>
      </c>
      <c r="N70" t="s">
        <v>79</v>
      </c>
      <c r="O70" t="s">
        <v>74</v>
      </c>
      <c r="P70" t="s">
        <v>74</v>
      </c>
      <c r="Q70" t="s">
        <v>74</v>
      </c>
      <c r="R70" t="s">
        <v>74</v>
      </c>
      <c r="S70" t="s">
        <v>74</v>
      </c>
      <c r="T70" t="s">
        <v>1675</v>
      </c>
      <c r="U70" t="s">
        <v>1676</v>
      </c>
      <c r="V70" t="s">
        <v>1677</v>
      </c>
      <c r="W70" t="s">
        <v>1678</v>
      </c>
      <c r="X70" t="s">
        <v>1679</v>
      </c>
      <c r="Y70" t="s">
        <v>1680</v>
      </c>
      <c r="Z70" t="s">
        <v>1681</v>
      </c>
      <c r="AA70" t="s">
        <v>1682</v>
      </c>
      <c r="AB70" t="s">
        <v>1683</v>
      </c>
      <c r="AC70" t="s">
        <v>1684</v>
      </c>
      <c r="AD70" t="s">
        <v>1685</v>
      </c>
      <c r="AE70" t="s">
        <v>1686</v>
      </c>
      <c r="AF70" t="s">
        <v>74</v>
      </c>
      <c r="AG70">
        <v>64</v>
      </c>
      <c r="AH70">
        <v>7</v>
      </c>
      <c r="AI70">
        <v>7</v>
      </c>
      <c r="AJ70">
        <v>3</v>
      </c>
      <c r="AK70">
        <v>32</v>
      </c>
      <c r="AL70" t="s">
        <v>1687</v>
      </c>
      <c r="AM70" t="s">
        <v>333</v>
      </c>
      <c r="AN70" t="s">
        <v>1688</v>
      </c>
      <c r="AO70" t="s">
        <v>1689</v>
      </c>
      <c r="AP70" t="s">
        <v>1690</v>
      </c>
      <c r="AQ70" t="s">
        <v>74</v>
      </c>
      <c r="AR70" t="s">
        <v>1691</v>
      </c>
      <c r="AS70" t="s">
        <v>1692</v>
      </c>
      <c r="AT70" t="s">
        <v>1532</v>
      </c>
      <c r="AU70">
        <v>2021</v>
      </c>
      <c r="AV70">
        <v>288</v>
      </c>
      <c r="AW70">
        <v>1963</v>
      </c>
      <c r="AX70" t="s">
        <v>74</v>
      </c>
      <c r="AY70" t="s">
        <v>74</v>
      </c>
      <c r="AZ70" t="s">
        <v>74</v>
      </c>
      <c r="BA70" t="s">
        <v>74</v>
      </c>
      <c r="BB70" t="s">
        <v>74</v>
      </c>
      <c r="BC70" t="s">
        <v>74</v>
      </c>
      <c r="BD70">
        <v>20211956</v>
      </c>
      <c r="BE70" t="s">
        <v>1693</v>
      </c>
      <c r="BF70" t="str">
        <f>HYPERLINK("http://dx.doi.org/10.1098/rspb.2021.1956","http://dx.doi.org/10.1098/rspb.2021.1956")</f>
        <v>http://dx.doi.org/10.1098/rspb.2021.1956</v>
      </c>
      <c r="BG70" t="s">
        <v>74</v>
      </c>
      <c r="BH70" t="s">
        <v>74</v>
      </c>
      <c r="BI70">
        <v>9</v>
      </c>
      <c r="BJ70" t="s">
        <v>1694</v>
      </c>
      <c r="BK70" t="s">
        <v>101</v>
      </c>
      <c r="BL70" t="s">
        <v>1695</v>
      </c>
      <c r="BM70" t="s">
        <v>1696</v>
      </c>
      <c r="BN70">
        <v>34784770</v>
      </c>
      <c r="BO70" t="s">
        <v>343</v>
      </c>
      <c r="BP70" t="s">
        <v>74</v>
      </c>
      <c r="BQ70" t="s">
        <v>74</v>
      </c>
      <c r="BR70" t="s">
        <v>105</v>
      </c>
      <c r="BS70" t="s">
        <v>1697</v>
      </c>
      <c r="BT70" t="str">
        <f>HYPERLINK("https%3A%2F%2Fwww.webofscience.com%2Fwos%2Fwoscc%2Ffull-record%2FWOS:000719337000002","View Full Record in Web of Science")</f>
        <v>View Full Record in Web of Science</v>
      </c>
    </row>
    <row r="71" spans="1:72" x14ac:dyDescent="0.15">
      <c r="A71" t="s">
        <v>72</v>
      </c>
      <c r="B71" t="s">
        <v>1698</v>
      </c>
      <c r="C71" t="s">
        <v>74</v>
      </c>
      <c r="D71" t="s">
        <v>74</v>
      </c>
      <c r="E71" t="s">
        <v>74</v>
      </c>
      <c r="F71" t="s">
        <v>1699</v>
      </c>
      <c r="G71" t="s">
        <v>74</v>
      </c>
      <c r="H71" t="s">
        <v>74</v>
      </c>
      <c r="I71" t="s">
        <v>1700</v>
      </c>
      <c r="J71" t="s">
        <v>1701</v>
      </c>
      <c r="K71" t="s">
        <v>74</v>
      </c>
      <c r="L71" t="s">
        <v>74</v>
      </c>
      <c r="M71" t="s">
        <v>78</v>
      </c>
      <c r="N71" t="s">
        <v>79</v>
      </c>
      <c r="O71" t="s">
        <v>74</v>
      </c>
      <c r="P71" t="s">
        <v>74</v>
      </c>
      <c r="Q71" t="s">
        <v>74</v>
      </c>
      <c r="R71" t="s">
        <v>74</v>
      </c>
      <c r="S71" t="s">
        <v>74</v>
      </c>
      <c r="T71" t="s">
        <v>1702</v>
      </c>
      <c r="U71" t="s">
        <v>1703</v>
      </c>
      <c r="V71" t="s">
        <v>1704</v>
      </c>
      <c r="W71" t="s">
        <v>1705</v>
      </c>
      <c r="X71" t="s">
        <v>1706</v>
      </c>
      <c r="Y71" t="s">
        <v>1707</v>
      </c>
      <c r="Z71" t="s">
        <v>1708</v>
      </c>
      <c r="AA71" t="s">
        <v>1709</v>
      </c>
      <c r="AB71" t="s">
        <v>1710</v>
      </c>
      <c r="AC71" t="s">
        <v>1711</v>
      </c>
      <c r="AD71" t="s">
        <v>1712</v>
      </c>
      <c r="AE71" t="s">
        <v>1713</v>
      </c>
      <c r="AF71" t="s">
        <v>74</v>
      </c>
      <c r="AG71">
        <v>95</v>
      </c>
      <c r="AH71">
        <v>5</v>
      </c>
      <c r="AI71">
        <v>5</v>
      </c>
      <c r="AJ71">
        <v>0</v>
      </c>
      <c r="AK71">
        <v>0</v>
      </c>
      <c r="AL71" t="s">
        <v>1714</v>
      </c>
      <c r="AM71" t="s">
        <v>256</v>
      </c>
      <c r="AN71" t="s">
        <v>1715</v>
      </c>
      <c r="AO71" t="s">
        <v>1716</v>
      </c>
      <c r="AP71" t="s">
        <v>1717</v>
      </c>
      <c r="AQ71" t="s">
        <v>74</v>
      </c>
      <c r="AR71" t="s">
        <v>1718</v>
      </c>
      <c r="AS71" t="s">
        <v>1719</v>
      </c>
      <c r="AT71" t="s">
        <v>416</v>
      </c>
      <c r="AU71">
        <v>2022</v>
      </c>
      <c r="AV71">
        <v>509</v>
      </c>
      <c r="AW71">
        <v>2</v>
      </c>
      <c r="AX71" t="s">
        <v>74</v>
      </c>
      <c r="AY71" t="s">
        <v>74</v>
      </c>
      <c r="AZ71" t="s">
        <v>74</v>
      </c>
      <c r="BA71" t="s">
        <v>74</v>
      </c>
      <c r="BB71">
        <v>2258</v>
      </c>
      <c r="BC71">
        <v>2268</v>
      </c>
      <c r="BD71" t="s">
        <v>74</v>
      </c>
      <c r="BE71" t="s">
        <v>1720</v>
      </c>
      <c r="BF71" t="str">
        <f>HYPERLINK("http://dx.doi.org/10.1093/mnras/stab3142","http://dx.doi.org/10.1093/mnras/stab3142")</f>
        <v>http://dx.doi.org/10.1093/mnras/stab3142</v>
      </c>
      <c r="BG71" t="s">
        <v>74</v>
      </c>
      <c r="BH71" t="s">
        <v>263</v>
      </c>
      <c r="BI71">
        <v>11</v>
      </c>
      <c r="BJ71" t="s">
        <v>1721</v>
      </c>
      <c r="BK71" t="s">
        <v>101</v>
      </c>
      <c r="BL71" t="s">
        <v>1721</v>
      </c>
      <c r="BM71" t="s">
        <v>1722</v>
      </c>
      <c r="BN71" t="s">
        <v>74</v>
      </c>
      <c r="BO71" t="s">
        <v>419</v>
      </c>
      <c r="BP71" t="s">
        <v>74</v>
      </c>
      <c r="BQ71" t="s">
        <v>74</v>
      </c>
      <c r="BR71" t="s">
        <v>105</v>
      </c>
      <c r="BS71" t="s">
        <v>1723</v>
      </c>
      <c r="BT71" t="str">
        <f>HYPERLINK("https%3A%2F%2Fwww.webofscience.com%2Fwos%2Fwoscc%2Ffull-record%2FWOS:000728381700049","View Full Record in Web of Science")</f>
        <v>View Full Record in Web of Science</v>
      </c>
    </row>
    <row r="72" spans="1:72" x14ac:dyDescent="0.15">
      <c r="A72" t="s">
        <v>72</v>
      </c>
      <c r="B72" t="s">
        <v>1724</v>
      </c>
      <c r="C72" t="s">
        <v>74</v>
      </c>
      <c r="D72" t="s">
        <v>74</v>
      </c>
      <c r="E72" t="s">
        <v>74</v>
      </c>
      <c r="F72" t="s">
        <v>1725</v>
      </c>
      <c r="G72" t="s">
        <v>74</v>
      </c>
      <c r="H72" t="s">
        <v>74</v>
      </c>
      <c r="I72" t="s">
        <v>1726</v>
      </c>
      <c r="J72" t="s">
        <v>536</v>
      </c>
      <c r="K72" t="s">
        <v>74</v>
      </c>
      <c r="L72" t="s">
        <v>74</v>
      </c>
      <c r="M72" t="s">
        <v>78</v>
      </c>
      <c r="N72" t="s">
        <v>79</v>
      </c>
      <c r="O72" t="s">
        <v>74</v>
      </c>
      <c r="P72" t="s">
        <v>74</v>
      </c>
      <c r="Q72" t="s">
        <v>74</v>
      </c>
      <c r="R72" t="s">
        <v>74</v>
      </c>
      <c r="S72" t="s">
        <v>74</v>
      </c>
      <c r="T72" t="s">
        <v>74</v>
      </c>
      <c r="U72" t="s">
        <v>1727</v>
      </c>
      <c r="V72" t="s">
        <v>1728</v>
      </c>
      <c r="W72" t="s">
        <v>1729</v>
      </c>
      <c r="X72" t="s">
        <v>1730</v>
      </c>
      <c r="Y72" t="s">
        <v>1731</v>
      </c>
      <c r="Z72" t="s">
        <v>1732</v>
      </c>
      <c r="AA72" t="s">
        <v>1733</v>
      </c>
      <c r="AB72" t="s">
        <v>1734</v>
      </c>
      <c r="AC72" t="s">
        <v>1735</v>
      </c>
      <c r="AD72" t="s">
        <v>1736</v>
      </c>
      <c r="AE72" t="s">
        <v>1737</v>
      </c>
      <c r="AF72" t="s">
        <v>74</v>
      </c>
      <c r="AG72">
        <v>78</v>
      </c>
      <c r="AH72">
        <v>1</v>
      </c>
      <c r="AI72">
        <v>1</v>
      </c>
      <c r="AJ72">
        <v>1</v>
      </c>
      <c r="AK72">
        <v>6</v>
      </c>
      <c r="AL72" t="s">
        <v>227</v>
      </c>
      <c r="AM72" t="s">
        <v>228</v>
      </c>
      <c r="AN72" t="s">
        <v>229</v>
      </c>
      <c r="AO72" t="s">
        <v>548</v>
      </c>
      <c r="AP72" t="s">
        <v>549</v>
      </c>
      <c r="AQ72" t="s">
        <v>74</v>
      </c>
      <c r="AR72" t="s">
        <v>550</v>
      </c>
      <c r="AS72" t="s">
        <v>551</v>
      </c>
      <c r="AT72" t="s">
        <v>1738</v>
      </c>
      <c r="AU72">
        <v>2021</v>
      </c>
      <c r="AV72">
        <v>21</v>
      </c>
      <c r="AW72">
        <v>22</v>
      </c>
      <c r="AX72" t="s">
        <v>74</v>
      </c>
      <c r="AY72" t="s">
        <v>74</v>
      </c>
      <c r="AZ72" t="s">
        <v>74</v>
      </c>
      <c r="BA72" t="s">
        <v>74</v>
      </c>
      <c r="BB72">
        <v>16955</v>
      </c>
      <c r="BC72">
        <v>16984</v>
      </c>
      <c r="BD72" t="s">
        <v>74</v>
      </c>
      <c r="BE72" t="s">
        <v>1739</v>
      </c>
      <c r="BF72" t="str">
        <f>HYPERLINK("http://dx.doi.org/10.5194/acp-21-16955-2021","http://dx.doi.org/10.5194/acp-21-16955-2021")</f>
        <v>http://dx.doi.org/10.5194/acp-21-16955-2021</v>
      </c>
      <c r="BG72" t="s">
        <v>74</v>
      </c>
      <c r="BH72" t="s">
        <v>74</v>
      </c>
      <c r="BI72">
        <v>30</v>
      </c>
      <c r="BJ72" t="s">
        <v>100</v>
      </c>
      <c r="BK72" t="s">
        <v>101</v>
      </c>
      <c r="BL72" t="s">
        <v>102</v>
      </c>
      <c r="BM72" t="s">
        <v>1740</v>
      </c>
      <c r="BN72" t="s">
        <v>74</v>
      </c>
      <c r="BO72" t="s">
        <v>1741</v>
      </c>
      <c r="BP72" t="s">
        <v>74</v>
      </c>
      <c r="BQ72" t="s">
        <v>74</v>
      </c>
      <c r="BR72" t="s">
        <v>105</v>
      </c>
      <c r="BS72" t="s">
        <v>1742</v>
      </c>
      <c r="BT72" t="str">
        <f>HYPERLINK("https%3A%2F%2Fwww.webofscience.com%2Fwos%2Fwoscc%2Ffull-record%2FWOS:000722457300001","View Full Record in Web of Science")</f>
        <v>View Full Record in Web of Science</v>
      </c>
    </row>
    <row r="73" spans="1:72" x14ac:dyDescent="0.15">
      <c r="A73" t="s">
        <v>72</v>
      </c>
      <c r="B73" t="s">
        <v>1743</v>
      </c>
      <c r="C73" t="s">
        <v>74</v>
      </c>
      <c r="D73" t="s">
        <v>74</v>
      </c>
      <c r="E73" t="s">
        <v>74</v>
      </c>
      <c r="F73" t="s">
        <v>1744</v>
      </c>
      <c r="G73" t="s">
        <v>74</v>
      </c>
      <c r="H73" t="s">
        <v>74</v>
      </c>
      <c r="I73" t="s">
        <v>1745</v>
      </c>
      <c r="J73" t="s">
        <v>935</v>
      </c>
      <c r="K73" t="s">
        <v>74</v>
      </c>
      <c r="L73" t="s">
        <v>74</v>
      </c>
      <c r="M73" t="s">
        <v>78</v>
      </c>
      <c r="N73" t="s">
        <v>79</v>
      </c>
      <c r="O73" t="s">
        <v>74</v>
      </c>
      <c r="P73" t="s">
        <v>74</v>
      </c>
      <c r="Q73" t="s">
        <v>74</v>
      </c>
      <c r="R73" t="s">
        <v>74</v>
      </c>
      <c r="S73" t="s">
        <v>74</v>
      </c>
      <c r="T73" t="s">
        <v>1746</v>
      </c>
      <c r="U73" t="s">
        <v>1747</v>
      </c>
      <c r="V73" t="s">
        <v>1748</v>
      </c>
      <c r="W73" t="s">
        <v>1749</v>
      </c>
      <c r="X73" t="s">
        <v>1750</v>
      </c>
      <c r="Y73" t="s">
        <v>1751</v>
      </c>
      <c r="Z73" t="s">
        <v>1752</v>
      </c>
      <c r="AA73" t="s">
        <v>1753</v>
      </c>
      <c r="AB73" t="s">
        <v>1754</v>
      </c>
      <c r="AC73" t="s">
        <v>1755</v>
      </c>
      <c r="AD73" t="s">
        <v>1756</v>
      </c>
      <c r="AE73" t="s">
        <v>1757</v>
      </c>
      <c r="AF73" t="s">
        <v>74</v>
      </c>
      <c r="AG73">
        <v>54</v>
      </c>
      <c r="AH73">
        <v>1</v>
      </c>
      <c r="AI73">
        <v>1</v>
      </c>
      <c r="AJ73">
        <v>0</v>
      </c>
      <c r="AK73">
        <v>1</v>
      </c>
      <c r="AL73" t="s">
        <v>169</v>
      </c>
      <c r="AM73" t="s">
        <v>170</v>
      </c>
      <c r="AN73" t="s">
        <v>171</v>
      </c>
      <c r="AO73" t="s">
        <v>948</v>
      </c>
      <c r="AP73" t="s">
        <v>949</v>
      </c>
      <c r="AQ73" t="s">
        <v>74</v>
      </c>
      <c r="AR73" t="s">
        <v>950</v>
      </c>
      <c r="AS73" t="s">
        <v>951</v>
      </c>
      <c r="AT73" t="s">
        <v>416</v>
      </c>
      <c r="AU73">
        <v>2022</v>
      </c>
      <c r="AV73">
        <v>45</v>
      </c>
      <c r="AW73">
        <v>1</v>
      </c>
      <c r="AX73" t="s">
        <v>74</v>
      </c>
      <c r="AY73" t="s">
        <v>74</v>
      </c>
      <c r="AZ73" t="s">
        <v>74</v>
      </c>
      <c r="BA73" t="s">
        <v>74</v>
      </c>
      <c r="BB73">
        <v>101</v>
      </c>
      <c r="BC73">
        <v>111</v>
      </c>
      <c r="BD73" t="s">
        <v>74</v>
      </c>
      <c r="BE73" t="s">
        <v>1758</v>
      </c>
      <c r="BF73" t="str">
        <f>HYPERLINK("http://dx.doi.org/10.1007/s00300-021-02976-4","http://dx.doi.org/10.1007/s00300-021-02976-4")</f>
        <v>http://dx.doi.org/10.1007/s00300-021-02976-4</v>
      </c>
      <c r="BG73" t="s">
        <v>74</v>
      </c>
      <c r="BH73" t="s">
        <v>263</v>
      </c>
      <c r="BI73">
        <v>11</v>
      </c>
      <c r="BJ73" t="s">
        <v>605</v>
      </c>
      <c r="BK73" t="s">
        <v>101</v>
      </c>
      <c r="BL73" t="s">
        <v>606</v>
      </c>
      <c r="BM73" t="s">
        <v>1372</v>
      </c>
      <c r="BN73" t="s">
        <v>74</v>
      </c>
      <c r="BO73" t="s">
        <v>74</v>
      </c>
      <c r="BP73" t="s">
        <v>74</v>
      </c>
      <c r="BQ73" t="s">
        <v>74</v>
      </c>
      <c r="BR73" t="s">
        <v>105</v>
      </c>
      <c r="BS73" t="s">
        <v>1759</v>
      </c>
      <c r="BT73" t="str">
        <f>HYPERLINK("https%3A%2F%2Fwww.webofscience.com%2Fwos%2Fwoscc%2Ffull-record%2FWOS:000721398800002","View Full Record in Web of Science")</f>
        <v>View Full Record in Web of Science</v>
      </c>
    </row>
    <row r="74" spans="1:72" x14ac:dyDescent="0.15">
      <c r="A74" t="s">
        <v>72</v>
      </c>
      <c r="B74" t="s">
        <v>1760</v>
      </c>
      <c r="C74" t="s">
        <v>74</v>
      </c>
      <c r="D74" t="s">
        <v>74</v>
      </c>
      <c r="E74" t="s">
        <v>74</v>
      </c>
      <c r="F74" t="s">
        <v>1761</v>
      </c>
      <c r="G74" t="s">
        <v>74</v>
      </c>
      <c r="H74" t="s">
        <v>74</v>
      </c>
      <c r="I74" t="s">
        <v>1762</v>
      </c>
      <c r="J74" t="s">
        <v>1763</v>
      </c>
      <c r="K74" t="s">
        <v>74</v>
      </c>
      <c r="L74" t="s">
        <v>74</v>
      </c>
      <c r="M74" t="s">
        <v>78</v>
      </c>
      <c r="N74" t="s">
        <v>1764</v>
      </c>
      <c r="O74" t="s">
        <v>74</v>
      </c>
      <c r="P74" t="s">
        <v>74</v>
      </c>
      <c r="Q74" t="s">
        <v>74</v>
      </c>
      <c r="R74" t="s">
        <v>74</v>
      </c>
      <c r="S74" t="s">
        <v>74</v>
      </c>
      <c r="T74" t="s">
        <v>74</v>
      </c>
      <c r="U74" t="s">
        <v>1765</v>
      </c>
      <c r="V74" t="s">
        <v>1766</v>
      </c>
      <c r="W74" t="s">
        <v>1767</v>
      </c>
      <c r="X74" t="s">
        <v>1768</v>
      </c>
      <c r="Y74" t="s">
        <v>1769</v>
      </c>
      <c r="Z74" t="s">
        <v>1770</v>
      </c>
      <c r="AA74" t="s">
        <v>74</v>
      </c>
      <c r="AB74" t="s">
        <v>1771</v>
      </c>
      <c r="AC74" t="s">
        <v>74</v>
      </c>
      <c r="AD74" t="s">
        <v>74</v>
      </c>
      <c r="AE74" t="s">
        <v>74</v>
      </c>
      <c r="AF74" t="s">
        <v>74</v>
      </c>
      <c r="AG74">
        <v>10</v>
      </c>
      <c r="AH74">
        <v>2</v>
      </c>
      <c r="AI74">
        <v>2</v>
      </c>
      <c r="AJ74">
        <v>1</v>
      </c>
      <c r="AK74">
        <v>5</v>
      </c>
      <c r="AL74" t="s">
        <v>492</v>
      </c>
      <c r="AM74" t="s">
        <v>493</v>
      </c>
      <c r="AN74" t="s">
        <v>494</v>
      </c>
      <c r="AO74" t="s">
        <v>1772</v>
      </c>
      <c r="AP74" t="s">
        <v>74</v>
      </c>
      <c r="AQ74" t="s">
        <v>74</v>
      </c>
      <c r="AR74" t="s">
        <v>1773</v>
      </c>
      <c r="AS74" t="s">
        <v>1774</v>
      </c>
      <c r="AT74" t="s">
        <v>416</v>
      </c>
      <c r="AU74">
        <v>2022</v>
      </c>
      <c r="AV74">
        <v>5</v>
      </c>
      <c r="AW74">
        <v>1</v>
      </c>
      <c r="AX74" t="s">
        <v>74</v>
      </c>
      <c r="AY74" t="s">
        <v>74</v>
      </c>
      <c r="AZ74" t="s">
        <v>74</v>
      </c>
      <c r="BA74" t="s">
        <v>74</v>
      </c>
      <c r="BB74">
        <v>9</v>
      </c>
      <c r="BC74">
        <v>10</v>
      </c>
      <c r="BD74" t="s">
        <v>74</v>
      </c>
      <c r="BE74" t="s">
        <v>1775</v>
      </c>
      <c r="BF74" t="str">
        <f>HYPERLINK("http://dx.doi.org/10.1038/s41893-021-00798-0","http://dx.doi.org/10.1038/s41893-021-00798-0")</f>
        <v>http://dx.doi.org/10.1038/s41893-021-00798-0</v>
      </c>
      <c r="BG74" t="s">
        <v>74</v>
      </c>
      <c r="BH74" t="s">
        <v>263</v>
      </c>
      <c r="BI74">
        <v>2</v>
      </c>
      <c r="BJ74" t="s">
        <v>1776</v>
      </c>
      <c r="BK74" t="s">
        <v>207</v>
      </c>
      <c r="BL74" t="s">
        <v>1777</v>
      </c>
      <c r="BM74" t="s">
        <v>1778</v>
      </c>
      <c r="BN74" t="s">
        <v>74</v>
      </c>
      <c r="BO74" t="s">
        <v>74</v>
      </c>
      <c r="BP74" t="s">
        <v>74</v>
      </c>
      <c r="BQ74" t="s">
        <v>74</v>
      </c>
      <c r="BR74" t="s">
        <v>105</v>
      </c>
      <c r="BS74" t="s">
        <v>1779</v>
      </c>
      <c r="BT74" t="str">
        <f>HYPERLINK("https%3A%2F%2Fwww.webofscience.com%2Fwos%2Fwoscc%2Ffull-record%2FWOS:000721454400002","View Full Record in Web of Science")</f>
        <v>View Full Record in Web of Science</v>
      </c>
    </row>
    <row r="75" spans="1:72" x14ac:dyDescent="0.15">
      <c r="A75" t="s">
        <v>72</v>
      </c>
      <c r="B75" t="s">
        <v>1780</v>
      </c>
      <c r="C75" t="s">
        <v>74</v>
      </c>
      <c r="D75" t="s">
        <v>74</v>
      </c>
      <c r="E75" t="s">
        <v>74</v>
      </c>
      <c r="F75" t="s">
        <v>1781</v>
      </c>
      <c r="G75" t="s">
        <v>74</v>
      </c>
      <c r="H75" t="s">
        <v>74</v>
      </c>
      <c r="I75" t="s">
        <v>1782</v>
      </c>
      <c r="J75" t="s">
        <v>1058</v>
      </c>
      <c r="K75" t="s">
        <v>74</v>
      </c>
      <c r="L75" t="s">
        <v>74</v>
      </c>
      <c r="M75" t="s">
        <v>78</v>
      </c>
      <c r="N75" t="s">
        <v>79</v>
      </c>
      <c r="O75" t="s">
        <v>74</v>
      </c>
      <c r="P75" t="s">
        <v>74</v>
      </c>
      <c r="Q75" t="s">
        <v>74</v>
      </c>
      <c r="R75" t="s">
        <v>74</v>
      </c>
      <c r="S75" t="s">
        <v>74</v>
      </c>
      <c r="T75" t="s">
        <v>74</v>
      </c>
      <c r="U75" t="s">
        <v>1783</v>
      </c>
      <c r="V75" t="s">
        <v>1784</v>
      </c>
      <c r="W75" t="s">
        <v>1785</v>
      </c>
      <c r="X75" t="s">
        <v>1786</v>
      </c>
      <c r="Y75" t="s">
        <v>1787</v>
      </c>
      <c r="Z75" t="s">
        <v>1788</v>
      </c>
      <c r="AA75" t="s">
        <v>1789</v>
      </c>
      <c r="AB75" t="s">
        <v>1790</v>
      </c>
      <c r="AC75" t="s">
        <v>1791</v>
      </c>
      <c r="AD75" t="s">
        <v>1792</v>
      </c>
      <c r="AE75" t="s">
        <v>1793</v>
      </c>
      <c r="AF75" t="s">
        <v>74</v>
      </c>
      <c r="AG75">
        <v>56</v>
      </c>
      <c r="AH75">
        <v>19</v>
      </c>
      <c r="AI75">
        <v>22</v>
      </c>
      <c r="AJ75">
        <v>2</v>
      </c>
      <c r="AK75">
        <v>22</v>
      </c>
      <c r="AL75" t="s">
        <v>227</v>
      </c>
      <c r="AM75" t="s">
        <v>228</v>
      </c>
      <c r="AN75" t="s">
        <v>229</v>
      </c>
      <c r="AO75" t="s">
        <v>1065</v>
      </c>
      <c r="AP75" t="s">
        <v>1066</v>
      </c>
      <c r="AQ75" t="s">
        <v>74</v>
      </c>
      <c r="AR75" t="s">
        <v>1058</v>
      </c>
      <c r="AS75" t="s">
        <v>1067</v>
      </c>
      <c r="AT75" t="s">
        <v>1794</v>
      </c>
      <c r="AU75">
        <v>2021</v>
      </c>
      <c r="AV75">
        <v>15</v>
      </c>
      <c r="AW75">
        <v>11</v>
      </c>
      <c r="AX75" t="s">
        <v>74</v>
      </c>
      <c r="AY75" t="s">
        <v>74</v>
      </c>
      <c r="AZ75" t="s">
        <v>74</v>
      </c>
      <c r="BA75" t="s">
        <v>74</v>
      </c>
      <c r="BB75">
        <v>5187</v>
      </c>
      <c r="BC75">
        <v>5203</v>
      </c>
      <c r="BD75" t="s">
        <v>74</v>
      </c>
      <c r="BE75" t="s">
        <v>1795</v>
      </c>
      <c r="BF75" t="str">
        <f>HYPERLINK("http://dx.doi.org/10.5194/tc-15-5187-2021","http://dx.doi.org/10.5194/tc-15-5187-2021")</f>
        <v>http://dx.doi.org/10.5194/tc-15-5187-2021</v>
      </c>
      <c r="BG75" t="s">
        <v>74</v>
      </c>
      <c r="BH75" t="s">
        <v>74</v>
      </c>
      <c r="BI75">
        <v>17</v>
      </c>
      <c r="BJ75" t="s">
        <v>340</v>
      </c>
      <c r="BK75" t="s">
        <v>101</v>
      </c>
      <c r="BL75" t="s">
        <v>341</v>
      </c>
      <c r="BM75" t="s">
        <v>1796</v>
      </c>
      <c r="BN75" t="s">
        <v>74</v>
      </c>
      <c r="BO75" t="s">
        <v>1797</v>
      </c>
      <c r="BP75" t="s">
        <v>74</v>
      </c>
      <c r="BQ75" t="s">
        <v>74</v>
      </c>
      <c r="BR75" t="s">
        <v>105</v>
      </c>
      <c r="BS75" t="s">
        <v>1798</v>
      </c>
      <c r="BT75" t="str">
        <f>HYPERLINK("https%3A%2F%2Fwww.webofscience.com%2Fwos%2Fwoscc%2Ffull-record%2FWOS:000721678100001","View Full Record in Web of Science")</f>
        <v>View Full Record in Web of Science</v>
      </c>
    </row>
    <row r="76" spans="1:72" x14ac:dyDescent="0.15">
      <c r="A76" t="s">
        <v>72</v>
      </c>
      <c r="B76" t="s">
        <v>1799</v>
      </c>
      <c r="C76" t="s">
        <v>74</v>
      </c>
      <c r="D76" t="s">
        <v>74</v>
      </c>
      <c r="E76" t="s">
        <v>74</v>
      </c>
      <c r="F76" t="s">
        <v>1800</v>
      </c>
      <c r="G76" t="s">
        <v>74</v>
      </c>
      <c r="H76" t="s">
        <v>74</v>
      </c>
      <c r="I76" t="s">
        <v>1801</v>
      </c>
      <c r="J76" t="s">
        <v>935</v>
      </c>
      <c r="K76" t="s">
        <v>74</v>
      </c>
      <c r="L76" t="s">
        <v>74</v>
      </c>
      <c r="M76" t="s">
        <v>78</v>
      </c>
      <c r="N76" t="s">
        <v>79</v>
      </c>
      <c r="O76" t="s">
        <v>74</v>
      </c>
      <c r="P76" t="s">
        <v>74</v>
      </c>
      <c r="Q76" t="s">
        <v>74</v>
      </c>
      <c r="R76" t="s">
        <v>74</v>
      </c>
      <c r="S76" t="s">
        <v>74</v>
      </c>
      <c r="T76" t="s">
        <v>1802</v>
      </c>
      <c r="U76" t="s">
        <v>1803</v>
      </c>
      <c r="V76" t="s">
        <v>1804</v>
      </c>
      <c r="W76" t="s">
        <v>1805</v>
      </c>
      <c r="X76" t="s">
        <v>1806</v>
      </c>
      <c r="Y76" t="s">
        <v>1807</v>
      </c>
      <c r="Z76" t="s">
        <v>1808</v>
      </c>
      <c r="AA76" t="s">
        <v>74</v>
      </c>
      <c r="AB76" t="s">
        <v>1809</v>
      </c>
      <c r="AC76" t="s">
        <v>1810</v>
      </c>
      <c r="AD76" t="s">
        <v>1811</v>
      </c>
      <c r="AE76" t="s">
        <v>1812</v>
      </c>
      <c r="AF76" t="s">
        <v>74</v>
      </c>
      <c r="AG76">
        <v>96</v>
      </c>
      <c r="AH76">
        <v>2</v>
      </c>
      <c r="AI76">
        <v>2</v>
      </c>
      <c r="AJ76">
        <v>0</v>
      </c>
      <c r="AK76">
        <v>7</v>
      </c>
      <c r="AL76" t="s">
        <v>169</v>
      </c>
      <c r="AM76" t="s">
        <v>170</v>
      </c>
      <c r="AN76" t="s">
        <v>171</v>
      </c>
      <c r="AO76" t="s">
        <v>948</v>
      </c>
      <c r="AP76" t="s">
        <v>949</v>
      </c>
      <c r="AQ76" t="s">
        <v>74</v>
      </c>
      <c r="AR76" t="s">
        <v>950</v>
      </c>
      <c r="AS76" t="s">
        <v>951</v>
      </c>
      <c r="AT76" t="s">
        <v>416</v>
      </c>
      <c r="AU76">
        <v>2022</v>
      </c>
      <c r="AV76">
        <v>45</v>
      </c>
      <c r="AW76">
        <v>1</v>
      </c>
      <c r="AX76" t="s">
        <v>74</v>
      </c>
      <c r="AY76" t="s">
        <v>74</v>
      </c>
      <c r="AZ76" t="s">
        <v>74</v>
      </c>
      <c r="BA76" t="s">
        <v>74</v>
      </c>
      <c r="BB76">
        <v>113</v>
      </c>
      <c r="BC76">
        <v>126</v>
      </c>
      <c r="BD76" t="s">
        <v>74</v>
      </c>
      <c r="BE76" t="s">
        <v>1813</v>
      </c>
      <c r="BF76" t="str">
        <f>HYPERLINK("http://dx.doi.org/10.1007/s00300-021-02977-3","http://dx.doi.org/10.1007/s00300-021-02977-3")</f>
        <v>http://dx.doi.org/10.1007/s00300-021-02977-3</v>
      </c>
      <c r="BG76" t="s">
        <v>74</v>
      </c>
      <c r="BH76" t="s">
        <v>263</v>
      </c>
      <c r="BI76">
        <v>14</v>
      </c>
      <c r="BJ76" t="s">
        <v>605</v>
      </c>
      <c r="BK76" t="s">
        <v>101</v>
      </c>
      <c r="BL76" t="s">
        <v>606</v>
      </c>
      <c r="BM76" t="s">
        <v>1372</v>
      </c>
      <c r="BN76" t="s">
        <v>74</v>
      </c>
      <c r="BO76" t="s">
        <v>74</v>
      </c>
      <c r="BP76" t="s">
        <v>74</v>
      </c>
      <c r="BQ76" t="s">
        <v>74</v>
      </c>
      <c r="BR76" t="s">
        <v>105</v>
      </c>
      <c r="BS76" t="s">
        <v>1814</v>
      </c>
      <c r="BT76" t="str">
        <f>HYPERLINK("https%3A%2F%2Fwww.webofscience.com%2Fwos%2Fwoscc%2Ffull-record%2FWOS:000721398800001","View Full Record in Web of Science")</f>
        <v>View Full Record in Web of Science</v>
      </c>
    </row>
    <row r="77" spans="1:72" x14ac:dyDescent="0.15">
      <c r="A77" t="s">
        <v>72</v>
      </c>
      <c r="B77" t="s">
        <v>1815</v>
      </c>
      <c r="C77" t="s">
        <v>74</v>
      </c>
      <c r="D77" t="s">
        <v>74</v>
      </c>
      <c r="E77" t="s">
        <v>74</v>
      </c>
      <c r="F77" t="s">
        <v>1816</v>
      </c>
      <c r="G77" t="s">
        <v>74</v>
      </c>
      <c r="H77" t="s">
        <v>74</v>
      </c>
      <c r="I77" t="s">
        <v>1817</v>
      </c>
      <c r="J77" t="s">
        <v>1818</v>
      </c>
      <c r="K77" t="s">
        <v>74</v>
      </c>
      <c r="L77" t="s">
        <v>74</v>
      </c>
      <c r="M77" t="s">
        <v>78</v>
      </c>
      <c r="N77" t="s">
        <v>79</v>
      </c>
      <c r="O77" t="s">
        <v>74</v>
      </c>
      <c r="P77" t="s">
        <v>74</v>
      </c>
      <c r="Q77" t="s">
        <v>74</v>
      </c>
      <c r="R77" t="s">
        <v>74</v>
      </c>
      <c r="S77" t="s">
        <v>74</v>
      </c>
      <c r="T77" t="s">
        <v>1819</v>
      </c>
      <c r="U77" t="s">
        <v>1820</v>
      </c>
      <c r="V77" t="s">
        <v>1821</v>
      </c>
      <c r="W77" t="s">
        <v>1822</v>
      </c>
      <c r="X77" t="s">
        <v>1768</v>
      </c>
      <c r="Y77" t="s">
        <v>1823</v>
      </c>
      <c r="Z77" t="s">
        <v>1824</v>
      </c>
      <c r="AA77" t="s">
        <v>1825</v>
      </c>
      <c r="AB77" t="s">
        <v>1826</v>
      </c>
      <c r="AC77" t="s">
        <v>1827</v>
      </c>
      <c r="AD77" t="s">
        <v>1827</v>
      </c>
      <c r="AE77" t="s">
        <v>1828</v>
      </c>
      <c r="AF77" t="s">
        <v>74</v>
      </c>
      <c r="AG77">
        <v>68</v>
      </c>
      <c r="AH77">
        <v>3</v>
      </c>
      <c r="AI77">
        <v>3</v>
      </c>
      <c r="AJ77">
        <v>1</v>
      </c>
      <c r="AK77">
        <v>1</v>
      </c>
      <c r="AL77" t="s">
        <v>383</v>
      </c>
      <c r="AM77" t="s">
        <v>384</v>
      </c>
      <c r="AN77" t="s">
        <v>385</v>
      </c>
      <c r="AO77" t="s">
        <v>74</v>
      </c>
      <c r="AP77" t="s">
        <v>1829</v>
      </c>
      <c r="AQ77" t="s">
        <v>74</v>
      </c>
      <c r="AR77" t="s">
        <v>1830</v>
      </c>
      <c r="AS77" t="s">
        <v>1831</v>
      </c>
      <c r="AT77" t="s">
        <v>1794</v>
      </c>
      <c r="AU77">
        <v>2021</v>
      </c>
      <c r="AV77">
        <v>2</v>
      </c>
      <c r="AW77" t="s">
        <v>74</v>
      </c>
      <c r="AX77" t="s">
        <v>74</v>
      </c>
      <c r="AY77" t="s">
        <v>74</v>
      </c>
      <c r="AZ77" t="s">
        <v>74</v>
      </c>
      <c r="BA77" t="s">
        <v>74</v>
      </c>
      <c r="BB77" t="s">
        <v>74</v>
      </c>
      <c r="BC77" t="s">
        <v>74</v>
      </c>
      <c r="BD77">
        <v>756101</v>
      </c>
      <c r="BE77" t="s">
        <v>1832</v>
      </c>
      <c r="BF77" t="str">
        <f>HYPERLINK("http://dx.doi.org/10.3389/fanim.2021.756101","http://dx.doi.org/10.3389/fanim.2021.756101")</f>
        <v>http://dx.doi.org/10.3389/fanim.2021.756101</v>
      </c>
      <c r="BG77" t="s">
        <v>74</v>
      </c>
      <c r="BH77" t="s">
        <v>74</v>
      </c>
      <c r="BI77">
        <v>14</v>
      </c>
      <c r="BJ77" t="s">
        <v>1833</v>
      </c>
      <c r="BK77" t="s">
        <v>1629</v>
      </c>
      <c r="BL77" t="s">
        <v>1834</v>
      </c>
      <c r="BM77" t="s">
        <v>1835</v>
      </c>
      <c r="BN77" t="s">
        <v>74</v>
      </c>
      <c r="BO77" t="s">
        <v>1094</v>
      </c>
      <c r="BP77" t="s">
        <v>74</v>
      </c>
      <c r="BQ77" t="s">
        <v>74</v>
      </c>
      <c r="BR77" t="s">
        <v>105</v>
      </c>
      <c r="BS77" t="s">
        <v>1836</v>
      </c>
      <c r="BT77" t="str">
        <f>HYPERLINK("https%3A%2F%2Fwww.webofscience.com%2Fwos%2Fwoscc%2Ffull-record%2FWOS:001006273400001","View Full Record in Web of Science")</f>
        <v>View Full Record in Web of Science</v>
      </c>
    </row>
    <row r="78" spans="1:72" x14ac:dyDescent="0.15">
      <c r="A78" t="s">
        <v>72</v>
      </c>
      <c r="B78" t="s">
        <v>1837</v>
      </c>
      <c r="C78" t="s">
        <v>74</v>
      </c>
      <c r="D78" t="s">
        <v>74</v>
      </c>
      <c r="E78" t="s">
        <v>74</v>
      </c>
      <c r="F78" t="s">
        <v>1838</v>
      </c>
      <c r="G78" t="s">
        <v>74</v>
      </c>
      <c r="H78" t="s">
        <v>74</v>
      </c>
      <c r="I78" t="s">
        <v>1839</v>
      </c>
      <c r="J78" t="s">
        <v>1840</v>
      </c>
      <c r="K78" t="s">
        <v>74</v>
      </c>
      <c r="L78" t="s">
        <v>74</v>
      </c>
      <c r="M78" t="s">
        <v>78</v>
      </c>
      <c r="N78" t="s">
        <v>79</v>
      </c>
      <c r="O78" t="s">
        <v>74</v>
      </c>
      <c r="P78" t="s">
        <v>74</v>
      </c>
      <c r="Q78" t="s">
        <v>74</v>
      </c>
      <c r="R78" t="s">
        <v>74</v>
      </c>
      <c r="S78" t="s">
        <v>74</v>
      </c>
      <c r="T78" t="s">
        <v>1841</v>
      </c>
      <c r="U78" t="s">
        <v>1842</v>
      </c>
      <c r="V78" t="s">
        <v>1843</v>
      </c>
      <c r="W78" t="s">
        <v>1844</v>
      </c>
      <c r="X78" t="s">
        <v>1845</v>
      </c>
      <c r="Y78" t="s">
        <v>1846</v>
      </c>
      <c r="Z78" t="s">
        <v>1847</v>
      </c>
      <c r="AA78" t="s">
        <v>1848</v>
      </c>
      <c r="AB78" t="s">
        <v>1849</v>
      </c>
      <c r="AC78" t="s">
        <v>1850</v>
      </c>
      <c r="AD78" t="s">
        <v>1850</v>
      </c>
      <c r="AE78" t="s">
        <v>1851</v>
      </c>
      <c r="AF78" t="s">
        <v>74</v>
      </c>
      <c r="AG78">
        <v>94</v>
      </c>
      <c r="AH78">
        <v>13</v>
      </c>
      <c r="AI78">
        <v>13</v>
      </c>
      <c r="AJ78">
        <v>3</v>
      </c>
      <c r="AK78">
        <v>7</v>
      </c>
      <c r="AL78" t="s">
        <v>1852</v>
      </c>
      <c r="AM78" t="s">
        <v>333</v>
      </c>
      <c r="AN78" t="s">
        <v>1853</v>
      </c>
      <c r="AO78" t="s">
        <v>1854</v>
      </c>
      <c r="AP78" t="s">
        <v>1855</v>
      </c>
      <c r="AQ78" t="s">
        <v>74</v>
      </c>
      <c r="AR78" t="s">
        <v>1856</v>
      </c>
      <c r="AS78" t="s">
        <v>1857</v>
      </c>
      <c r="AT78" t="s">
        <v>416</v>
      </c>
      <c r="AU78">
        <v>2022</v>
      </c>
      <c r="AV78">
        <v>120</v>
      </c>
      <c r="AW78" t="s">
        <v>74</v>
      </c>
      <c r="AX78" t="s">
        <v>74</v>
      </c>
      <c r="AY78" t="s">
        <v>74</v>
      </c>
      <c r="AZ78" t="s">
        <v>74</v>
      </c>
      <c r="BA78" t="s">
        <v>74</v>
      </c>
      <c r="BB78">
        <v>111</v>
      </c>
      <c r="BC78">
        <v>121</v>
      </c>
      <c r="BD78" t="s">
        <v>74</v>
      </c>
      <c r="BE78" t="s">
        <v>1858</v>
      </c>
      <c r="BF78" t="str">
        <f>HYPERLINK("http://dx.doi.org/10.1016/j.fsi.2021.11.020","http://dx.doi.org/10.1016/j.fsi.2021.11.020")</f>
        <v>http://dx.doi.org/10.1016/j.fsi.2021.11.020</v>
      </c>
      <c r="BG78" t="s">
        <v>74</v>
      </c>
      <c r="BH78" t="s">
        <v>263</v>
      </c>
      <c r="BI78">
        <v>11</v>
      </c>
      <c r="BJ78" t="s">
        <v>1859</v>
      </c>
      <c r="BK78" t="s">
        <v>101</v>
      </c>
      <c r="BL78" t="s">
        <v>1859</v>
      </c>
      <c r="BM78" t="s">
        <v>1860</v>
      </c>
      <c r="BN78">
        <v>34801674</v>
      </c>
      <c r="BO78" t="s">
        <v>74</v>
      </c>
      <c r="BP78" t="s">
        <v>74</v>
      </c>
      <c r="BQ78" t="s">
        <v>74</v>
      </c>
      <c r="BR78" t="s">
        <v>105</v>
      </c>
      <c r="BS78" t="s">
        <v>1861</v>
      </c>
      <c r="BT78" t="str">
        <f>HYPERLINK("https%3A%2F%2Fwww.webofscience.com%2Fwos%2Fwoscc%2Ffull-record%2FWOS:000724739600002","View Full Record in Web of Science")</f>
        <v>View Full Record in Web of Science</v>
      </c>
    </row>
    <row r="79" spans="1:72" x14ac:dyDescent="0.15">
      <c r="A79" t="s">
        <v>72</v>
      </c>
      <c r="B79" t="s">
        <v>1862</v>
      </c>
      <c r="C79" t="s">
        <v>74</v>
      </c>
      <c r="D79" t="s">
        <v>74</v>
      </c>
      <c r="E79" t="s">
        <v>74</v>
      </c>
      <c r="F79" t="s">
        <v>1863</v>
      </c>
      <c r="G79" t="s">
        <v>74</v>
      </c>
      <c r="H79" t="s">
        <v>74</v>
      </c>
      <c r="I79" t="s">
        <v>1864</v>
      </c>
      <c r="J79" t="s">
        <v>935</v>
      </c>
      <c r="K79" t="s">
        <v>74</v>
      </c>
      <c r="L79" t="s">
        <v>74</v>
      </c>
      <c r="M79" t="s">
        <v>78</v>
      </c>
      <c r="N79" t="s">
        <v>79</v>
      </c>
      <c r="O79" t="s">
        <v>74</v>
      </c>
      <c r="P79" t="s">
        <v>74</v>
      </c>
      <c r="Q79" t="s">
        <v>74</v>
      </c>
      <c r="R79" t="s">
        <v>74</v>
      </c>
      <c r="S79" t="s">
        <v>74</v>
      </c>
      <c r="T79" t="s">
        <v>1865</v>
      </c>
      <c r="U79" t="s">
        <v>1866</v>
      </c>
      <c r="V79" t="s">
        <v>1867</v>
      </c>
      <c r="W79" t="s">
        <v>1868</v>
      </c>
      <c r="X79" t="s">
        <v>1869</v>
      </c>
      <c r="Y79" t="s">
        <v>1870</v>
      </c>
      <c r="Z79" t="s">
        <v>1871</v>
      </c>
      <c r="AA79" t="s">
        <v>1872</v>
      </c>
      <c r="AB79" t="s">
        <v>1873</v>
      </c>
      <c r="AC79" t="s">
        <v>1874</v>
      </c>
      <c r="AD79" t="s">
        <v>1875</v>
      </c>
      <c r="AE79" t="s">
        <v>1876</v>
      </c>
      <c r="AF79" t="s">
        <v>74</v>
      </c>
      <c r="AG79">
        <v>40</v>
      </c>
      <c r="AH79">
        <v>1</v>
      </c>
      <c r="AI79">
        <v>1</v>
      </c>
      <c r="AJ79">
        <v>1</v>
      </c>
      <c r="AK79">
        <v>5</v>
      </c>
      <c r="AL79" t="s">
        <v>169</v>
      </c>
      <c r="AM79" t="s">
        <v>170</v>
      </c>
      <c r="AN79" t="s">
        <v>171</v>
      </c>
      <c r="AO79" t="s">
        <v>948</v>
      </c>
      <c r="AP79" t="s">
        <v>949</v>
      </c>
      <c r="AQ79" t="s">
        <v>74</v>
      </c>
      <c r="AR79" t="s">
        <v>950</v>
      </c>
      <c r="AS79" t="s">
        <v>951</v>
      </c>
      <c r="AT79" t="s">
        <v>416</v>
      </c>
      <c r="AU79">
        <v>2022</v>
      </c>
      <c r="AV79">
        <v>45</v>
      </c>
      <c r="AW79">
        <v>1</v>
      </c>
      <c r="AX79" t="s">
        <v>74</v>
      </c>
      <c r="AY79" t="s">
        <v>74</v>
      </c>
      <c r="AZ79" t="s">
        <v>74</v>
      </c>
      <c r="BA79" t="s">
        <v>74</v>
      </c>
      <c r="BB79">
        <v>59</v>
      </c>
      <c r="BC79">
        <v>69</v>
      </c>
      <c r="BD79" t="s">
        <v>74</v>
      </c>
      <c r="BE79" t="s">
        <v>1877</v>
      </c>
      <c r="BF79" t="str">
        <f>HYPERLINK("http://dx.doi.org/10.1007/s00300-021-02972-8","http://dx.doi.org/10.1007/s00300-021-02972-8")</f>
        <v>http://dx.doi.org/10.1007/s00300-021-02972-8</v>
      </c>
      <c r="BG79" t="s">
        <v>74</v>
      </c>
      <c r="BH79" t="s">
        <v>263</v>
      </c>
      <c r="BI79">
        <v>11</v>
      </c>
      <c r="BJ79" t="s">
        <v>605</v>
      </c>
      <c r="BK79" t="s">
        <v>101</v>
      </c>
      <c r="BL79" t="s">
        <v>606</v>
      </c>
      <c r="BM79" t="s">
        <v>1372</v>
      </c>
      <c r="BN79" t="s">
        <v>74</v>
      </c>
      <c r="BO79" t="s">
        <v>74</v>
      </c>
      <c r="BP79" t="s">
        <v>74</v>
      </c>
      <c r="BQ79" t="s">
        <v>74</v>
      </c>
      <c r="BR79" t="s">
        <v>105</v>
      </c>
      <c r="BS79" t="s">
        <v>1878</v>
      </c>
      <c r="BT79" t="str">
        <f>HYPERLINK("https%3A%2F%2Fwww.webofscience.com%2Fwos%2Fwoscc%2Ffull-record%2FWOS:000720584500002","View Full Record in Web of Science")</f>
        <v>View Full Record in Web of Science</v>
      </c>
    </row>
    <row r="80" spans="1:72" x14ac:dyDescent="0.15">
      <c r="A80" t="s">
        <v>72</v>
      </c>
      <c r="B80" t="s">
        <v>1879</v>
      </c>
      <c r="C80" t="s">
        <v>74</v>
      </c>
      <c r="D80" t="s">
        <v>74</v>
      </c>
      <c r="E80" t="s">
        <v>74</v>
      </c>
      <c r="F80" t="s">
        <v>1880</v>
      </c>
      <c r="G80" t="s">
        <v>74</v>
      </c>
      <c r="H80" t="s">
        <v>74</v>
      </c>
      <c r="I80" t="s">
        <v>1881</v>
      </c>
      <c r="J80" t="s">
        <v>1882</v>
      </c>
      <c r="K80" t="s">
        <v>74</v>
      </c>
      <c r="L80" t="s">
        <v>74</v>
      </c>
      <c r="M80" t="s">
        <v>78</v>
      </c>
      <c r="N80" t="s">
        <v>79</v>
      </c>
      <c r="O80" t="s">
        <v>74</v>
      </c>
      <c r="P80" t="s">
        <v>74</v>
      </c>
      <c r="Q80" t="s">
        <v>74</v>
      </c>
      <c r="R80" t="s">
        <v>74</v>
      </c>
      <c r="S80" t="s">
        <v>74</v>
      </c>
      <c r="T80" t="s">
        <v>1883</v>
      </c>
      <c r="U80" t="s">
        <v>1884</v>
      </c>
      <c r="V80" t="s">
        <v>1885</v>
      </c>
      <c r="W80" t="s">
        <v>1886</v>
      </c>
      <c r="X80" t="s">
        <v>1887</v>
      </c>
      <c r="Y80" t="s">
        <v>1888</v>
      </c>
      <c r="Z80" t="s">
        <v>1889</v>
      </c>
      <c r="AA80" t="s">
        <v>1890</v>
      </c>
      <c r="AB80" t="s">
        <v>1891</v>
      </c>
      <c r="AC80" t="s">
        <v>1892</v>
      </c>
      <c r="AD80" t="s">
        <v>1893</v>
      </c>
      <c r="AE80" t="s">
        <v>1894</v>
      </c>
      <c r="AF80" t="s">
        <v>74</v>
      </c>
      <c r="AG80">
        <v>84</v>
      </c>
      <c r="AH80">
        <v>7</v>
      </c>
      <c r="AI80">
        <v>7</v>
      </c>
      <c r="AJ80">
        <v>3</v>
      </c>
      <c r="AK80">
        <v>31</v>
      </c>
      <c r="AL80" t="s">
        <v>572</v>
      </c>
      <c r="AM80" t="s">
        <v>573</v>
      </c>
      <c r="AN80" t="s">
        <v>574</v>
      </c>
      <c r="AO80" t="s">
        <v>1895</v>
      </c>
      <c r="AP80" t="s">
        <v>1896</v>
      </c>
      <c r="AQ80" t="s">
        <v>74</v>
      </c>
      <c r="AR80" t="s">
        <v>1897</v>
      </c>
      <c r="AS80" t="s">
        <v>1898</v>
      </c>
      <c r="AT80" t="s">
        <v>525</v>
      </c>
      <c r="AU80">
        <v>2022</v>
      </c>
      <c r="AV80">
        <v>28</v>
      </c>
      <c r="AW80">
        <v>3</v>
      </c>
      <c r="AX80" t="s">
        <v>74</v>
      </c>
      <c r="AY80" t="s">
        <v>74</v>
      </c>
      <c r="AZ80" t="s">
        <v>74</v>
      </c>
      <c r="BA80" t="s">
        <v>74</v>
      </c>
      <c r="BB80">
        <v>816</v>
      </c>
      <c r="BC80">
        <v>828</v>
      </c>
      <c r="BD80" t="s">
        <v>74</v>
      </c>
      <c r="BE80" t="s">
        <v>1899</v>
      </c>
      <c r="BF80" t="str">
        <f>HYPERLINK("http://dx.doi.org/10.1111/gcb.15979","http://dx.doi.org/10.1111/gcb.15979")</f>
        <v>http://dx.doi.org/10.1111/gcb.15979</v>
      </c>
      <c r="BG80" t="s">
        <v>74</v>
      </c>
      <c r="BH80" t="s">
        <v>263</v>
      </c>
      <c r="BI80">
        <v>13</v>
      </c>
      <c r="BJ80" t="s">
        <v>1900</v>
      </c>
      <c r="BK80" t="s">
        <v>101</v>
      </c>
      <c r="BL80" t="s">
        <v>606</v>
      </c>
      <c r="BM80" t="s">
        <v>1901</v>
      </c>
      <c r="BN80">
        <v>34747548</v>
      </c>
      <c r="BO80" t="s">
        <v>1902</v>
      </c>
      <c r="BP80" t="s">
        <v>74</v>
      </c>
      <c r="BQ80" t="s">
        <v>74</v>
      </c>
      <c r="BR80" t="s">
        <v>105</v>
      </c>
      <c r="BS80" t="s">
        <v>1903</v>
      </c>
      <c r="BT80" t="str">
        <f>HYPERLINK("https%3A%2F%2Fwww.webofscience.com%2Fwos%2Fwoscc%2Ffull-record%2FWOS:000720520300001","View Full Record in Web of Science")</f>
        <v>View Full Record in Web of Science</v>
      </c>
    </row>
    <row r="81" spans="1:72" x14ac:dyDescent="0.15">
      <c r="A81" t="s">
        <v>72</v>
      </c>
      <c r="B81" t="s">
        <v>1904</v>
      </c>
      <c r="C81" t="s">
        <v>74</v>
      </c>
      <c r="D81" t="s">
        <v>74</v>
      </c>
      <c r="E81" t="s">
        <v>74</v>
      </c>
      <c r="F81" t="s">
        <v>1905</v>
      </c>
      <c r="G81" t="s">
        <v>74</v>
      </c>
      <c r="H81" t="s">
        <v>74</v>
      </c>
      <c r="I81" t="s">
        <v>1906</v>
      </c>
      <c r="J81" t="s">
        <v>1907</v>
      </c>
      <c r="K81" t="s">
        <v>74</v>
      </c>
      <c r="L81" t="s">
        <v>74</v>
      </c>
      <c r="M81" t="s">
        <v>78</v>
      </c>
      <c r="N81" t="s">
        <v>79</v>
      </c>
      <c r="O81" t="s">
        <v>74</v>
      </c>
      <c r="P81" t="s">
        <v>74</v>
      </c>
      <c r="Q81" t="s">
        <v>74</v>
      </c>
      <c r="R81" t="s">
        <v>74</v>
      </c>
      <c r="S81" t="s">
        <v>74</v>
      </c>
      <c r="T81" t="s">
        <v>1908</v>
      </c>
      <c r="U81" t="s">
        <v>1909</v>
      </c>
      <c r="V81" t="s">
        <v>1910</v>
      </c>
      <c r="W81" t="s">
        <v>1911</v>
      </c>
      <c r="X81" t="s">
        <v>1912</v>
      </c>
      <c r="Y81" t="s">
        <v>1913</v>
      </c>
      <c r="Z81" t="s">
        <v>1914</v>
      </c>
      <c r="AA81" t="s">
        <v>1915</v>
      </c>
      <c r="AB81" t="s">
        <v>1916</v>
      </c>
      <c r="AC81" t="s">
        <v>1917</v>
      </c>
      <c r="AD81" t="s">
        <v>1918</v>
      </c>
      <c r="AE81" t="s">
        <v>1919</v>
      </c>
      <c r="AF81" t="s">
        <v>74</v>
      </c>
      <c r="AG81">
        <v>57</v>
      </c>
      <c r="AH81">
        <v>0</v>
      </c>
      <c r="AI81">
        <v>0</v>
      </c>
      <c r="AJ81">
        <v>1</v>
      </c>
      <c r="AK81">
        <v>1</v>
      </c>
      <c r="AL81" t="s">
        <v>383</v>
      </c>
      <c r="AM81" t="s">
        <v>384</v>
      </c>
      <c r="AN81" t="s">
        <v>385</v>
      </c>
      <c r="AO81" t="s">
        <v>74</v>
      </c>
      <c r="AP81" t="s">
        <v>1920</v>
      </c>
      <c r="AQ81" t="s">
        <v>74</v>
      </c>
      <c r="AR81" t="s">
        <v>1921</v>
      </c>
      <c r="AS81" t="s">
        <v>1922</v>
      </c>
      <c r="AT81" t="s">
        <v>1923</v>
      </c>
      <c r="AU81">
        <v>2021</v>
      </c>
      <c r="AV81">
        <v>2</v>
      </c>
      <c r="AW81" t="s">
        <v>74</v>
      </c>
      <c r="AX81" t="s">
        <v>74</v>
      </c>
      <c r="AY81" t="s">
        <v>74</v>
      </c>
      <c r="AZ81" t="s">
        <v>74</v>
      </c>
      <c r="BA81" t="s">
        <v>74</v>
      </c>
      <c r="BB81" t="s">
        <v>74</v>
      </c>
      <c r="BC81" t="s">
        <v>74</v>
      </c>
      <c r="BD81">
        <v>647798</v>
      </c>
      <c r="BE81" t="s">
        <v>1924</v>
      </c>
      <c r="BF81" t="str">
        <f>HYPERLINK("http://dx.doi.org/10.3389/fcosc.2021.647798","http://dx.doi.org/10.3389/fcosc.2021.647798")</f>
        <v>http://dx.doi.org/10.3389/fcosc.2021.647798</v>
      </c>
      <c r="BG81" t="s">
        <v>74</v>
      </c>
      <c r="BH81" t="s">
        <v>74</v>
      </c>
      <c r="BI81">
        <v>17</v>
      </c>
      <c r="BJ81" t="s">
        <v>1900</v>
      </c>
      <c r="BK81" t="s">
        <v>1629</v>
      </c>
      <c r="BL81" t="s">
        <v>606</v>
      </c>
      <c r="BM81" t="s">
        <v>1925</v>
      </c>
      <c r="BN81" t="s">
        <v>74</v>
      </c>
      <c r="BO81" t="s">
        <v>210</v>
      </c>
      <c r="BP81" t="s">
        <v>74</v>
      </c>
      <c r="BQ81" t="s">
        <v>74</v>
      </c>
      <c r="BR81" t="s">
        <v>105</v>
      </c>
      <c r="BS81" t="s">
        <v>1926</v>
      </c>
      <c r="BT81" t="str">
        <f>HYPERLINK("https%3A%2F%2Fwww.webofscience.com%2Fwos%2Fwoscc%2Ffull-record%2FWOS:001004314500001","View Full Record in Web of Science")</f>
        <v>View Full Record in Web of Science</v>
      </c>
    </row>
    <row r="82" spans="1:72" x14ac:dyDescent="0.15">
      <c r="A82" t="s">
        <v>72</v>
      </c>
      <c r="B82" t="s">
        <v>1927</v>
      </c>
      <c r="C82" t="s">
        <v>74</v>
      </c>
      <c r="D82" t="s">
        <v>74</v>
      </c>
      <c r="E82" t="s">
        <v>74</v>
      </c>
      <c r="F82" t="s">
        <v>1928</v>
      </c>
      <c r="G82" t="s">
        <v>74</v>
      </c>
      <c r="H82" t="s">
        <v>74</v>
      </c>
      <c r="I82" t="s">
        <v>1929</v>
      </c>
      <c r="J82" t="s">
        <v>372</v>
      </c>
      <c r="K82" t="s">
        <v>74</v>
      </c>
      <c r="L82" t="s">
        <v>74</v>
      </c>
      <c r="M82" t="s">
        <v>78</v>
      </c>
      <c r="N82" t="s">
        <v>79</v>
      </c>
      <c r="O82" t="s">
        <v>74</v>
      </c>
      <c r="P82" t="s">
        <v>74</v>
      </c>
      <c r="Q82" t="s">
        <v>74</v>
      </c>
      <c r="R82" t="s">
        <v>74</v>
      </c>
      <c r="S82" t="s">
        <v>74</v>
      </c>
      <c r="T82" t="s">
        <v>1930</v>
      </c>
      <c r="U82" t="s">
        <v>1931</v>
      </c>
      <c r="V82" t="s">
        <v>1932</v>
      </c>
      <c r="W82" t="s">
        <v>1933</v>
      </c>
      <c r="X82" t="s">
        <v>1934</v>
      </c>
      <c r="Y82" t="s">
        <v>1935</v>
      </c>
      <c r="Z82" t="s">
        <v>1936</v>
      </c>
      <c r="AA82" t="s">
        <v>1937</v>
      </c>
      <c r="AB82" t="s">
        <v>1938</v>
      </c>
      <c r="AC82" t="s">
        <v>1939</v>
      </c>
      <c r="AD82" t="s">
        <v>1940</v>
      </c>
      <c r="AE82" t="s">
        <v>1941</v>
      </c>
      <c r="AF82" t="s">
        <v>74</v>
      </c>
      <c r="AG82">
        <v>87</v>
      </c>
      <c r="AH82">
        <v>4</v>
      </c>
      <c r="AI82">
        <v>4</v>
      </c>
      <c r="AJ82">
        <v>2</v>
      </c>
      <c r="AK82">
        <v>8</v>
      </c>
      <c r="AL82" t="s">
        <v>383</v>
      </c>
      <c r="AM82" t="s">
        <v>384</v>
      </c>
      <c r="AN82" t="s">
        <v>385</v>
      </c>
      <c r="AO82" t="s">
        <v>74</v>
      </c>
      <c r="AP82" t="s">
        <v>386</v>
      </c>
      <c r="AQ82" t="s">
        <v>74</v>
      </c>
      <c r="AR82" t="s">
        <v>387</v>
      </c>
      <c r="AS82" t="s">
        <v>388</v>
      </c>
      <c r="AT82" t="s">
        <v>1923</v>
      </c>
      <c r="AU82">
        <v>2021</v>
      </c>
      <c r="AV82">
        <v>8</v>
      </c>
      <c r="AW82" t="s">
        <v>74</v>
      </c>
      <c r="AX82" t="s">
        <v>74</v>
      </c>
      <c r="AY82" t="s">
        <v>74</v>
      </c>
      <c r="AZ82" t="s">
        <v>74</v>
      </c>
      <c r="BA82" t="s">
        <v>74</v>
      </c>
      <c r="BB82" t="s">
        <v>74</v>
      </c>
      <c r="BC82" t="s">
        <v>74</v>
      </c>
      <c r="BD82">
        <v>749078</v>
      </c>
      <c r="BE82" t="s">
        <v>1942</v>
      </c>
      <c r="BF82" t="str">
        <f>HYPERLINK("http://dx.doi.org/10.3389/fmars.2021.749078","http://dx.doi.org/10.3389/fmars.2021.749078")</f>
        <v>http://dx.doi.org/10.3389/fmars.2021.749078</v>
      </c>
      <c r="BG82" t="s">
        <v>74</v>
      </c>
      <c r="BH82" t="s">
        <v>74</v>
      </c>
      <c r="BI82">
        <v>25</v>
      </c>
      <c r="BJ82" t="s">
        <v>391</v>
      </c>
      <c r="BK82" t="s">
        <v>101</v>
      </c>
      <c r="BL82" t="s">
        <v>392</v>
      </c>
      <c r="BM82" t="s">
        <v>1943</v>
      </c>
      <c r="BN82" t="s">
        <v>74</v>
      </c>
      <c r="BO82" t="s">
        <v>394</v>
      </c>
      <c r="BP82" t="s">
        <v>74</v>
      </c>
      <c r="BQ82" t="s">
        <v>74</v>
      </c>
      <c r="BR82" t="s">
        <v>105</v>
      </c>
      <c r="BS82" t="s">
        <v>1944</v>
      </c>
      <c r="BT82" t="str">
        <f>HYPERLINK("https%3A%2F%2Fwww.webofscience.com%2Fwos%2Fwoscc%2Ffull-record%2FWOS:000883848800001","View Full Record in Web of Science")</f>
        <v>View Full Record in Web of Science</v>
      </c>
    </row>
    <row r="83" spans="1:72" x14ac:dyDescent="0.15">
      <c r="A83" t="s">
        <v>72</v>
      </c>
      <c r="B83" t="s">
        <v>1945</v>
      </c>
      <c r="C83" t="s">
        <v>74</v>
      </c>
      <c r="D83" t="s">
        <v>74</v>
      </c>
      <c r="E83" t="s">
        <v>74</v>
      </c>
      <c r="F83" t="s">
        <v>1946</v>
      </c>
      <c r="G83" t="s">
        <v>74</v>
      </c>
      <c r="H83" t="s">
        <v>74</v>
      </c>
      <c r="I83" t="s">
        <v>1947</v>
      </c>
      <c r="J83" t="s">
        <v>1234</v>
      </c>
      <c r="K83" t="s">
        <v>74</v>
      </c>
      <c r="L83" t="s">
        <v>74</v>
      </c>
      <c r="M83" t="s">
        <v>78</v>
      </c>
      <c r="N83" t="s">
        <v>79</v>
      </c>
      <c r="O83" t="s">
        <v>74</v>
      </c>
      <c r="P83" t="s">
        <v>74</v>
      </c>
      <c r="Q83" t="s">
        <v>74</v>
      </c>
      <c r="R83" t="s">
        <v>74</v>
      </c>
      <c r="S83" t="s">
        <v>74</v>
      </c>
      <c r="T83" t="s">
        <v>1948</v>
      </c>
      <c r="U83" t="s">
        <v>1949</v>
      </c>
      <c r="V83" t="s">
        <v>1950</v>
      </c>
      <c r="W83" t="s">
        <v>1951</v>
      </c>
      <c r="X83" t="s">
        <v>1952</v>
      </c>
      <c r="Y83" t="s">
        <v>1953</v>
      </c>
      <c r="Z83" t="s">
        <v>1954</v>
      </c>
      <c r="AA83" t="s">
        <v>1955</v>
      </c>
      <c r="AB83" t="s">
        <v>1956</v>
      </c>
      <c r="AC83" t="s">
        <v>1957</v>
      </c>
      <c r="AD83" t="s">
        <v>1958</v>
      </c>
      <c r="AE83" t="s">
        <v>1959</v>
      </c>
      <c r="AF83" t="s">
        <v>74</v>
      </c>
      <c r="AG83">
        <v>49</v>
      </c>
      <c r="AH83">
        <v>12</v>
      </c>
      <c r="AI83">
        <v>12</v>
      </c>
      <c r="AJ83">
        <v>7</v>
      </c>
      <c r="AK83">
        <v>13</v>
      </c>
      <c r="AL83" t="s">
        <v>383</v>
      </c>
      <c r="AM83" t="s">
        <v>384</v>
      </c>
      <c r="AN83" t="s">
        <v>385</v>
      </c>
      <c r="AO83" t="s">
        <v>74</v>
      </c>
      <c r="AP83" t="s">
        <v>1243</v>
      </c>
      <c r="AQ83" t="s">
        <v>74</v>
      </c>
      <c r="AR83" t="s">
        <v>1244</v>
      </c>
      <c r="AS83" t="s">
        <v>1245</v>
      </c>
      <c r="AT83" t="s">
        <v>1923</v>
      </c>
      <c r="AU83">
        <v>2021</v>
      </c>
      <c r="AV83">
        <v>12</v>
      </c>
      <c r="AW83" t="s">
        <v>74</v>
      </c>
      <c r="AX83" t="s">
        <v>74</v>
      </c>
      <c r="AY83" t="s">
        <v>74</v>
      </c>
      <c r="AZ83" t="s">
        <v>74</v>
      </c>
      <c r="BA83" t="s">
        <v>74</v>
      </c>
      <c r="BB83" t="s">
        <v>74</v>
      </c>
      <c r="BC83" t="s">
        <v>74</v>
      </c>
      <c r="BD83">
        <v>713189</v>
      </c>
      <c r="BE83" t="s">
        <v>1960</v>
      </c>
      <c r="BF83" t="str">
        <f>HYPERLINK("http://dx.doi.org/10.3389/fmicb.2021.713189","http://dx.doi.org/10.3389/fmicb.2021.713189")</f>
        <v>http://dx.doi.org/10.3389/fmicb.2021.713189</v>
      </c>
      <c r="BG83" t="s">
        <v>74</v>
      </c>
      <c r="BH83" t="s">
        <v>74</v>
      </c>
      <c r="BI83">
        <v>14</v>
      </c>
      <c r="BJ83" t="s">
        <v>975</v>
      </c>
      <c r="BK83" t="s">
        <v>101</v>
      </c>
      <c r="BL83" t="s">
        <v>975</v>
      </c>
      <c r="BM83" t="s">
        <v>1961</v>
      </c>
      <c r="BN83">
        <v>34867840</v>
      </c>
      <c r="BO83" t="s">
        <v>1094</v>
      </c>
      <c r="BP83" t="s">
        <v>74</v>
      </c>
      <c r="BQ83" t="s">
        <v>74</v>
      </c>
      <c r="BR83" t="s">
        <v>105</v>
      </c>
      <c r="BS83" t="s">
        <v>1962</v>
      </c>
      <c r="BT83" t="str">
        <f>HYPERLINK("https%3A%2F%2Fwww.webofscience.com%2Fwos%2Fwoscc%2Ffull-record%2FWOS:001027066400001","View Full Record in Web of Science")</f>
        <v>View Full Record in Web of Science</v>
      </c>
    </row>
    <row r="84" spans="1:72" x14ac:dyDescent="0.15">
      <c r="A84" t="s">
        <v>72</v>
      </c>
      <c r="B84" t="s">
        <v>1963</v>
      </c>
      <c r="C84" t="s">
        <v>74</v>
      </c>
      <c r="D84" t="s">
        <v>74</v>
      </c>
      <c r="E84" t="s">
        <v>74</v>
      </c>
      <c r="F84" t="s">
        <v>1964</v>
      </c>
      <c r="G84" t="s">
        <v>74</v>
      </c>
      <c r="H84" t="s">
        <v>74</v>
      </c>
      <c r="I84" t="s">
        <v>1965</v>
      </c>
      <c r="J84" t="s">
        <v>981</v>
      </c>
      <c r="K84" t="s">
        <v>74</v>
      </c>
      <c r="L84" t="s">
        <v>74</v>
      </c>
      <c r="M84" t="s">
        <v>78</v>
      </c>
      <c r="N84" t="s">
        <v>79</v>
      </c>
      <c r="O84" t="s">
        <v>74</v>
      </c>
      <c r="P84" t="s">
        <v>74</v>
      </c>
      <c r="Q84" t="s">
        <v>74</v>
      </c>
      <c r="R84" t="s">
        <v>74</v>
      </c>
      <c r="S84" t="s">
        <v>74</v>
      </c>
      <c r="T84" t="s">
        <v>1966</v>
      </c>
      <c r="U84" t="s">
        <v>1967</v>
      </c>
      <c r="V84" t="s">
        <v>1968</v>
      </c>
      <c r="W84" t="s">
        <v>1969</v>
      </c>
      <c r="X84" t="s">
        <v>1970</v>
      </c>
      <c r="Y84" t="s">
        <v>1971</v>
      </c>
      <c r="Z84" t="s">
        <v>1972</v>
      </c>
      <c r="AA84" t="s">
        <v>1973</v>
      </c>
      <c r="AB84" t="s">
        <v>1974</v>
      </c>
      <c r="AC84" t="s">
        <v>1975</v>
      </c>
      <c r="AD84" t="s">
        <v>1976</v>
      </c>
      <c r="AE84" t="s">
        <v>1977</v>
      </c>
      <c r="AF84" t="s">
        <v>74</v>
      </c>
      <c r="AG84">
        <v>56</v>
      </c>
      <c r="AH84">
        <v>4</v>
      </c>
      <c r="AI84">
        <v>4</v>
      </c>
      <c r="AJ84">
        <v>1</v>
      </c>
      <c r="AK84">
        <v>4</v>
      </c>
      <c r="AL84" t="s">
        <v>666</v>
      </c>
      <c r="AM84" t="s">
        <v>994</v>
      </c>
      <c r="AN84" t="s">
        <v>995</v>
      </c>
      <c r="AO84" t="s">
        <v>996</v>
      </c>
      <c r="AP84" t="s">
        <v>997</v>
      </c>
      <c r="AQ84" t="s">
        <v>74</v>
      </c>
      <c r="AR84" t="s">
        <v>998</v>
      </c>
      <c r="AS84" t="s">
        <v>999</v>
      </c>
      <c r="AT84" t="s">
        <v>1978</v>
      </c>
      <c r="AU84">
        <v>2022</v>
      </c>
      <c r="AV84">
        <v>68</v>
      </c>
      <c r="AW84">
        <v>269</v>
      </c>
      <c r="AX84" t="s">
        <v>74</v>
      </c>
      <c r="AY84" t="s">
        <v>74</v>
      </c>
      <c r="AZ84" t="s">
        <v>74</v>
      </c>
      <c r="BA84" t="s">
        <v>74</v>
      </c>
      <c r="BB84">
        <v>547</v>
      </c>
      <c r="BC84">
        <v>556</v>
      </c>
      <c r="BD84" t="s">
        <v>1979</v>
      </c>
      <c r="BE84" t="s">
        <v>1980</v>
      </c>
      <c r="BF84" t="str">
        <f>HYPERLINK("http://dx.doi.org/10.1017/jog.2021.115","http://dx.doi.org/10.1017/jog.2021.115")</f>
        <v>http://dx.doi.org/10.1017/jog.2021.115</v>
      </c>
      <c r="BG84" t="s">
        <v>74</v>
      </c>
      <c r="BH84" t="s">
        <v>263</v>
      </c>
      <c r="BI84">
        <v>10</v>
      </c>
      <c r="BJ84" t="s">
        <v>340</v>
      </c>
      <c r="BK84" t="s">
        <v>101</v>
      </c>
      <c r="BL84" t="s">
        <v>341</v>
      </c>
      <c r="BM84" t="s">
        <v>1981</v>
      </c>
      <c r="BN84" t="s">
        <v>74</v>
      </c>
      <c r="BO84" t="s">
        <v>210</v>
      </c>
      <c r="BP84" t="s">
        <v>74</v>
      </c>
      <c r="BQ84" t="s">
        <v>74</v>
      </c>
      <c r="BR84" t="s">
        <v>105</v>
      </c>
      <c r="BS84" t="s">
        <v>1982</v>
      </c>
      <c r="BT84" t="str">
        <f>HYPERLINK("https%3A%2F%2Fwww.webofscience.com%2Fwos%2Fwoscc%2Ffull-record%2FWOS:000776410200001","View Full Record in Web of Science")</f>
        <v>View Full Record in Web of Science</v>
      </c>
    </row>
    <row r="85" spans="1:72" x14ac:dyDescent="0.15">
      <c r="A85" t="s">
        <v>72</v>
      </c>
      <c r="B85" t="s">
        <v>1983</v>
      </c>
      <c r="C85" t="s">
        <v>74</v>
      </c>
      <c r="D85" t="s">
        <v>74</v>
      </c>
      <c r="E85" t="s">
        <v>74</v>
      </c>
      <c r="F85" t="s">
        <v>1984</v>
      </c>
      <c r="G85" t="s">
        <v>74</v>
      </c>
      <c r="H85" t="s">
        <v>74</v>
      </c>
      <c r="I85" t="s">
        <v>1985</v>
      </c>
      <c r="J85" t="s">
        <v>1986</v>
      </c>
      <c r="K85" t="s">
        <v>74</v>
      </c>
      <c r="L85" t="s">
        <v>74</v>
      </c>
      <c r="M85" t="s">
        <v>78</v>
      </c>
      <c r="N85" t="s">
        <v>79</v>
      </c>
      <c r="O85" t="s">
        <v>74</v>
      </c>
      <c r="P85" t="s">
        <v>74</v>
      </c>
      <c r="Q85" t="s">
        <v>74</v>
      </c>
      <c r="R85" t="s">
        <v>74</v>
      </c>
      <c r="S85" t="s">
        <v>74</v>
      </c>
      <c r="T85" t="s">
        <v>1987</v>
      </c>
      <c r="U85" t="s">
        <v>1988</v>
      </c>
      <c r="V85" t="s">
        <v>1989</v>
      </c>
      <c r="W85" t="s">
        <v>1990</v>
      </c>
      <c r="X85" t="s">
        <v>1991</v>
      </c>
      <c r="Y85" t="s">
        <v>1992</v>
      </c>
      <c r="Z85" t="s">
        <v>1993</v>
      </c>
      <c r="AA85" t="s">
        <v>74</v>
      </c>
      <c r="AB85" t="s">
        <v>1994</v>
      </c>
      <c r="AC85" t="s">
        <v>1995</v>
      </c>
      <c r="AD85" t="s">
        <v>1995</v>
      </c>
      <c r="AE85" t="s">
        <v>1996</v>
      </c>
      <c r="AF85" t="s">
        <v>74</v>
      </c>
      <c r="AG85">
        <v>33</v>
      </c>
      <c r="AH85">
        <v>0</v>
      </c>
      <c r="AI85">
        <v>1</v>
      </c>
      <c r="AJ85">
        <v>2</v>
      </c>
      <c r="AK85">
        <v>15</v>
      </c>
      <c r="AL85" t="s">
        <v>1997</v>
      </c>
      <c r="AM85" t="s">
        <v>1998</v>
      </c>
      <c r="AN85" t="s">
        <v>1999</v>
      </c>
      <c r="AO85" t="s">
        <v>2000</v>
      </c>
      <c r="AP85" t="s">
        <v>2001</v>
      </c>
      <c r="AQ85" t="s">
        <v>74</v>
      </c>
      <c r="AR85" t="s">
        <v>2002</v>
      </c>
      <c r="AS85" t="s">
        <v>2003</v>
      </c>
      <c r="AT85" t="s">
        <v>2004</v>
      </c>
      <c r="AU85">
        <v>2022</v>
      </c>
      <c r="AV85">
        <v>51</v>
      </c>
      <c r="AW85">
        <v>1</v>
      </c>
      <c r="AX85" t="s">
        <v>74</v>
      </c>
      <c r="AY85" t="s">
        <v>74</v>
      </c>
      <c r="AZ85" t="s">
        <v>74</v>
      </c>
      <c r="BA85" t="s">
        <v>74</v>
      </c>
      <c r="BB85">
        <v>204</v>
      </c>
      <c r="BC85">
        <v>209</v>
      </c>
      <c r="BD85" t="s">
        <v>74</v>
      </c>
      <c r="BE85" t="s">
        <v>2005</v>
      </c>
      <c r="BF85" t="str">
        <f>HYPERLINK("http://dx.doi.org/10.1093/ee/nvab122","http://dx.doi.org/10.1093/ee/nvab122")</f>
        <v>http://dx.doi.org/10.1093/ee/nvab122</v>
      </c>
      <c r="BG85" t="s">
        <v>74</v>
      </c>
      <c r="BH85" t="s">
        <v>263</v>
      </c>
      <c r="BI85">
        <v>6</v>
      </c>
      <c r="BJ85" t="s">
        <v>2006</v>
      </c>
      <c r="BK85" t="s">
        <v>101</v>
      </c>
      <c r="BL85" t="s">
        <v>2006</v>
      </c>
      <c r="BM85" t="s">
        <v>2007</v>
      </c>
      <c r="BN85">
        <v>34792115</v>
      </c>
      <c r="BO85" t="s">
        <v>74</v>
      </c>
      <c r="BP85" t="s">
        <v>74</v>
      </c>
      <c r="BQ85" t="s">
        <v>74</v>
      </c>
      <c r="BR85" t="s">
        <v>105</v>
      </c>
      <c r="BS85" t="s">
        <v>2008</v>
      </c>
      <c r="BT85" t="str">
        <f>HYPERLINK("https%3A%2F%2Fwww.webofscience.com%2Fwos%2Fwoscc%2Ffull-record%2FWOS:000755978700021","View Full Record in Web of Science")</f>
        <v>View Full Record in Web of Science</v>
      </c>
    </row>
    <row r="86" spans="1:72" x14ac:dyDescent="0.15">
      <c r="A86" t="s">
        <v>72</v>
      </c>
      <c r="B86" t="s">
        <v>2009</v>
      </c>
      <c r="C86" t="s">
        <v>74</v>
      </c>
      <c r="D86" t="s">
        <v>74</v>
      </c>
      <c r="E86" t="s">
        <v>74</v>
      </c>
      <c r="F86" t="s">
        <v>2010</v>
      </c>
      <c r="G86" t="s">
        <v>74</v>
      </c>
      <c r="H86" t="s">
        <v>74</v>
      </c>
      <c r="I86" t="s">
        <v>2011</v>
      </c>
      <c r="J86" t="s">
        <v>372</v>
      </c>
      <c r="K86" t="s">
        <v>74</v>
      </c>
      <c r="L86" t="s">
        <v>74</v>
      </c>
      <c r="M86" t="s">
        <v>78</v>
      </c>
      <c r="N86" t="s">
        <v>373</v>
      </c>
      <c r="O86" t="s">
        <v>74</v>
      </c>
      <c r="P86" t="s">
        <v>74</v>
      </c>
      <c r="Q86" t="s">
        <v>74</v>
      </c>
      <c r="R86" t="s">
        <v>74</v>
      </c>
      <c r="S86" t="s">
        <v>74</v>
      </c>
      <c r="T86" t="s">
        <v>2012</v>
      </c>
      <c r="U86" t="s">
        <v>2013</v>
      </c>
      <c r="V86" t="s">
        <v>2014</v>
      </c>
      <c r="W86" t="s">
        <v>2015</v>
      </c>
      <c r="X86" t="s">
        <v>2016</v>
      </c>
      <c r="Y86" t="s">
        <v>2017</v>
      </c>
      <c r="Z86" t="s">
        <v>2018</v>
      </c>
      <c r="AA86" t="s">
        <v>2019</v>
      </c>
      <c r="AB86" t="s">
        <v>2020</v>
      </c>
      <c r="AC86" t="s">
        <v>945</v>
      </c>
      <c r="AD86" t="s">
        <v>946</v>
      </c>
      <c r="AE86" t="s">
        <v>2021</v>
      </c>
      <c r="AF86" t="s">
        <v>74</v>
      </c>
      <c r="AG86">
        <v>99</v>
      </c>
      <c r="AH86">
        <v>9</v>
      </c>
      <c r="AI86">
        <v>10</v>
      </c>
      <c r="AJ86">
        <v>2</v>
      </c>
      <c r="AK86">
        <v>15</v>
      </c>
      <c r="AL86" t="s">
        <v>383</v>
      </c>
      <c r="AM86" t="s">
        <v>384</v>
      </c>
      <c r="AN86" t="s">
        <v>385</v>
      </c>
      <c r="AO86" t="s">
        <v>74</v>
      </c>
      <c r="AP86" t="s">
        <v>386</v>
      </c>
      <c r="AQ86" t="s">
        <v>74</v>
      </c>
      <c r="AR86" t="s">
        <v>387</v>
      </c>
      <c r="AS86" t="s">
        <v>388</v>
      </c>
      <c r="AT86" t="s">
        <v>2022</v>
      </c>
      <c r="AU86">
        <v>2021</v>
      </c>
      <c r="AV86">
        <v>8</v>
      </c>
      <c r="AW86" t="s">
        <v>74</v>
      </c>
      <c r="AX86" t="s">
        <v>74</v>
      </c>
      <c r="AY86" t="s">
        <v>74</v>
      </c>
      <c r="AZ86" t="s">
        <v>74</v>
      </c>
      <c r="BA86" t="s">
        <v>74</v>
      </c>
      <c r="BB86" t="s">
        <v>74</v>
      </c>
      <c r="BC86" t="s">
        <v>74</v>
      </c>
      <c r="BD86">
        <v>650735</v>
      </c>
      <c r="BE86" t="s">
        <v>2023</v>
      </c>
      <c r="BF86" t="str">
        <f>HYPERLINK("http://dx.doi.org/10.3389/fmars.2021.650735","http://dx.doi.org/10.3389/fmars.2021.650735")</f>
        <v>http://dx.doi.org/10.3389/fmars.2021.650735</v>
      </c>
      <c r="BG86" t="s">
        <v>74</v>
      </c>
      <c r="BH86" t="s">
        <v>74</v>
      </c>
      <c r="BI86">
        <v>18</v>
      </c>
      <c r="BJ86" t="s">
        <v>391</v>
      </c>
      <c r="BK86" t="s">
        <v>101</v>
      </c>
      <c r="BL86" t="s">
        <v>392</v>
      </c>
      <c r="BM86" t="s">
        <v>2024</v>
      </c>
      <c r="BN86" t="s">
        <v>74</v>
      </c>
      <c r="BO86" t="s">
        <v>1070</v>
      </c>
      <c r="BP86" t="s">
        <v>74</v>
      </c>
      <c r="BQ86" t="s">
        <v>74</v>
      </c>
      <c r="BR86" t="s">
        <v>105</v>
      </c>
      <c r="BS86" t="s">
        <v>2025</v>
      </c>
      <c r="BT86" t="str">
        <f>HYPERLINK("https%3A%2F%2Fwww.webofscience.com%2Fwos%2Fwoscc%2Ffull-record%2FWOS:000733920500001","View Full Record in Web of Science")</f>
        <v>View Full Record in Web of Science</v>
      </c>
    </row>
    <row r="87" spans="1:72" x14ac:dyDescent="0.15">
      <c r="A87" t="s">
        <v>72</v>
      </c>
      <c r="B87" t="s">
        <v>2026</v>
      </c>
      <c r="C87" t="s">
        <v>74</v>
      </c>
      <c r="D87" t="s">
        <v>74</v>
      </c>
      <c r="E87" t="s">
        <v>74</v>
      </c>
      <c r="F87" t="s">
        <v>2027</v>
      </c>
      <c r="G87" t="s">
        <v>74</v>
      </c>
      <c r="H87" t="s">
        <v>74</v>
      </c>
      <c r="I87" t="s">
        <v>2028</v>
      </c>
      <c r="J87" t="s">
        <v>348</v>
      </c>
      <c r="K87" t="s">
        <v>74</v>
      </c>
      <c r="L87" t="s">
        <v>74</v>
      </c>
      <c r="M87" t="s">
        <v>78</v>
      </c>
      <c r="N87" t="s">
        <v>79</v>
      </c>
      <c r="O87" t="s">
        <v>74</v>
      </c>
      <c r="P87" t="s">
        <v>74</v>
      </c>
      <c r="Q87" t="s">
        <v>74</v>
      </c>
      <c r="R87" t="s">
        <v>74</v>
      </c>
      <c r="S87" t="s">
        <v>74</v>
      </c>
      <c r="T87" t="s">
        <v>2029</v>
      </c>
      <c r="U87" t="s">
        <v>2030</v>
      </c>
      <c r="V87" t="s">
        <v>2031</v>
      </c>
      <c r="W87" t="s">
        <v>2032</v>
      </c>
      <c r="X87" t="s">
        <v>2033</v>
      </c>
      <c r="Y87" t="s">
        <v>2034</v>
      </c>
      <c r="Z87" t="s">
        <v>2035</v>
      </c>
      <c r="AA87" t="s">
        <v>2036</v>
      </c>
      <c r="AB87" t="s">
        <v>2037</v>
      </c>
      <c r="AC87" t="s">
        <v>2038</v>
      </c>
      <c r="AD87" t="s">
        <v>2039</v>
      </c>
      <c r="AE87" t="s">
        <v>2040</v>
      </c>
      <c r="AF87" t="s">
        <v>74</v>
      </c>
      <c r="AG87">
        <v>108</v>
      </c>
      <c r="AH87">
        <v>19</v>
      </c>
      <c r="AI87">
        <v>19</v>
      </c>
      <c r="AJ87">
        <v>4</v>
      </c>
      <c r="AK87">
        <v>21</v>
      </c>
      <c r="AL87" t="s">
        <v>255</v>
      </c>
      <c r="AM87" t="s">
        <v>256</v>
      </c>
      <c r="AN87" t="s">
        <v>257</v>
      </c>
      <c r="AO87" t="s">
        <v>359</v>
      </c>
      <c r="AP87" t="s">
        <v>360</v>
      </c>
      <c r="AQ87" t="s">
        <v>74</v>
      </c>
      <c r="AR87" t="s">
        <v>361</v>
      </c>
      <c r="AS87" t="s">
        <v>362</v>
      </c>
      <c r="AT87" t="s">
        <v>1394</v>
      </c>
      <c r="AU87">
        <v>2022</v>
      </c>
      <c r="AV87">
        <v>316</v>
      </c>
      <c r="AW87" t="s">
        <v>74</v>
      </c>
      <c r="AX87" t="s">
        <v>74</v>
      </c>
      <c r="AY87" t="s">
        <v>74</v>
      </c>
      <c r="AZ87" t="s">
        <v>74</v>
      </c>
      <c r="BA87" t="s">
        <v>74</v>
      </c>
      <c r="BB87">
        <v>347</v>
      </c>
      <c r="BC87">
        <v>362</v>
      </c>
      <c r="BD87" t="s">
        <v>74</v>
      </c>
      <c r="BE87" t="s">
        <v>2041</v>
      </c>
      <c r="BF87" t="str">
        <f>HYPERLINK("http://dx.doi.org/10.1016/j.gca.2021.09.033","http://dx.doi.org/10.1016/j.gca.2021.09.033")</f>
        <v>http://dx.doi.org/10.1016/j.gca.2021.09.033</v>
      </c>
      <c r="BG87" t="s">
        <v>74</v>
      </c>
      <c r="BH87" t="s">
        <v>263</v>
      </c>
      <c r="BI87">
        <v>16</v>
      </c>
      <c r="BJ87" t="s">
        <v>365</v>
      </c>
      <c r="BK87" t="s">
        <v>101</v>
      </c>
      <c r="BL87" t="s">
        <v>365</v>
      </c>
      <c r="BM87" t="s">
        <v>2042</v>
      </c>
      <c r="BN87" t="s">
        <v>74</v>
      </c>
      <c r="BO87" t="s">
        <v>1471</v>
      </c>
      <c r="BP87" t="s">
        <v>74</v>
      </c>
      <c r="BQ87" t="s">
        <v>74</v>
      </c>
      <c r="BR87" t="s">
        <v>105</v>
      </c>
      <c r="BS87" t="s">
        <v>2043</v>
      </c>
      <c r="BT87" t="str">
        <f>HYPERLINK("https%3A%2F%2Fwww.webofscience.com%2Fwos%2Fwoscc%2Ffull-record%2FWOS:000730092400009","View Full Record in Web of Science")</f>
        <v>View Full Record in Web of Science</v>
      </c>
    </row>
    <row r="88" spans="1:72" x14ac:dyDescent="0.15">
      <c r="A88" t="s">
        <v>72</v>
      </c>
      <c r="B88" t="s">
        <v>2044</v>
      </c>
      <c r="C88" t="s">
        <v>74</v>
      </c>
      <c r="D88" t="s">
        <v>74</v>
      </c>
      <c r="E88" t="s">
        <v>74</v>
      </c>
      <c r="F88" t="s">
        <v>2045</v>
      </c>
      <c r="G88" t="s">
        <v>74</v>
      </c>
      <c r="H88" t="s">
        <v>74</v>
      </c>
      <c r="I88" t="s">
        <v>2046</v>
      </c>
      <c r="J88" t="s">
        <v>2047</v>
      </c>
      <c r="K88" t="s">
        <v>74</v>
      </c>
      <c r="L88" t="s">
        <v>74</v>
      </c>
      <c r="M88" t="s">
        <v>78</v>
      </c>
      <c r="N88" t="s">
        <v>79</v>
      </c>
      <c r="O88" t="s">
        <v>74</v>
      </c>
      <c r="P88" t="s">
        <v>74</v>
      </c>
      <c r="Q88" t="s">
        <v>74</v>
      </c>
      <c r="R88" t="s">
        <v>74</v>
      </c>
      <c r="S88" t="s">
        <v>74</v>
      </c>
      <c r="T88" t="s">
        <v>2048</v>
      </c>
      <c r="U88" t="s">
        <v>2049</v>
      </c>
      <c r="V88" t="s">
        <v>2050</v>
      </c>
      <c r="W88" t="s">
        <v>2051</v>
      </c>
      <c r="X88" t="s">
        <v>2052</v>
      </c>
      <c r="Y88" t="s">
        <v>2053</v>
      </c>
      <c r="Z88" t="s">
        <v>2054</v>
      </c>
      <c r="AA88" t="s">
        <v>74</v>
      </c>
      <c r="AB88" t="s">
        <v>2055</v>
      </c>
      <c r="AC88" t="s">
        <v>2056</v>
      </c>
      <c r="AD88" t="s">
        <v>2057</v>
      </c>
      <c r="AE88" t="s">
        <v>2058</v>
      </c>
      <c r="AF88" t="s">
        <v>74</v>
      </c>
      <c r="AG88">
        <v>122</v>
      </c>
      <c r="AH88">
        <v>28</v>
      </c>
      <c r="AI88">
        <v>30</v>
      </c>
      <c r="AJ88">
        <v>5</v>
      </c>
      <c r="AK88">
        <v>19</v>
      </c>
      <c r="AL88" t="s">
        <v>847</v>
      </c>
      <c r="AM88" t="s">
        <v>848</v>
      </c>
      <c r="AN88" t="s">
        <v>849</v>
      </c>
      <c r="AO88" t="s">
        <v>2059</v>
      </c>
      <c r="AP88" t="s">
        <v>2060</v>
      </c>
      <c r="AQ88" t="s">
        <v>74</v>
      </c>
      <c r="AR88" t="s">
        <v>2061</v>
      </c>
      <c r="AS88" t="s">
        <v>2062</v>
      </c>
      <c r="AT88" t="s">
        <v>416</v>
      </c>
      <c r="AU88">
        <v>2022</v>
      </c>
      <c r="AV88">
        <v>225</v>
      </c>
      <c r="AW88" t="s">
        <v>74</v>
      </c>
      <c r="AX88" t="s">
        <v>74</v>
      </c>
      <c r="AY88" t="s">
        <v>74</v>
      </c>
      <c r="AZ88" t="s">
        <v>74</v>
      </c>
      <c r="BA88" t="s">
        <v>74</v>
      </c>
      <c r="BB88" t="s">
        <v>74</v>
      </c>
      <c r="BC88" t="s">
        <v>74</v>
      </c>
      <c r="BD88">
        <v>103598</v>
      </c>
      <c r="BE88" t="s">
        <v>2063</v>
      </c>
      <c r="BF88" t="str">
        <f>HYPERLINK("http://dx.doi.org/10.1016/j.jmarsys.2021.103598","http://dx.doi.org/10.1016/j.jmarsys.2021.103598")</f>
        <v>http://dx.doi.org/10.1016/j.jmarsys.2021.103598</v>
      </c>
      <c r="BG88" t="s">
        <v>74</v>
      </c>
      <c r="BH88" t="s">
        <v>263</v>
      </c>
      <c r="BI88">
        <v>14</v>
      </c>
      <c r="BJ88" t="s">
        <v>2064</v>
      </c>
      <c r="BK88" t="s">
        <v>101</v>
      </c>
      <c r="BL88" t="s">
        <v>2065</v>
      </c>
      <c r="BM88" t="s">
        <v>2066</v>
      </c>
      <c r="BN88" t="s">
        <v>74</v>
      </c>
      <c r="BO88" t="s">
        <v>74</v>
      </c>
      <c r="BP88" t="s">
        <v>74</v>
      </c>
      <c r="BQ88" t="s">
        <v>74</v>
      </c>
      <c r="BR88" t="s">
        <v>105</v>
      </c>
      <c r="BS88" t="s">
        <v>2067</v>
      </c>
      <c r="BT88" t="str">
        <f>HYPERLINK("https%3A%2F%2Fwww.webofscience.com%2Fwos%2Fwoscc%2Ffull-record%2FWOS:000730127400001","View Full Record in Web of Science")</f>
        <v>View Full Record in Web of Science</v>
      </c>
    </row>
    <row r="89" spans="1:72" x14ac:dyDescent="0.15">
      <c r="A89" t="s">
        <v>72</v>
      </c>
      <c r="B89" t="s">
        <v>2068</v>
      </c>
      <c r="C89" t="s">
        <v>74</v>
      </c>
      <c r="D89" t="s">
        <v>74</v>
      </c>
      <c r="E89" t="s">
        <v>74</v>
      </c>
      <c r="F89" t="s">
        <v>2069</v>
      </c>
      <c r="G89" t="s">
        <v>74</v>
      </c>
      <c r="H89" t="s">
        <v>74</v>
      </c>
      <c r="I89" t="s">
        <v>2070</v>
      </c>
      <c r="J89" t="s">
        <v>372</v>
      </c>
      <c r="K89" t="s">
        <v>74</v>
      </c>
      <c r="L89" t="s">
        <v>74</v>
      </c>
      <c r="M89" t="s">
        <v>78</v>
      </c>
      <c r="N89" t="s">
        <v>79</v>
      </c>
      <c r="O89" t="s">
        <v>74</v>
      </c>
      <c r="P89" t="s">
        <v>74</v>
      </c>
      <c r="Q89" t="s">
        <v>74</v>
      </c>
      <c r="R89" t="s">
        <v>74</v>
      </c>
      <c r="S89" t="s">
        <v>74</v>
      </c>
      <c r="T89" t="s">
        <v>2071</v>
      </c>
      <c r="U89" t="s">
        <v>2072</v>
      </c>
      <c r="V89" t="s">
        <v>2073</v>
      </c>
      <c r="W89" t="s">
        <v>2074</v>
      </c>
      <c r="X89" t="s">
        <v>2075</v>
      </c>
      <c r="Y89" t="s">
        <v>2076</v>
      </c>
      <c r="Z89" t="s">
        <v>2077</v>
      </c>
      <c r="AA89" t="s">
        <v>2078</v>
      </c>
      <c r="AB89" t="s">
        <v>74</v>
      </c>
      <c r="AC89" t="s">
        <v>2079</v>
      </c>
      <c r="AD89" t="s">
        <v>2080</v>
      </c>
      <c r="AE89" t="s">
        <v>2081</v>
      </c>
      <c r="AF89" t="s">
        <v>74</v>
      </c>
      <c r="AG89">
        <v>50</v>
      </c>
      <c r="AH89">
        <v>5</v>
      </c>
      <c r="AI89">
        <v>5</v>
      </c>
      <c r="AJ89">
        <v>3</v>
      </c>
      <c r="AK89">
        <v>16</v>
      </c>
      <c r="AL89" t="s">
        <v>383</v>
      </c>
      <c r="AM89" t="s">
        <v>384</v>
      </c>
      <c r="AN89" t="s">
        <v>385</v>
      </c>
      <c r="AO89" t="s">
        <v>74</v>
      </c>
      <c r="AP89" t="s">
        <v>386</v>
      </c>
      <c r="AQ89" t="s">
        <v>74</v>
      </c>
      <c r="AR89" t="s">
        <v>387</v>
      </c>
      <c r="AS89" t="s">
        <v>388</v>
      </c>
      <c r="AT89" t="s">
        <v>2022</v>
      </c>
      <c r="AU89">
        <v>2021</v>
      </c>
      <c r="AV89">
        <v>8</v>
      </c>
      <c r="AW89" t="s">
        <v>74</v>
      </c>
      <c r="AX89" t="s">
        <v>74</v>
      </c>
      <c r="AY89" t="s">
        <v>74</v>
      </c>
      <c r="AZ89" t="s">
        <v>74</v>
      </c>
      <c r="BA89" t="s">
        <v>74</v>
      </c>
      <c r="BB89" t="s">
        <v>74</v>
      </c>
      <c r="BC89" t="s">
        <v>74</v>
      </c>
      <c r="BD89">
        <v>730630</v>
      </c>
      <c r="BE89" t="s">
        <v>2082</v>
      </c>
      <c r="BF89" t="str">
        <f>HYPERLINK("http://dx.doi.org/10.3389/fmars.2021.730630","http://dx.doi.org/10.3389/fmars.2021.730630")</f>
        <v>http://dx.doi.org/10.3389/fmars.2021.730630</v>
      </c>
      <c r="BG89" t="s">
        <v>74</v>
      </c>
      <c r="BH89" t="s">
        <v>74</v>
      </c>
      <c r="BI89">
        <v>9</v>
      </c>
      <c r="BJ89" t="s">
        <v>391</v>
      </c>
      <c r="BK89" t="s">
        <v>101</v>
      </c>
      <c r="BL89" t="s">
        <v>392</v>
      </c>
      <c r="BM89" t="s">
        <v>2083</v>
      </c>
      <c r="BN89" t="s">
        <v>74</v>
      </c>
      <c r="BO89" t="s">
        <v>210</v>
      </c>
      <c r="BP89" t="s">
        <v>74</v>
      </c>
      <c r="BQ89" t="s">
        <v>74</v>
      </c>
      <c r="BR89" t="s">
        <v>105</v>
      </c>
      <c r="BS89" t="s">
        <v>2084</v>
      </c>
      <c r="BT89" t="str">
        <f>HYPERLINK("https%3A%2F%2Fwww.webofscience.com%2Fwos%2Fwoscc%2Ffull-record%2FWOS:000726183600001","View Full Record in Web of Science")</f>
        <v>View Full Record in Web of Science</v>
      </c>
    </row>
    <row r="90" spans="1:72" x14ac:dyDescent="0.15">
      <c r="A90" t="s">
        <v>72</v>
      </c>
      <c r="B90" t="s">
        <v>2085</v>
      </c>
      <c r="C90" t="s">
        <v>74</v>
      </c>
      <c r="D90" t="s">
        <v>74</v>
      </c>
      <c r="E90" t="s">
        <v>74</v>
      </c>
      <c r="F90" t="s">
        <v>2086</v>
      </c>
      <c r="G90" t="s">
        <v>74</v>
      </c>
      <c r="H90" t="s">
        <v>74</v>
      </c>
      <c r="I90" t="s">
        <v>2087</v>
      </c>
      <c r="J90" t="s">
        <v>1279</v>
      </c>
      <c r="K90" t="s">
        <v>74</v>
      </c>
      <c r="L90" t="s">
        <v>74</v>
      </c>
      <c r="M90" t="s">
        <v>78</v>
      </c>
      <c r="N90" t="s">
        <v>79</v>
      </c>
      <c r="O90" t="s">
        <v>74</v>
      </c>
      <c r="P90" t="s">
        <v>74</v>
      </c>
      <c r="Q90" t="s">
        <v>74</v>
      </c>
      <c r="R90" t="s">
        <v>74</v>
      </c>
      <c r="S90" t="s">
        <v>74</v>
      </c>
      <c r="T90" t="s">
        <v>74</v>
      </c>
      <c r="U90" t="s">
        <v>2088</v>
      </c>
      <c r="V90" t="s">
        <v>2089</v>
      </c>
      <c r="W90" t="s">
        <v>2090</v>
      </c>
      <c r="X90" t="s">
        <v>2091</v>
      </c>
      <c r="Y90" t="s">
        <v>2092</v>
      </c>
      <c r="Z90" t="s">
        <v>2093</v>
      </c>
      <c r="AA90" t="s">
        <v>2094</v>
      </c>
      <c r="AB90" t="s">
        <v>2095</v>
      </c>
      <c r="AC90" t="s">
        <v>2096</v>
      </c>
      <c r="AD90" t="s">
        <v>2097</v>
      </c>
      <c r="AE90" t="s">
        <v>2098</v>
      </c>
      <c r="AF90" t="s">
        <v>74</v>
      </c>
      <c r="AG90">
        <v>87</v>
      </c>
      <c r="AH90">
        <v>11</v>
      </c>
      <c r="AI90">
        <v>11</v>
      </c>
      <c r="AJ90">
        <v>1</v>
      </c>
      <c r="AK90">
        <v>11</v>
      </c>
      <c r="AL90" t="s">
        <v>492</v>
      </c>
      <c r="AM90" t="s">
        <v>493</v>
      </c>
      <c r="AN90" t="s">
        <v>494</v>
      </c>
      <c r="AO90" t="s">
        <v>74</v>
      </c>
      <c r="AP90" t="s">
        <v>1291</v>
      </c>
      <c r="AQ90" t="s">
        <v>74</v>
      </c>
      <c r="AR90" t="s">
        <v>1292</v>
      </c>
      <c r="AS90" t="s">
        <v>1293</v>
      </c>
      <c r="AT90" t="s">
        <v>2022</v>
      </c>
      <c r="AU90">
        <v>2021</v>
      </c>
      <c r="AV90">
        <v>12</v>
      </c>
      <c r="AW90">
        <v>1</v>
      </c>
      <c r="AX90" t="s">
        <v>74</v>
      </c>
      <c r="AY90" t="s">
        <v>74</v>
      </c>
      <c r="AZ90" t="s">
        <v>74</v>
      </c>
      <c r="BA90" t="s">
        <v>74</v>
      </c>
      <c r="BB90" t="s">
        <v>74</v>
      </c>
      <c r="BC90" t="s">
        <v>74</v>
      </c>
      <c r="BD90">
        <v>6683</v>
      </c>
      <c r="BE90" t="s">
        <v>2099</v>
      </c>
      <c r="BF90" t="str">
        <f>HYPERLINK("http://dx.doi.org/10.1038/s41467-021-27053-6","http://dx.doi.org/10.1038/s41467-021-27053-6")</f>
        <v>http://dx.doi.org/10.1038/s41467-021-27053-6</v>
      </c>
      <c r="BG90" t="s">
        <v>74</v>
      </c>
      <c r="BH90" t="s">
        <v>74</v>
      </c>
      <c r="BI90">
        <v>13</v>
      </c>
      <c r="BJ90" t="s">
        <v>126</v>
      </c>
      <c r="BK90" t="s">
        <v>101</v>
      </c>
      <c r="BL90" t="s">
        <v>127</v>
      </c>
      <c r="BM90" t="s">
        <v>2100</v>
      </c>
      <c r="BN90">
        <v>34795275</v>
      </c>
      <c r="BO90" t="s">
        <v>394</v>
      </c>
      <c r="BP90" t="s">
        <v>74</v>
      </c>
      <c r="BQ90" t="s">
        <v>74</v>
      </c>
      <c r="BR90" t="s">
        <v>105</v>
      </c>
      <c r="BS90" t="s">
        <v>2101</v>
      </c>
      <c r="BT90" t="str">
        <f>HYPERLINK("https%3A%2F%2Fwww.webofscience.com%2Fwos%2Fwoscc%2Ffull-record%2FWOS:000720682300074","View Full Record in Web of Science")</f>
        <v>View Full Record in Web of Science</v>
      </c>
    </row>
    <row r="91" spans="1:72" x14ac:dyDescent="0.15">
      <c r="A91" t="s">
        <v>72</v>
      </c>
      <c r="B91" t="s">
        <v>2102</v>
      </c>
      <c r="C91" t="s">
        <v>74</v>
      </c>
      <c r="D91" t="s">
        <v>74</v>
      </c>
      <c r="E91" t="s">
        <v>74</v>
      </c>
      <c r="F91" t="s">
        <v>2103</v>
      </c>
      <c r="G91" t="s">
        <v>74</v>
      </c>
      <c r="H91" t="s">
        <v>74</v>
      </c>
      <c r="I91" t="s">
        <v>2104</v>
      </c>
      <c r="J91" t="s">
        <v>1338</v>
      </c>
      <c r="K91" t="s">
        <v>74</v>
      </c>
      <c r="L91" t="s">
        <v>74</v>
      </c>
      <c r="M91" t="s">
        <v>78</v>
      </c>
      <c r="N91" t="s">
        <v>1764</v>
      </c>
      <c r="O91" t="s">
        <v>74</v>
      </c>
      <c r="P91" t="s">
        <v>74</v>
      </c>
      <c r="Q91" t="s">
        <v>74</v>
      </c>
      <c r="R91" t="s">
        <v>74</v>
      </c>
      <c r="S91" t="s">
        <v>74</v>
      </c>
      <c r="T91" t="s">
        <v>74</v>
      </c>
      <c r="U91" t="s">
        <v>74</v>
      </c>
      <c r="V91" t="s">
        <v>2105</v>
      </c>
      <c r="W91" t="s">
        <v>2106</v>
      </c>
      <c r="X91" t="s">
        <v>2107</v>
      </c>
      <c r="Y91" t="s">
        <v>2108</v>
      </c>
      <c r="Z91" t="s">
        <v>2109</v>
      </c>
      <c r="AA91" t="s">
        <v>2110</v>
      </c>
      <c r="AB91" t="s">
        <v>2111</v>
      </c>
      <c r="AC91" t="s">
        <v>74</v>
      </c>
      <c r="AD91" t="s">
        <v>74</v>
      </c>
      <c r="AE91" t="s">
        <v>74</v>
      </c>
      <c r="AF91" t="s">
        <v>74</v>
      </c>
      <c r="AG91">
        <v>12</v>
      </c>
      <c r="AH91">
        <v>0</v>
      </c>
      <c r="AI91">
        <v>0</v>
      </c>
      <c r="AJ91">
        <v>0</v>
      </c>
      <c r="AK91">
        <v>3</v>
      </c>
      <c r="AL91" t="s">
        <v>1347</v>
      </c>
      <c r="AM91" t="s">
        <v>333</v>
      </c>
      <c r="AN91" t="s">
        <v>1348</v>
      </c>
      <c r="AO91" t="s">
        <v>74</v>
      </c>
      <c r="AP91" t="s">
        <v>1349</v>
      </c>
      <c r="AQ91" t="s">
        <v>74</v>
      </c>
      <c r="AR91" t="s">
        <v>1350</v>
      </c>
      <c r="AS91" t="s">
        <v>1351</v>
      </c>
      <c r="AT91" t="s">
        <v>2022</v>
      </c>
      <c r="AU91">
        <v>2021</v>
      </c>
      <c r="AV91">
        <v>2</v>
      </c>
      <c r="AW91">
        <v>1</v>
      </c>
      <c r="AX91" t="s">
        <v>74</v>
      </c>
      <c r="AY91" t="s">
        <v>74</v>
      </c>
      <c r="AZ91" t="s">
        <v>74</v>
      </c>
      <c r="BA91" t="s">
        <v>74</v>
      </c>
      <c r="BB91" t="s">
        <v>74</v>
      </c>
      <c r="BC91" t="s">
        <v>74</v>
      </c>
      <c r="BD91">
        <v>235</v>
      </c>
      <c r="BE91" t="s">
        <v>2112</v>
      </c>
      <c r="BF91" t="str">
        <f>HYPERLINK("http://dx.doi.org/10.1038/s43247-021-00310-8","http://dx.doi.org/10.1038/s43247-021-00310-8")</f>
        <v>http://dx.doi.org/10.1038/s43247-021-00310-8</v>
      </c>
      <c r="BG91" t="s">
        <v>74</v>
      </c>
      <c r="BH91" t="s">
        <v>74</v>
      </c>
      <c r="BI91">
        <v>4</v>
      </c>
      <c r="BJ91" t="s">
        <v>1353</v>
      </c>
      <c r="BK91" t="s">
        <v>101</v>
      </c>
      <c r="BL91" t="s">
        <v>1354</v>
      </c>
      <c r="BM91" t="s">
        <v>2113</v>
      </c>
      <c r="BN91" t="s">
        <v>74</v>
      </c>
      <c r="BO91" t="s">
        <v>2114</v>
      </c>
      <c r="BP91" t="s">
        <v>74</v>
      </c>
      <c r="BQ91" t="s">
        <v>74</v>
      </c>
      <c r="BR91" t="s">
        <v>105</v>
      </c>
      <c r="BS91" t="s">
        <v>2115</v>
      </c>
      <c r="BT91" t="str">
        <f>HYPERLINK("https%3A%2F%2Fwww.webofscience.com%2Fwos%2Fwoscc%2Ffull-record%2FWOS:000720432800002","View Full Record in Web of Science")</f>
        <v>View Full Record in Web of Science</v>
      </c>
    </row>
    <row r="92" spans="1:72" x14ac:dyDescent="0.15">
      <c r="A92" t="s">
        <v>72</v>
      </c>
      <c r="B92" t="s">
        <v>2116</v>
      </c>
      <c r="C92" t="s">
        <v>74</v>
      </c>
      <c r="D92" t="s">
        <v>74</v>
      </c>
      <c r="E92" t="s">
        <v>74</v>
      </c>
      <c r="F92" t="s">
        <v>2117</v>
      </c>
      <c r="G92" t="s">
        <v>74</v>
      </c>
      <c r="H92" t="s">
        <v>74</v>
      </c>
      <c r="I92" t="s">
        <v>2118</v>
      </c>
      <c r="J92" t="s">
        <v>935</v>
      </c>
      <c r="K92" t="s">
        <v>74</v>
      </c>
      <c r="L92" t="s">
        <v>74</v>
      </c>
      <c r="M92" t="s">
        <v>78</v>
      </c>
      <c r="N92" t="s">
        <v>79</v>
      </c>
      <c r="O92" t="s">
        <v>74</v>
      </c>
      <c r="P92" t="s">
        <v>74</v>
      </c>
      <c r="Q92" t="s">
        <v>74</v>
      </c>
      <c r="R92" t="s">
        <v>74</v>
      </c>
      <c r="S92" t="s">
        <v>74</v>
      </c>
      <c r="T92" t="s">
        <v>2119</v>
      </c>
      <c r="U92" t="s">
        <v>2120</v>
      </c>
      <c r="V92" t="s">
        <v>2121</v>
      </c>
      <c r="W92" t="s">
        <v>2122</v>
      </c>
      <c r="X92" t="s">
        <v>2123</v>
      </c>
      <c r="Y92" t="s">
        <v>2124</v>
      </c>
      <c r="Z92" t="s">
        <v>2125</v>
      </c>
      <c r="AA92" t="s">
        <v>2126</v>
      </c>
      <c r="AB92" t="s">
        <v>2127</v>
      </c>
      <c r="AC92" t="s">
        <v>2128</v>
      </c>
      <c r="AD92" t="s">
        <v>2128</v>
      </c>
      <c r="AE92" t="s">
        <v>2129</v>
      </c>
      <c r="AF92" t="s">
        <v>74</v>
      </c>
      <c r="AG92">
        <v>87</v>
      </c>
      <c r="AH92">
        <v>0</v>
      </c>
      <c r="AI92">
        <v>0</v>
      </c>
      <c r="AJ92">
        <v>3</v>
      </c>
      <c r="AK92">
        <v>4</v>
      </c>
      <c r="AL92" t="s">
        <v>169</v>
      </c>
      <c r="AM92" t="s">
        <v>170</v>
      </c>
      <c r="AN92" t="s">
        <v>171</v>
      </c>
      <c r="AO92" t="s">
        <v>948</v>
      </c>
      <c r="AP92" t="s">
        <v>949</v>
      </c>
      <c r="AQ92" t="s">
        <v>74</v>
      </c>
      <c r="AR92" t="s">
        <v>950</v>
      </c>
      <c r="AS92" t="s">
        <v>951</v>
      </c>
      <c r="AT92" t="s">
        <v>416</v>
      </c>
      <c r="AU92">
        <v>2022</v>
      </c>
      <c r="AV92">
        <v>45</v>
      </c>
      <c r="AW92">
        <v>1</v>
      </c>
      <c r="AX92" t="s">
        <v>74</v>
      </c>
      <c r="AY92" t="s">
        <v>74</v>
      </c>
      <c r="AZ92" t="s">
        <v>74</v>
      </c>
      <c r="BA92" t="s">
        <v>74</v>
      </c>
      <c r="BB92">
        <v>31</v>
      </c>
      <c r="BC92">
        <v>44</v>
      </c>
      <c r="BD92" t="s">
        <v>74</v>
      </c>
      <c r="BE92" t="s">
        <v>2130</v>
      </c>
      <c r="BF92" t="str">
        <f>HYPERLINK("http://dx.doi.org/10.1007/s00300-021-02969-3","http://dx.doi.org/10.1007/s00300-021-02969-3")</f>
        <v>http://dx.doi.org/10.1007/s00300-021-02969-3</v>
      </c>
      <c r="BG92" t="s">
        <v>74</v>
      </c>
      <c r="BH92" t="s">
        <v>263</v>
      </c>
      <c r="BI92">
        <v>14</v>
      </c>
      <c r="BJ92" t="s">
        <v>605</v>
      </c>
      <c r="BK92" t="s">
        <v>101</v>
      </c>
      <c r="BL92" t="s">
        <v>606</v>
      </c>
      <c r="BM92" t="s">
        <v>1372</v>
      </c>
      <c r="BN92" t="s">
        <v>74</v>
      </c>
      <c r="BO92" t="s">
        <v>74</v>
      </c>
      <c r="BP92" t="s">
        <v>74</v>
      </c>
      <c r="BQ92" t="s">
        <v>74</v>
      </c>
      <c r="BR92" t="s">
        <v>105</v>
      </c>
      <c r="BS92" t="s">
        <v>2131</v>
      </c>
      <c r="BT92" t="str">
        <f>HYPERLINK("https%3A%2F%2Fwww.webofscience.com%2Fwos%2Fwoscc%2Ffull-record%2FWOS:000720265800001","View Full Record in Web of Science")</f>
        <v>View Full Record in Web of Science</v>
      </c>
    </row>
    <row r="93" spans="1:72" x14ac:dyDescent="0.15">
      <c r="A93" t="s">
        <v>72</v>
      </c>
      <c r="B93" t="s">
        <v>2132</v>
      </c>
      <c r="C93" t="s">
        <v>74</v>
      </c>
      <c r="D93" t="s">
        <v>74</v>
      </c>
      <c r="E93" t="s">
        <v>74</v>
      </c>
      <c r="F93" t="s">
        <v>2133</v>
      </c>
      <c r="G93" t="s">
        <v>74</v>
      </c>
      <c r="H93" t="s">
        <v>74</v>
      </c>
      <c r="I93" t="s">
        <v>2134</v>
      </c>
      <c r="J93" t="s">
        <v>2135</v>
      </c>
      <c r="K93" t="s">
        <v>74</v>
      </c>
      <c r="L93" t="s">
        <v>74</v>
      </c>
      <c r="M93" t="s">
        <v>78</v>
      </c>
      <c r="N93" t="s">
        <v>79</v>
      </c>
      <c r="O93" t="s">
        <v>74</v>
      </c>
      <c r="P93" t="s">
        <v>74</v>
      </c>
      <c r="Q93" t="s">
        <v>74</v>
      </c>
      <c r="R93" t="s">
        <v>74</v>
      </c>
      <c r="S93" t="s">
        <v>74</v>
      </c>
      <c r="T93" t="s">
        <v>2136</v>
      </c>
      <c r="U93" t="s">
        <v>2137</v>
      </c>
      <c r="V93" t="s">
        <v>2138</v>
      </c>
      <c r="W93" t="s">
        <v>2139</v>
      </c>
      <c r="X93" t="s">
        <v>2140</v>
      </c>
      <c r="Y93" t="s">
        <v>2141</v>
      </c>
      <c r="Z93" t="s">
        <v>2142</v>
      </c>
      <c r="AA93" t="s">
        <v>2143</v>
      </c>
      <c r="AB93" t="s">
        <v>2144</v>
      </c>
      <c r="AC93" t="s">
        <v>2145</v>
      </c>
      <c r="AD93" t="s">
        <v>2146</v>
      </c>
      <c r="AE93" t="s">
        <v>2147</v>
      </c>
      <c r="AF93" t="s">
        <v>74</v>
      </c>
      <c r="AG93">
        <v>96</v>
      </c>
      <c r="AH93">
        <v>8</v>
      </c>
      <c r="AI93">
        <v>9</v>
      </c>
      <c r="AJ93">
        <v>6</v>
      </c>
      <c r="AK93">
        <v>47</v>
      </c>
      <c r="AL93" t="s">
        <v>255</v>
      </c>
      <c r="AM93" t="s">
        <v>256</v>
      </c>
      <c r="AN93" t="s">
        <v>257</v>
      </c>
      <c r="AO93" t="s">
        <v>2148</v>
      </c>
      <c r="AP93" t="s">
        <v>2149</v>
      </c>
      <c r="AQ93" t="s">
        <v>74</v>
      </c>
      <c r="AR93" t="s">
        <v>2150</v>
      </c>
      <c r="AS93" t="s">
        <v>2151</v>
      </c>
      <c r="AT93" t="s">
        <v>416</v>
      </c>
      <c r="AU93">
        <v>2022</v>
      </c>
      <c r="AV93">
        <v>164</v>
      </c>
      <c r="AW93" t="s">
        <v>74</v>
      </c>
      <c r="AX93" t="s">
        <v>74</v>
      </c>
      <c r="AY93" t="s">
        <v>74</v>
      </c>
      <c r="AZ93" t="s">
        <v>74</v>
      </c>
      <c r="BA93" t="s">
        <v>74</v>
      </c>
      <c r="BB93" t="s">
        <v>74</v>
      </c>
      <c r="BC93" t="s">
        <v>74</v>
      </c>
      <c r="BD93">
        <v>108493</v>
      </c>
      <c r="BE93" t="s">
        <v>2152</v>
      </c>
      <c r="BF93" t="str">
        <f>HYPERLINK("http://dx.doi.org/10.1016/j.soilbio.2021.108493","http://dx.doi.org/10.1016/j.soilbio.2021.108493")</f>
        <v>http://dx.doi.org/10.1016/j.soilbio.2021.108493</v>
      </c>
      <c r="BG93" t="s">
        <v>74</v>
      </c>
      <c r="BH93" t="s">
        <v>263</v>
      </c>
      <c r="BI93">
        <v>12</v>
      </c>
      <c r="BJ93" t="s">
        <v>2153</v>
      </c>
      <c r="BK93" t="s">
        <v>101</v>
      </c>
      <c r="BL93" t="s">
        <v>2154</v>
      </c>
      <c r="BM93" t="s">
        <v>2155</v>
      </c>
      <c r="BN93" t="s">
        <v>74</v>
      </c>
      <c r="BO93" t="s">
        <v>367</v>
      </c>
      <c r="BP93" t="s">
        <v>74</v>
      </c>
      <c r="BQ93" t="s">
        <v>74</v>
      </c>
      <c r="BR93" t="s">
        <v>105</v>
      </c>
      <c r="BS93" t="s">
        <v>2156</v>
      </c>
      <c r="BT93" t="str">
        <f>HYPERLINK("https%3A%2F%2Fwww.webofscience.com%2Fwos%2Fwoscc%2Ffull-record%2FWOS:000724163700005","View Full Record in Web of Science")</f>
        <v>View Full Record in Web of Science</v>
      </c>
    </row>
    <row r="94" spans="1:72" x14ac:dyDescent="0.15">
      <c r="A94" t="s">
        <v>72</v>
      </c>
      <c r="B94" t="s">
        <v>2157</v>
      </c>
      <c r="C94" t="s">
        <v>74</v>
      </c>
      <c r="D94" t="s">
        <v>74</v>
      </c>
      <c r="E94" t="s">
        <v>74</v>
      </c>
      <c r="F94" t="s">
        <v>2158</v>
      </c>
      <c r="G94" t="s">
        <v>74</v>
      </c>
      <c r="H94" t="s">
        <v>74</v>
      </c>
      <c r="I94" t="s">
        <v>2159</v>
      </c>
      <c r="J94" t="s">
        <v>2160</v>
      </c>
      <c r="K94" t="s">
        <v>74</v>
      </c>
      <c r="L94" t="s">
        <v>74</v>
      </c>
      <c r="M94" t="s">
        <v>78</v>
      </c>
      <c r="N94" t="s">
        <v>1764</v>
      </c>
      <c r="O94" t="s">
        <v>74</v>
      </c>
      <c r="P94" t="s">
        <v>74</v>
      </c>
      <c r="Q94" t="s">
        <v>74</v>
      </c>
      <c r="R94" t="s">
        <v>74</v>
      </c>
      <c r="S94" t="s">
        <v>74</v>
      </c>
      <c r="T94" t="s">
        <v>74</v>
      </c>
      <c r="U94" t="s">
        <v>2161</v>
      </c>
      <c r="V94" t="s">
        <v>2162</v>
      </c>
      <c r="W94" t="s">
        <v>2163</v>
      </c>
      <c r="X94" t="s">
        <v>1768</v>
      </c>
      <c r="Y94" t="s">
        <v>2164</v>
      </c>
      <c r="Z94" t="s">
        <v>2165</v>
      </c>
      <c r="AA94" t="s">
        <v>2166</v>
      </c>
      <c r="AB94" t="s">
        <v>2167</v>
      </c>
      <c r="AC94" t="s">
        <v>74</v>
      </c>
      <c r="AD94" t="s">
        <v>74</v>
      </c>
      <c r="AE94" t="s">
        <v>74</v>
      </c>
      <c r="AF94" t="s">
        <v>74</v>
      </c>
      <c r="AG94">
        <v>9</v>
      </c>
      <c r="AH94">
        <v>1</v>
      </c>
      <c r="AI94">
        <v>1</v>
      </c>
      <c r="AJ94">
        <v>11</v>
      </c>
      <c r="AK94">
        <v>58</v>
      </c>
      <c r="AL94" t="s">
        <v>492</v>
      </c>
      <c r="AM94" t="s">
        <v>493</v>
      </c>
      <c r="AN94" t="s">
        <v>494</v>
      </c>
      <c r="AO94" t="s">
        <v>2168</v>
      </c>
      <c r="AP94" t="s">
        <v>74</v>
      </c>
      <c r="AQ94" t="s">
        <v>74</v>
      </c>
      <c r="AR94" t="s">
        <v>2169</v>
      </c>
      <c r="AS94" t="s">
        <v>2170</v>
      </c>
      <c r="AT94" t="s">
        <v>98</v>
      </c>
      <c r="AU94">
        <v>2021</v>
      </c>
      <c r="AV94">
        <v>6</v>
      </c>
      <c r="AW94">
        <v>12</v>
      </c>
      <c r="AX94" t="s">
        <v>74</v>
      </c>
      <c r="AY94" t="s">
        <v>74</v>
      </c>
      <c r="AZ94" t="s">
        <v>74</v>
      </c>
      <c r="BA94" t="s">
        <v>74</v>
      </c>
      <c r="BB94">
        <v>1479</v>
      </c>
      <c r="BC94">
        <v>1480</v>
      </c>
      <c r="BD94" t="s">
        <v>74</v>
      </c>
      <c r="BE94" t="s">
        <v>2171</v>
      </c>
      <c r="BF94" t="str">
        <f>HYPERLINK("http://dx.doi.org/10.1038/s41564-021-01005-8","http://dx.doi.org/10.1038/s41564-021-01005-8")</f>
        <v>http://dx.doi.org/10.1038/s41564-021-01005-8</v>
      </c>
      <c r="BG94" t="s">
        <v>74</v>
      </c>
      <c r="BH94" t="s">
        <v>263</v>
      </c>
      <c r="BI94">
        <v>2</v>
      </c>
      <c r="BJ94" t="s">
        <v>975</v>
      </c>
      <c r="BK94" t="s">
        <v>101</v>
      </c>
      <c r="BL94" t="s">
        <v>975</v>
      </c>
      <c r="BM94" t="s">
        <v>2172</v>
      </c>
      <c r="BN94">
        <v>34789860</v>
      </c>
      <c r="BO94" t="s">
        <v>74</v>
      </c>
      <c r="BP94" t="s">
        <v>74</v>
      </c>
      <c r="BQ94" t="s">
        <v>74</v>
      </c>
      <c r="BR94" t="s">
        <v>105</v>
      </c>
      <c r="BS94" t="s">
        <v>2173</v>
      </c>
      <c r="BT94" t="str">
        <f>HYPERLINK("https%3A%2F%2Fwww.webofscience.com%2Fwos%2Fwoscc%2Ffull-record%2FWOS:000719707500001","View Full Record in Web of Science")</f>
        <v>View Full Record in Web of Science</v>
      </c>
    </row>
    <row r="95" spans="1:72" x14ac:dyDescent="0.15">
      <c r="A95" t="s">
        <v>72</v>
      </c>
      <c r="B95" t="s">
        <v>2174</v>
      </c>
      <c r="C95" t="s">
        <v>74</v>
      </c>
      <c r="D95" t="s">
        <v>74</v>
      </c>
      <c r="E95" t="s">
        <v>74</v>
      </c>
      <c r="F95" t="s">
        <v>2175</v>
      </c>
      <c r="G95" t="s">
        <v>74</v>
      </c>
      <c r="H95" t="s">
        <v>74</v>
      </c>
      <c r="I95" t="s">
        <v>2176</v>
      </c>
      <c r="J95" t="s">
        <v>2177</v>
      </c>
      <c r="K95" t="s">
        <v>74</v>
      </c>
      <c r="L95" t="s">
        <v>74</v>
      </c>
      <c r="M95" t="s">
        <v>78</v>
      </c>
      <c r="N95" t="s">
        <v>79</v>
      </c>
      <c r="O95" t="s">
        <v>74</v>
      </c>
      <c r="P95" t="s">
        <v>74</v>
      </c>
      <c r="Q95" t="s">
        <v>74</v>
      </c>
      <c r="R95" t="s">
        <v>74</v>
      </c>
      <c r="S95" t="s">
        <v>74</v>
      </c>
      <c r="T95" t="s">
        <v>2178</v>
      </c>
      <c r="U95" t="s">
        <v>2179</v>
      </c>
      <c r="V95" t="s">
        <v>2180</v>
      </c>
      <c r="W95" t="s">
        <v>2181</v>
      </c>
      <c r="X95" t="s">
        <v>1768</v>
      </c>
      <c r="Y95" t="s">
        <v>2182</v>
      </c>
      <c r="Z95" t="s">
        <v>2183</v>
      </c>
      <c r="AA95" t="s">
        <v>2184</v>
      </c>
      <c r="AB95" t="s">
        <v>2185</v>
      </c>
      <c r="AC95" t="s">
        <v>2186</v>
      </c>
      <c r="AD95" t="s">
        <v>2186</v>
      </c>
      <c r="AE95" t="s">
        <v>2186</v>
      </c>
      <c r="AF95" t="s">
        <v>74</v>
      </c>
      <c r="AG95">
        <v>77</v>
      </c>
      <c r="AH95">
        <v>3</v>
      </c>
      <c r="AI95">
        <v>3</v>
      </c>
      <c r="AJ95">
        <v>1</v>
      </c>
      <c r="AK95">
        <v>12</v>
      </c>
      <c r="AL95" t="s">
        <v>572</v>
      </c>
      <c r="AM95" t="s">
        <v>573</v>
      </c>
      <c r="AN95" t="s">
        <v>574</v>
      </c>
      <c r="AO95" t="s">
        <v>2187</v>
      </c>
      <c r="AP95" t="s">
        <v>2188</v>
      </c>
      <c r="AQ95" t="s">
        <v>74</v>
      </c>
      <c r="AR95" t="s">
        <v>2189</v>
      </c>
      <c r="AS95" t="s">
        <v>2190</v>
      </c>
      <c r="AT95" t="s">
        <v>525</v>
      </c>
      <c r="AU95">
        <v>2022</v>
      </c>
      <c r="AV95">
        <v>45</v>
      </c>
      <c r="AW95">
        <v>2</v>
      </c>
      <c r="AX95" t="s">
        <v>74</v>
      </c>
      <c r="AY95" t="s">
        <v>74</v>
      </c>
      <c r="AZ95" t="s">
        <v>74</v>
      </c>
      <c r="BA95" t="s">
        <v>74</v>
      </c>
      <c r="BB95">
        <v>301</v>
      </c>
      <c r="BC95">
        <v>313</v>
      </c>
      <c r="BD95" t="s">
        <v>74</v>
      </c>
      <c r="BE95" t="s">
        <v>2191</v>
      </c>
      <c r="BF95" t="str">
        <f>HYPERLINK("http://dx.doi.org/10.1111/jfd.13555","http://dx.doi.org/10.1111/jfd.13555")</f>
        <v>http://dx.doi.org/10.1111/jfd.13555</v>
      </c>
      <c r="BG95" t="s">
        <v>74</v>
      </c>
      <c r="BH95" t="s">
        <v>263</v>
      </c>
      <c r="BI95">
        <v>13</v>
      </c>
      <c r="BJ95" t="s">
        <v>2192</v>
      </c>
      <c r="BK95" t="s">
        <v>101</v>
      </c>
      <c r="BL95" t="s">
        <v>2192</v>
      </c>
      <c r="BM95" t="s">
        <v>2193</v>
      </c>
      <c r="BN95">
        <v>34787904</v>
      </c>
      <c r="BO95" t="s">
        <v>74</v>
      </c>
      <c r="BP95" t="s">
        <v>74</v>
      </c>
      <c r="BQ95" t="s">
        <v>74</v>
      </c>
      <c r="BR95" t="s">
        <v>105</v>
      </c>
      <c r="BS95" t="s">
        <v>2194</v>
      </c>
      <c r="BT95" t="str">
        <f>HYPERLINK("https%3A%2F%2Fwww.webofscience.com%2Fwos%2Fwoscc%2Ffull-record%2FWOS:000719439900001","View Full Record in Web of Science")</f>
        <v>View Full Record in Web of Science</v>
      </c>
    </row>
    <row r="96" spans="1:72" x14ac:dyDescent="0.15">
      <c r="A96" t="s">
        <v>72</v>
      </c>
      <c r="B96" t="s">
        <v>2195</v>
      </c>
      <c r="C96" t="s">
        <v>74</v>
      </c>
      <c r="D96" t="s">
        <v>74</v>
      </c>
      <c r="E96" t="s">
        <v>74</v>
      </c>
      <c r="F96" t="s">
        <v>2196</v>
      </c>
      <c r="G96" t="s">
        <v>74</v>
      </c>
      <c r="H96" t="s">
        <v>74</v>
      </c>
      <c r="I96" t="s">
        <v>2197</v>
      </c>
      <c r="J96" t="s">
        <v>2198</v>
      </c>
      <c r="K96" t="s">
        <v>74</v>
      </c>
      <c r="L96" t="s">
        <v>74</v>
      </c>
      <c r="M96" t="s">
        <v>78</v>
      </c>
      <c r="N96" t="s">
        <v>79</v>
      </c>
      <c r="O96" t="s">
        <v>74</v>
      </c>
      <c r="P96" t="s">
        <v>74</v>
      </c>
      <c r="Q96" t="s">
        <v>74</v>
      </c>
      <c r="R96" t="s">
        <v>74</v>
      </c>
      <c r="S96" t="s">
        <v>74</v>
      </c>
      <c r="T96" t="s">
        <v>2199</v>
      </c>
      <c r="U96" t="s">
        <v>2200</v>
      </c>
      <c r="V96" t="s">
        <v>2201</v>
      </c>
      <c r="W96" t="s">
        <v>2202</v>
      </c>
      <c r="X96" t="s">
        <v>1768</v>
      </c>
      <c r="Y96" t="s">
        <v>2203</v>
      </c>
      <c r="Z96" t="s">
        <v>2204</v>
      </c>
      <c r="AA96" t="s">
        <v>2205</v>
      </c>
      <c r="AB96" t="s">
        <v>2206</v>
      </c>
      <c r="AC96" t="s">
        <v>2207</v>
      </c>
      <c r="AD96" t="s">
        <v>2208</v>
      </c>
      <c r="AE96" t="s">
        <v>2209</v>
      </c>
      <c r="AF96" t="s">
        <v>74</v>
      </c>
      <c r="AG96">
        <v>88</v>
      </c>
      <c r="AH96">
        <v>13</v>
      </c>
      <c r="AI96">
        <v>13</v>
      </c>
      <c r="AJ96">
        <v>1</v>
      </c>
      <c r="AK96">
        <v>2</v>
      </c>
      <c r="AL96" t="s">
        <v>572</v>
      </c>
      <c r="AM96" t="s">
        <v>573</v>
      </c>
      <c r="AN96" t="s">
        <v>574</v>
      </c>
      <c r="AO96" t="s">
        <v>2210</v>
      </c>
      <c r="AP96" t="s">
        <v>2211</v>
      </c>
      <c r="AQ96" t="s">
        <v>74</v>
      </c>
      <c r="AR96" t="s">
        <v>2212</v>
      </c>
      <c r="AS96" t="s">
        <v>2213</v>
      </c>
      <c r="AT96" t="s">
        <v>525</v>
      </c>
      <c r="AU96">
        <v>2022</v>
      </c>
      <c r="AV96">
        <v>58</v>
      </c>
      <c r="AW96">
        <v>1</v>
      </c>
      <c r="AX96" t="s">
        <v>74</v>
      </c>
      <c r="AY96" t="s">
        <v>74</v>
      </c>
      <c r="AZ96" t="s">
        <v>74</v>
      </c>
      <c r="BA96" t="s">
        <v>74</v>
      </c>
      <c r="BB96">
        <v>92</v>
      </c>
      <c r="BC96">
        <v>104</v>
      </c>
      <c r="BD96" t="s">
        <v>74</v>
      </c>
      <c r="BE96" t="s">
        <v>2214</v>
      </c>
      <c r="BF96" t="str">
        <f>HYPERLINK("http://dx.doi.org/10.1111/jpy.13214","http://dx.doi.org/10.1111/jpy.13214")</f>
        <v>http://dx.doi.org/10.1111/jpy.13214</v>
      </c>
      <c r="BG96" t="s">
        <v>74</v>
      </c>
      <c r="BH96" t="s">
        <v>263</v>
      </c>
      <c r="BI96">
        <v>13</v>
      </c>
      <c r="BJ96" t="s">
        <v>2215</v>
      </c>
      <c r="BK96" t="s">
        <v>101</v>
      </c>
      <c r="BL96" t="s">
        <v>2215</v>
      </c>
      <c r="BM96" t="s">
        <v>2216</v>
      </c>
      <c r="BN96">
        <v>34612512</v>
      </c>
      <c r="BO96" t="s">
        <v>2217</v>
      </c>
      <c r="BP96" t="s">
        <v>74</v>
      </c>
      <c r="BQ96" t="s">
        <v>74</v>
      </c>
      <c r="BR96" t="s">
        <v>105</v>
      </c>
      <c r="BS96" t="s">
        <v>2218</v>
      </c>
      <c r="BT96" t="str">
        <f>HYPERLINK("https%3A%2F%2Fwww.webofscience.com%2Fwos%2Fwoscc%2Ffull-record%2FWOS:000719368100001","View Full Record in Web of Science")</f>
        <v>View Full Record in Web of Science</v>
      </c>
    </row>
    <row r="97" spans="1:72" x14ac:dyDescent="0.15">
      <c r="A97" t="s">
        <v>72</v>
      </c>
      <c r="B97" t="s">
        <v>2219</v>
      </c>
      <c r="C97" t="s">
        <v>74</v>
      </c>
      <c r="D97" t="s">
        <v>74</v>
      </c>
      <c r="E97" t="s">
        <v>74</v>
      </c>
      <c r="F97" t="s">
        <v>2220</v>
      </c>
      <c r="G97" t="s">
        <v>74</v>
      </c>
      <c r="H97" t="s">
        <v>74</v>
      </c>
      <c r="I97" t="s">
        <v>2221</v>
      </c>
      <c r="J97" t="s">
        <v>2222</v>
      </c>
      <c r="K97" t="s">
        <v>74</v>
      </c>
      <c r="L97" t="s">
        <v>74</v>
      </c>
      <c r="M97" t="s">
        <v>78</v>
      </c>
      <c r="N97" t="s">
        <v>79</v>
      </c>
      <c r="O97" t="s">
        <v>74</v>
      </c>
      <c r="P97" t="s">
        <v>74</v>
      </c>
      <c r="Q97" t="s">
        <v>74</v>
      </c>
      <c r="R97" t="s">
        <v>74</v>
      </c>
      <c r="S97" t="s">
        <v>74</v>
      </c>
      <c r="T97" t="s">
        <v>2223</v>
      </c>
      <c r="U97" t="s">
        <v>2224</v>
      </c>
      <c r="V97" t="s">
        <v>2225</v>
      </c>
      <c r="W97" t="s">
        <v>2226</v>
      </c>
      <c r="X97" t="s">
        <v>2227</v>
      </c>
      <c r="Y97" t="s">
        <v>2228</v>
      </c>
      <c r="Z97" t="s">
        <v>2229</v>
      </c>
      <c r="AA97" t="s">
        <v>74</v>
      </c>
      <c r="AB97" t="s">
        <v>2230</v>
      </c>
      <c r="AC97" t="s">
        <v>2231</v>
      </c>
      <c r="AD97" t="s">
        <v>2232</v>
      </c>
      <c r="AE97" t="s">
        <v>2233</v>
      </c>
      <c r="AF97" t="s">
        <v>74</v>
      </c>
      <c r="AG97">
        <v>72</v>
      </c>
      <c r="AH97">
        <v>2</v>
      </c>
      <c r="AI97">
        <v>2</v>
      </c>
      <c r="AJ97">
        <v>2</v>
      </c>
      <c r="AK97">
        <v>4</v>
      </c>
      <c r="AL97" t="s">
        <v>1687</v>
      </c>
      <c r="AM97" t="s">
        <v>333</v>
      </c>
      <c r="AN97" t="s">
        <v>1688</v>
      </c>
      <c r="AO97" t="s">
        <v>2234</v>
      </c>
      <c r="AP97" t="s">
        <v>2235</v>
      </c>
      <c r="AQ97" t="s">
        <v>74</v>
      </c>
      <c r="AR97" t="s">
        <v>2236</v>
      </c>
      <c r="AS97" t="s">
        <v>2237</v>
      </c>
      <c r="AT97" t="s">
        <v>2238</v>
      </c>
      <c r="AU97">
        <v>2021</v>
      </c>
      <c r="AV97">
        <v>18</v>
      </c>
      <c r="AW97">
        <v>184</v>
      </c>
      <c r="AX97" t="s">
        <v>74</v>
      </c>
      <c r="AY97" t="s">
        <v>74</v>
      </c>
      <c r="AZ97" t="s">
        <v>74</v>
      </c>
      <c r="BA97" t="s">
        <v>74</v>
      </c>
      <c r="BB97" t="s">
        <v>74</v>
      </c>
      <c r="BC97" t="s">
        <v>74</v>
      </c>
      <c r="BD97">
        <v>20210492</v>
      </c>
      <c r="BE97" t="s">
        <v>2239</v>
      </c>
      <c r="BF97" t="str">
        <f>HYPERLINK("http://dx.doi.org/10.1098/rsif.2021.0492","http://dx.doi.org/10.1098/rsif.2021.0492")</f>
        <v>http://dx.doi.org/10.1098/rsif.2021.0492</v>
      </c>
      <c r="BG97" t="s">
        <v>74</v>
      </c>
      <c r="BH97" t="s">
        <v>74</v>
      </c>
      <c r="BI97">
        <v>12</v>
      </c>
      <c r="BJ97" t="s">
        <v>126</v>
      </c>
      <c r="BK97" t="s">
        <v>101</v>
      </c>
      <c r="BL97" t="s">
        <v>127</v>
      </c>
      <c r="BM97" t="s">
        <v>2240</v>
      </c>
      <c r="BN97">
        <v>34784777</v>
      </c>
      <c r="BO97" t="s">
        <v>2241</v>
      </c>
      <c r="BP97" t="s">
        <v>74</v>
      </c>
      <c r="BQ97" t="s">
        <v>74</v>
      </c>
      <c r="BR97" t="s">
        <v>105</v>
      </c>
      <c r="BS97" t="s">
        <v>2242</v>
      </c>
      <c r="BT97" t="str">
        <f>HYPERLINK("https%3A%2F%2Fwww.webofscience.com%2Fwos%2Fwoscc%2Ffull-record%2FWOS:000719327000002","View Full Record in Web of Science")</f>
        <v>View Full Record in Web of Science</v>
      </c>
    </row>
    <row r="98" spans="1:72" x14ac:dyDescent="0.15">
      <c r="A98" t="s">
        <v>72</v>
      </c>
      <c r="B98" t="s">
        <v>2243</v>
      </c>
      <c r="C98" t="s">
        <v>74</v>
      </c>
      <c r="D98" t="s">
        <v>74</v>
      </c>
      <c r="E98" t="s">
        <v>74</v>
      </c>
      <c r="F98" t="s">
        <v>2244</v>
      </c>
      <c r="G98" t="s">
        <v>74</v>
      </c>
      <c r="H98" t="s">
        <v>74</v>
      </c>
      <c r="I98" t="s">
        <v>2245</v>
      </c>
      <c r="J98" t="s">
        <v>935</v>
      </c>
      <c r="K98" t="s">
        <v>74</v>
      </c>
      <c r="L98" t="s">
        <v>74</v>
      </c>
      <c r="M98" t="s">
        <v>78</v>
      </c>
      <c r="N98" t="s">
        <v>79</v>
      </c>
      <c r="O98" t="s">
        <v>74</v>
      </c>
      <c r="P98" t="s">
        <v>74</v>
      </c>
      <c r="Q98" t="s">
        <v>74</v>
      </c>
      <c r="R98" t="s">
        <v>74</v>
      </c>
      <c r="S98" t="s">
        <v>74</v>
      </c>
      <c r="T98" t="s">
        <v>2246</v>
      </c>
      <c r="U98" t="s">
        <v>2247</v>
      </c>
      <c r="V98" t="s">
        <v>2248</v>
      </c>
      <c r="W98" t="s">
        <v>2249</v>
      </c>
      <c r="X98" t="s">
        <v>2250</v>
      </c>
      <c r="Y98" t="s">
        <v>2251</v>
      </c>
      <c r="Z98" t="s">
        <v>2252</v>
      </c>
      <c r="AA98" t="s">
        <v>2253</v>
      </c>
      <c r="AB98" t="s">
        <v>2254</v>
      </c>
      <c r="AC98" t="s">
        <v>2255</v>
      </c>
      <c r="AD98" t="s">
        <v>2255</v>
      </c>
      <c r="AE98" t="s">
        <v>2256</v>
      </c>
      <c r="AF98" t="s">
        <v>74</v>
      </c>
      <c r="AG98">
        <v>12</v>
      </c>
      <c r="AH98">
        <v>0</v>
      </c>
      <c r="AI98">
        <v>0</v>
      </c>
      <c r="AJ98">
        <v>3</v>
      </c>
      <c r="AK98">
        <v>11</v>
      </c>
      <c r="AL98" t="s">
        <v>169</v>
      </c>
      <c r="AM98" t="s">
        <v>170</v>
      </c>
      <c r="AN98" t="s">
        <v>171</v>
      </c>
      <c r="AO98" t="s">
        <v>948</v>
      </c>
      <c r="AP98" t="s">
        <v>949</v>
      </c>
      <c r="AQ98" t="s">
        <v>74</v>
      </c>
      <c r="AR98" t="s">
        <v>950</v>
      </c>
      <c r="AS98" t="s">
        <v>951</v>
      </c>
      <c r="AT98" t="s">
        <v>416</v>
      </c>
      <c r="AU98">
        <v>2022</v>
      </c>
      <c r="AV98">
        <v>45</v>
      </c>
      <c r="AW98">
        <v>1</v>
      </c>
      <c r="AX98" t="s">
        <v>74</v>
      </c>
      <c r="AY98" t="s">
        <v>74</v>
      </c>
      <c r="AZ98" t="s">
        <v>74</v>
      </c>
      <c r="BA98" t="s">
        <v>74</v>
      </c>
      <c r="BB98">
        <v>149</v>
      </c>
      <c r="BC98">
        <v>152</v>
      </c>
      <c r="BD98" t="s">
        <v>74</v>
      </c>
      <c r="BE98" t="s">
        <v>2257</v>
      </c>
      <c r="BF98" t="str">
        <f>HYPERLINK("http://dx.doi.org/10.1007/s00300-021-02968-4","http://dx.doi.org/10.1007/s00300-021-02968-4")</f>
        <v>http://dx.doi.org/10.1007/s00300-021-02968-4</v>
      </c>
      <c r="BG98" t="s">
        <v>74</v>
      </c>
      <c r="BH98" t="s">
        <v>263</v>
      </c>
      <c r="BI98">
        <v>4</v>
      </c>
      <c r="BJ98" t="s">
        <v>605</v>
      </c>
      <c r="BK98" t="s">
        <v>101</v>
      </c>
      <c r="BL98" t="s">
        <v>606</v>
      </c>
      <c r="BM98" t="s">
        <v>1372</v>
      </c>
      <c r="BN98" t="s">
        <v>74</v>
      </c>
      <c r="BO98" t="s">
        <v>74</v>
      </c>
      <c r="BP98" t="s">
        <v>74</v>
      </c>
      <c r="BQ98" t="s">
        <v>74</v>
      </c>
      <c r="BR98" t="s">
        <v>105</v>
      </c>
      <c r="BS98" t="s">
        <v>2258</v>
      </c>
      <c r="BT98" t="str">
        <f>HYPERLINK("https%3A%2F%2Fwww.webofscience.com%2Fwos%2Fwoscc%2Ffull-record%2FWOS:000719800600001","View Full Record in Web of Science")</f>
        <v>View Full Record in Web of Science</v>
      </c>
    </row>
    <row r="99" spans="1:72" x14ac:dyDescent="0.15">
      <c r="A99" t="s">
        <v>72</v>
      </c>
      <c r="B99" t="s">
        <v>2259</v>
      </c>
      <c r="C99" t="s">
        <v>74</v>
      </c>
      <c r="D99" t="s">
        <v>74</v>
      </c>
      <c r="E99" t="s">
        <v>74</v>
      </c>
      <c r="F99" t="s">
        <v>2260</v>
      </c>
      <c r="G99" t="s">
        <v>74</v>
      </c>
      <c r="H99" t="s">
        <v>74</v>
      </c>
      <c r="I99" t="s">
        <v>2261</v>
      </c>
      <c r="J99" t="s">
        <v>2262</v>
      </c>
      <c r="K99" t="s">
        <v>74</v>
      </c>
      <c r="L99" t="s">
        <v>74</v>
      </c>
      <c r="M99" t="s">
        <v>78</v>
      </c>
      <c r="N99" t="s">
        <v>79</v>
      </c>
      <c r="O99" t="s">
        <v>74</v>
      </c>
      <c r="P99" t="s">
        <v>74</v>
      </c>
      <c r="Q99" t="s">
        <v>74</v>
      </c>
      <c r="R99" t="s">
        <v>74</v>
      </c>
      <c r="S99" t="s">
        <v>74</v>
      </c>
      <c r="T99" t="s">
        <v>2263</v>
      </c>
      <c r="U99" t="s">
        <v>2264</v>
      </c>
      <c r="V99" t="s">
        <v>2265</v>
      </c>
      <c r="W99" t="s">
        <v>2266</v>
      </c>
      <c r="X99" t="s">
        <v>2267</v>
      </c>
      <c r="Y99" t="s">
        <v>2268</v>
      </c>
      <c r="Z99" t="s">
        <v>2269</v>
      </c>
      <c r="AA99" t="s">
        <v>2270</v>
      </c>
      <c r="AB99" t="s">
        <v>2271</v>
      </c>
      <c r="AC99" t="s">
        <v>2272</v>
      </c>
      <c r="AD99" t="s">
        <v>2273</v>
      </c>
      <c r="AE99" t="s">
        <v>2274</v>
      </c>
      <c r="AF99" t="s">
        <v>74</v>
      </c>
      <c r="AG99">
        <v>41</v>
      </c>
      <c r="AH99">
        <v>16</v>
      </c>
      <c r="AI99">
        <v>16</v>
      </c>
      <c r="AJ99">
        <v>2</v>
      </c>
      <c r="AK99">
        <v>24</v>
      </c>
      <c r="AL99" t="s">
        <v>572</v>
      </c>
      <c r="AM99" t="s">
        <v>573</v>
      </c>
      <c r="AN99" t="s">
        <v>574</v>
      </c>
      <c r="AO99" t="s">
        <v>2275</v>
      </c>
      <c r="AP99" t="s">
        <v>2276</v>
      </c>
      <c r="AQ99" t="s">
        <v>74</v>
      </c>
      <c r="AR99" t="s">
        <v>2277</v>
      </c>
      <c r="AS99" t="s">
        <v>2278</v>
      </c>
      <c r="AT99" t="s">
        <v>1000</v>
      </c>
      <c r="AU99">
        <v>2022</v>
      </c>
      <c r="AV99">
        <v>36</v>
      </c>
      <c r="AW99">
        <v>2</v>
      </c>
      <c r="AX99" t="s">
        <v>74</v>
      </c>
      <c r="AY99" t="s">
        <v>74</v>
      </c>
      <c r="AZ99" t="s">
        <v>74</v>
      </c>
      <c r="BA99" t="s">
        <v>74</v>
      </c>
      <c r="BB99" t="s">
        <v>74</v>
      </c>
      <c r="BC99" t="s">
        <v>74</v>
      </c>
      <c r="BD99" t="s">
        <v>74</v>
      </c>
      <c r="BE99" t="s">
        <v>2279</v>
      </c>
      <c r="BF99" t="str">
        <f>HYPERLINK("http://dx.doi.org/10.1111/cobi.13844","http://dx.doi.org/10.1111/cobi.13844")</f>
        <v>http://dx.doi.org/10.1111/cobi.13844</v>
      </c>
      <c r="BG99" t="s">
        <v>74</v>
      </c>
      <c r="BH99" t="s">
        <v>263</v>
      </c>
      <c r="BI99">
        <v>14</v>
      </c>
      <c r="BJ99" t="s">
        <v>1900</v>
      </c>
      <c r="BK99" t="s">
        <v>207</v>
      </c>
      <c r="BL99" t="s">
        <v>606</v>
      </c>
      <c r="BM99" t="s">
        <v>2280</v>
      </c>
      <c r="BN99">
        <v>34605070</v>
      </c>
      <c r="BO99" t="s">
        <v>1614</v>
      </c>
      <c r="BP99" t="s">
        <v>74</v>
      </c>
      <c r="BQ99" t="s">
        <v>74</v>
      </c>
      <c r="BR99" t="s">
        <v>105</v>
      </c>
      <c r="BS99" t="s">
        <v>2281</v>
      </c>
      <c r="BT99" t="str">
        <f>HYPERLINK("https%3A%2F%2Fwww.webofscience.com%2Fwos%2Fwoscc%2Ffull-record%2FWOS:000719334400001","View Full Record in Web of Science")</f>
        <v>View Full Record in Web of Science</v>
      </c>
    </row>
    <row r="100" spans="1:72" x14ac:dyDescent="0.15">
      <c r="A100" t="s">
        <v>72</v>
      </c>
      <c r="B100" t="s">
        <v>2282</v>
      </c>
      <c r="C100" t="s">
        <v>74</v>
      </c>
      <c r="D100" t="s">
        <v>74</v>
      </c>
      <c r="E100" t="s">
        <v>74</v>
      </c>
      <c r="F100" t="s">
        <v>2283</v>
      </c>
      <c r="G100" t="s">
        <v>74</v>
      </c>
      <c r="H100" t="s">
        <v>74</v>
      </c>
      <c r="I100" t="s">
        <v>2284</v>
      </c>
      <c r="J100" t="s">
        <v>2285</v>
      </c>
      <c r="K100" t="s">
        <v>74</v>
      </c>
      <c r="L100" t="s">
        <v>74</v>
      </c>
      <c r="M100" t="s">
        <v>78</v>
      </c>
      <c r="N100" t="s">
        <v>79</v>
      </c>
      <c r="O100" t="s">
        <v>74</v>
      </c>
      <c r="P100" t="s">
        <v>74</v>
      </c>
      <c r="Q100" t="s">
        <v>74</v>
      </c>
      <c r="R100" t="s">
        <v>74</v>
      </c>
      <c r="S100" t="s">
        <v>74</v>
      </c>
      <c r="T100" t="s">
        <v>74</v>
      </c>
      <c r="U100" t="s">
        <v>2286</v>
      </c>
      <c r="V100" t="s">
        <v>2287</v>
      </c>
      <c r="W100" t="s">
        <v>2288</v>
      </c>
      <c r="X100" t="s">
        <v>2289</v>
      </c>
      <c r="Y100" t="s">
        <v>2290</v>
      </c>
      <c r="Z100" t="s">
        <v>74</v>
      </c>
      <c r="AA100" t="s">
        <v>74</v>
      </c>
      <c r="AB100" t="s">
        <v>2291</v>
      </c>
      <c r="AC100" t="s">
        <v>74</v>
      </c>
      <c r="AD100" t="s">
        <v>74</v>
      </c>
      <c r="AE100" t="s">
        <v>74</v>
      </c>
      <c r="AF100" t="s">
        <v>74</v>
      </c>
      <c r="AG100">
        <v>100</v>
      </c>
      <c r="AH100">
        <v>10</v>
      </c>
      <c r="AI100">
        <v>11</v>
      </c>
      <c r="AJ100">
        <v>2</v>
      </c>
      <c r="AK100">
        <v>11</v>
      </c>
      <c r="AL100" t="s">
        <v>1714</v>
      </c>
      <c r="AM100" t="s">
        <v>256</v>
      </c>
      <c r="AN100" t="s">
        <v>1715</v>
      </c>
      <c r="AO100" t="s">
        <v>2292</v>
      </c>
      <c r="AP100" t="s">
        <v>2293</v>
      </c>
      <c r="AQ100" t="s">
        <v>74</v>
      </c>
      <c r="AR100" t="s">
        <v>2294</v>
      </c>
      <c r="AS100" t="s">
        <v>2295</v>
      </c>
      <c r="AT100" t="s">
        <v>2296</v>
      </c>
      <c r="AU100">
        <v>2022</v>
      </c>
      <c r="AV100">
        <v>66</v>
      </c>
      <c r="AW100">
        <v>1</v>
      </c>
      <c r="AX100" t="s">
        <v>74</v>
      </c>
      <c r="AY100" t="s">
        <v>74</v>
      </c>
      <c r="AZ100" t="s">
        <v>74</v>
      </c>
      <c r="BA100" t="s">
        <v>74</v>
      </c>
      <c r="BB100" t="s">
        <v>74</v>
      </c>
      <c r="BC100" t="s">
        <v>74</v>
      </c>
      <c r="BD100" t="s">
        <v>74</v>
      </c>
      <c r="BE100" t="s">
        <v>2297</v>
      </c>
      <c r="BF100" t="str">
        <f>HYPERLINK("http://dx.doi.org/10.1093/isq/sqab084","http://dx.doi.org/10.1093/isq/sqab084")</f>
        <v>http://dx.doi.org/10.1093/isq/sqab084</v>
      </c>
      <c r="BG100" t="s">
        <v>74</v>
      </c>
      <c r="BH100" t="s">
        <v>263</v>
      </c>
      <c r="BI100">
        <v>14</v>
      </c>
      <c r="BJ100" t="s">
        <v>2298</v>
      </c>
      <c r="BK100" t="s">
        <v>2299</v>
      </c>
      <c r="BL100" t="s">
        <v>2300</v>
      </c>
      <c r="BM100" t="s">
        <v>2301</v>
      </c>
      <c r="BN100" t="s">
        <v>74</v>
      </c>
      <c r="BO100" t="s">
        <v>74</v>
      </c>
      <c r="BP100" t="s">
        <v>74</v>
      </c>
      <c r="BQ100" t="s">
        <v>74</v>
      </c>
      <c r="BR100" t="s">
        <v>105</v>
      </c>
      <c r="BS100" t="s">
        <v>2302</v>
      </c>
      <c r="BT100" t="str">
        <f>HYPERLINK("https%3A%2F%2Fwww.webofscience.com%2Fwos%2Fwoscc%2Ffull-record%2FWOS:000790164600001","View Full Record in Web of Science")</f>
        <v>View Full Record in Web of Science</v>
      </c>
    </row>
    <row r="101" spans="1:72" x14ac:dyDescent="0.15">
      <c r="A101" t="s">
        <v>72</v>
      </c>
      <c r="B101" t="s">
        <v>2303</v>
      </c>
      <c r="C101" t="s">
        <v>74</v>
      </c>
      <c r="D101" t="s">
        <v>74</v>
      </c>
      <c r="E101" t="s">
        <v>74</v>
      </c>
      <c r="F101" t="s">
        <v>2304</v>
      </c>
      <c r="G101" t="s">
        <v>74</v>
      </c>
      <c r="H101" t="s">
        <v>74</v>
      </c>
      <c r="I101" t="s">
        <v>2305</v>
      </c>
      <c r="J101" t="s">
        <v>747</v>
      </c>
      <c r="K101" t="s">
        <v>74</v>
      </c>
      <c r="L101" t="s">
        <v>74</v>
      </c>
      <c r="M101" t="s">
        <v>78</v>
      </c>
      <c r="N101" t="s">
        <v>79</v>
      </c>
      <c r="O101" t="s">
        <v>74</v>
      </c>
      <c r="P101" t="s">
        <v>74</v>
      </c>
      <c r="Q101" t="s">
        <v>74</v>
      </c>
      <c r="R101" t="s">
        <v>74</v>
      </c>
      <c r="S101" t="s">
        <v>74</v>
      </c>
      <c r="T101" t="s">
        <v>2306</v>
      </c>
      <c r="U101" t="s">
        <v>2307</v>
      </c>
      <c r="V101" t="s">
        <v>2308</v>
      </c>
      <c r="W101" t="s">
        <v>2309</v>
      </c>
      <c r="X101" t="s">
        <v>2310</v>
      </c>
      <c r="Y101" t="s">
        <v>2311</v>
      </c>
      <c r="Z101" t="s">
        <v>2312</v>
      </c>
      <c r="AA101" t="s">
        <v>2313</v>
      </c>
      <c r="AB101" t="s">
        <v>2314</v>
      </c>
      <c r="AC101" t="s">
        <v>2315</v>
      </c>
      <c r="AD101" t="s">
        <v>2316</v>
      </c>
      <c r="AE101" t="s">
        <v>2317</v>
      </c>
      <c r="AF101" t="s">
        <v>74</v>
      </c>
      <c r="AG101">
        <v>81</v>
      </c>
      <c r="AH101">
        <v>5</v>
      </c>
      <c r="AI101">
        <v>7</v>
      </c>
      <c r="AJ101">
        <v>1</v>
      </c>
      <c r="AK101">
        <v>13</v>
      </c>
      <c r="AL101" t="s">
        <v>760</v>
      </c>
      <c r="AM101" t="s">
        <v>438</v>
      </c>
      <c r="AN101" t="s">
        <v>761</v>
      </c>
      <c r="AO101" t="s">
        <v>762</v>
      </c>
      <c r="AP101" t="s">
        <v>763</v>
      </c>
      <c r="AQ101" t="s">
        <v>74</v>
      </c>
      <c r="AR101" t="s">
        <v>764</v>
      </c>
      <c r="AS101" t="s">
        <v>765</v>
      </c>
      <c r="AT101" t="s">
        <v>2318</v>
      </c>
      <c r="AU101">
        <v>2021</v>
      </c>
      <c r="AV101">
        <v>48</v>
      </c>
      <c r="AW101">
        <v>21</v>
      </c>
      <c r="AX101" t="s">
        <v>74</v>
      </c>
      <c r="AY101" t="s">
        <v>74</v>
      </c>
      <c r="AZ101" t="s">
        <v>74</v>
      </c>
      <c r="BA101" t="s">
        <v>74</v>
      </c>
      <c r="BB101" t="s">
        <v>74</v>
      </c>
      <c r="BC101" t="s">
        <v>74</v>
      </c>
      <c r="BD101" t="s">
        <v>2319</v>
      </c>
      <c r="BE101" t="s">
        <v>2320</v>
      </c>
      <c r="BF101" t="str">
        <f>HYPERLINK("http://dx.doi.org/10.1029/2021GL095032","http://dx.doi.org/10.1029/2021GL095032")</f>
        <v>http://dx.doi.org/10.1029/2021GL095032</v>
      </c>
      <c r="BG101" t="s">
        <v>74</v>
      </c>
      <c r="BH101" t="s">
        <v>74</v>
      </c>
      <c r="BI101">
        <v>12</v>
      </c>
      <c r="BJ101" t="s">
        <v>236</v>
      </c>
      <c r="BK101" t="s">
        <v>101</v>
      </c>
      <c r="BL101" t="s">
        <v>237</v>
      </c>
      <c r="BM101" t="s">
        <v>2321</v>
      </c>
      <c r="BN101" t="s">
        <v>74</v>
      </c>
      <c r="BO101" t="s">
        <v>343</v>
      </c>
      <c r="BP101" t="s">
        <v>74</v>
      </c>
      <c r="BQ101" t="s">
        <v>74</v>
      </c>
      <c r="BR101" t="s">
        <v>105</v>
      </c>
      <c r="BS101" t="s">
        <v>2322</v>
      </c>
      <c r="BT101" t="str">
        <f>HYPERLINK("https%3A%2F%2Fwww.webofscience.com%2Fwos%2Fwoscc%2Ffull-record%2FWOS:000716768700034","View Full Record in Web of Science")</f>
        <v>View Full Record in Web of Science</v>
      </c>
    </row>
    <row r="102" spans="1:72" x14ac:dyDescent="0.15">
      <c r="A102" t="s">
        <v>72</v>
      </c>
      <c r="B102" t="s">
        <v>2323</v>
      </c>
      <c r="C102" t="s">
        <v>74</v>
      </c>
      <c r="D102" t="s">
        <v>74</v>
      </c>
      <c r="E102" t="s">
        <v>74</v>
      </c>
      <c r="F102" t="s">
        <v>2324</v>
      </c>
      <c r="G102" t="s">
        <v>74</v>
      </c>
      <c r="H102" t="s">
        <v>74</v>
      </c>
      <c r="I102" t="s">
        <v>2325</v>
      </c>
      <c r="J102" t="s">
        <v>747</v>
      </c>
      <c r="K102" t="s">
        <v>74</v>
      </c>
      <c r="L102" t="s">
        <v>74</v>
      </c>
      <c r="M102" t="s">
        <v>78</v>
      </c>
      <c r="N102" t="s">
        <v>79</v>
      </c>
      <c r="O102" t="s">
        <v>74</v>
      </c>
      <c r="P102" t="s">
        <v>74</v>
      </c>
      <c r="Q102" t="s">
        <v>74</v>
      </c>
      <c r="R102" t="s">
        <v>74</v>
      </c>
      <c r="S102" t="s">
        <v>74</v>
      </c>
      <c r="T102" t="s">
        <v>2326</v>
      </c>
      <c r="U102" t="s">
        <v>2327</v>
      </c>
      <c r="V102" t="s">
        <v>2328</v>
      </c>
      <c r="W102" t="s">
        <v>2329</v>
      </c>
      <c r="X102" t="s">
        <v>2330</v>
      </c>
      <c r="Y102" t="s">
        <v>2331</v>
      </c>
      <c r="Z102" t="s">
        <v>2332</v>
      </c>
      <c r="AA102" t="s">
        <v>2333</v>
      </c>
      <c r="AB102" t="s">
        <v>2334</v>
      </c>
      <c r="AC102" t="s">
        <v>2335</v>
      </c>
      <c r="AD102" t="s">
        <v>2336</v>
      </c>
      <c r="AE102" t="s">
        <v>2337</v>
      </c>
      <c r="AF102" t="s">
        <v>74</v>
      </c>
      <c r="AG102">
        <v>61</v>
      </c>
      <c r="AH102">
        <v>14</v>
      </c>
      <c r="AI102">
        <v>14</v>
      </c>
      <c r="AJ102">
        <v>1</v>
      </c>
      <c r="AK102">
        <v>16</v>
      </c>
      <c r="AL102" t="s">
        <v>760</v>
      </c>
      <c r="AM102" t="s">
        <v>438</v>
      </c>
      <c r="AN102" t="s">
        <v>761</v>
      </c>
      <c r="AO102" t="s">
        <v>762</v>
      </c>
      <c r="AP102" t="s">
        <v>763</v>
      </c>
      <c r="AQ102" t="s">
        <v>74</v>
      </c>
      <c r="AR102" t="s">
        <v>764</v>
      </c>
      <c r="AS102" t="s">
        <v>765</v>
      </c>
      <c r="AT102" t="s">
        <v>2318</v>
      </c>
      <c r="AU102">
        <v>2021</v>
      </c>
      <c r="AV102">
        <v>48</v>
      </c>
      <c r="AW102">
        <v>21</v>
      </c>
      <c r="AX102" t="s">
        <v>74</v>
      </c>
      <c r="AY102" t="s">
        <v>74</v>
      </c>
      <c r="AZ102" t="s">
        <v>74</v>
      </c>
      <c r="BA102" t="s">
        <v>74</v>
      </c>
      <c r="BB102" t="s">
        <v>74</v>
      </c>
      <c r="BC102" t="s">
        <v>74</v>
      </c>
      <c r="BD102" t="s">
        <v>2338</v>
      </c>
      <c r="BE102" t="s">
        <v>2339</v>
      </c>
      <c r="BF102" t="str">
        <f>HYPERLINK("http://dx.doi.org/10.1029/2021GL094871","http://dx.doi.org/10.1029/2021GL094871")</f>
        <v>http://dx.doi.org/10.1029/2021GL094871</v>
      </c>
      <c r="BG102" t="s">
        <v>74</v>
      </c>
      <c r="BH102" t="s">
        <v>74</v>
      </c>
      <c r="BI102">
        <v>10</v>
      </c>
      <c r="BJ102" t="s">
        <v>236</v>
      </c>
      <c r="BK102" t="s">
        <v>101</v>
      </c>
      <c r="BL102" t="s">
        <v>237</v>
      </c>
      <c r="BM102" t="s">
        <v>2321</v>
      </c>
      <c r="BN102" t="s">
        <v>74</v>
      </c>
      <c r="BO102" t="s">
        <v>2340</v>
      </c>
      <c r="BP102" t="s">
        <v>74</v>
      </c>
      <c r="BQ102" t="s">
        <v>74</v>
      </c>
      <c r="BR102" t="s">
        <v>105</v>
      </c>
      <c r="BS102" t="s">
        <v>2341</v>
      </c>
      <c r="BT102" t="str">
        <f>HYPERLINK("https%3A%2F%2Fwww.webofscience.com%2Fwos%2Fwoscc%2Ffull-record%2FWOS:000716768700001","View Full Record in Web of Science")</f>
        <v>View Full Record in Web of Science</v>
      </c>
    </row>
    <row r="103" spans="1:72" x14ac:dyDescent="0.15">
      <c r="A103" t="s">
        <v>72</v>
      </c>
      <c r="B103" t="s">
        <v>2342</v>
      </c>
      <c r="C103" t="s">
        <v>74</v>
      </c>
      <c r="D103" t="s">
        <v>74</v>
      </c>
      <c r="E103" t="s">
        <v>74</v>
      </c>
      <c r="F103" t="s">
        <v>2343</v>
      </c>
      <c r="G103" t="s">
        <v>74</v>
      </c>
      <c r="H103" t="s">
        <v>74</v>
      </c>
      <c r="I103" t="s">
        <v>2344</v>
      </c>
      <c r="J103" t="s">
        <v>747</v>
      </c>
      <c r="K103" t="s">
        <v>74</v>
      </c>
      <c r="L103" t="s">
        <v>74</v>
      </c>
      <c r="M103" t="s">
        <v>78</v>
      </c>
      <c r="N103" t="s">
        <v>79</v>
      </c>
      <c r="O103" t="s">
        <v>74</v>
      </c>
      <c r="P103" t="s">
        <v>74</v>
      </c>
      <c r="Q103" t="s">
        <v>74</v>
      </c>
      <c r="R103" t="s">
        <v>74</v>
      </c>
      <c r="S103" t="s">
        <v>74</v>
      </c>
      <c r="T103" t="s">
        <v>2345</v>
      </c>
      <c r="U103" t="s">
        <v>2346</v>
      </c>
      <c r="V103" t="s">
        <v>2347</v>
      </c>
      <c r="W103" t="s">
        <v>2348</v>
      </c>
      <c r="X103" t="s">
        <v>2349</v>
      </c>
      <c r="Y103" t="s">
        <v>2350</v>
      </c>
      <c r="Z103" t="s">
        <v>2351</v>
      </c>
      <c r="AA103" t="s">
        <v>2352</v>
      </c>
      <c r="AB103" t="s">
        <v>2353</v>
      </c>
      <c r="AC103" t="s">
        <v>2354</v>
      </c>
      <c r="AD103" t="s">
        <v>2355</v>
      </c>
      <c r="AE103" t="s">
        <v>2356</v>
      </c>
      <c r="AF103" t="s">
        <v>74</v>
      </c>
      <c r="AG103">
        <v>43</v>
      </c>
      <c r="AH103">
        <v>5</v>
      </c>
      <c r="AI103">
        <v>5</v>
      </c>
      <c r="AJ103">
        <v>0</v>
      </c>
      <c r="AK103">
        <v>5</v>
      </c>
      <c r="AL103" t="s">
        <v>760</v>
      </c>
      <c r="AM103" t="s">
        <v>438</v>
      </c>
      <c r="AN103" t="s">
        <v>761</v>
      </c>
      <c r="AO103" t="s">
        <v>762</v>
      </c>
      <c r="AP103" t="s">
        <v>763</v>
      </c>
      <c r="AQ103" t="s">
        <v>74</v>
      </c>
      <c r="AR103" t="s">
        <v>764</v>
      </c>
      <c r="AS103" t="s">
        <v>765</v>
      </c>
      <c r="AT103" t="s">
        <v>2318</v>
      </c>
      <c r="AU103">
        <v>2021</v>
      </c>
      <c r="AV103">
        <v>48</v>
      </c>
      <c r="AW103">
        <v>21</v>
      </c>
      <c r="AX103" t="s">
        <v>74</v>
      </c>
      <c r="AY103" t="s">
        <v>74</v>
      </c>
      <c r="AZ103" t="s">
        <v>74</v>
      </c>
      <c r="BA103" t="s">
        <v>74</v>
      </c>
      <c r="BB103" t="s">
        <v>74</v>
      </c>
      <c r="BC103" t="s">
        <v>74</v>
      </c>
      <c r="BD103" t="s">
        <v>2357</v>
      </c>
      <c r="BE103" t="s">
        <v>2358</v>
      </c>
      <c r="BF103" t="str">
        <f>HYPERLINK("http://dx.doi.org/10.1029/2021GL095389","http://dx.doi.org/10.1029/2021GL095389")</f>
        <v>http://dx.doi.org/10.1029/2021GL095389</v>
      </c>
      <c r="BG103" t="s">
        <v>74</v>
      </c>
      <c r="BH103" t="s">
        <v>74</v>
      </c>
      <c r="BI103">
        <v>10</v>
      </c>
      <c r="BJ103" t="s">
        <v>236</v>
      </c>
      <c r="BK103" t="s">
        <v>101</v>
      </c>
      <c r="BL103" t="s">
        <v>237</v>
      </c>
      <c r="BM103" t="s">
        <v>2321</v>
      </c>
      <c r="BN103" t="s">
        <v>74</v>
      </c>
      <c r="BO103" t="s">
        <v>74</v>
      </c>
      <c r="BP103" t="s">
        <v>74</v>
      </c>
      <c r="BQ103" t="s">
        <v>74</v>
      </c>
      <c r="BR103" t="s">
        <v>105</v>
      </c>
      <c r="BS103" t="s">
        <v>2359</v>
      </c>
      <c r="BT103" t="str">
        <f>HYPERLINK("https%3A%2F%2Fwww.webofscience.com%2Fwos%2Fwoscc%2Ffull-record%2FWOS:000716768700002","View Full Record in Web of Science")</f>
        <v>View Full Record in Web of Science</v>
      </c>
    </row>
    <row r="104" spans="1:72" x14ac:dyDescent="0.15">
      <c r="A104" t="s">
        <v>72</v>
      </c>
      <c r="B104" t="s">
        <v>2360</v>
      </c>
      <c r="C104" t="s">
        <v>74</v>
      </c>
      <c r="D104" t="s">
        <v>74</v>
      </c>
      <c r="E104" t="s">
        <v>74</v>
      </c>
      <c r="F104" t="s">
        <v>2361</v>
      </c>
      <c r="G104" t="s">
        <v>74</v>
      </c>
      <c r="H104" t="s">
        <v>74</v>
      </c>
      <c r="I104" t="s">
        <v>2362</v>
      </c>
      <c r="J104" t="s">
        <v>747</v>
      </c>
      <c r="K104" t="s">
        <v>74</v>
      </c>
      <c r="L104" t="s">
        <v>74</v>
      </c>
      <c r="M104" t="s">
        <v>78</v>
      </c>
      <c r="N104" t="s">
        <v>79</v>
      </c>
      <c r="O104" t="s">
        <v>74</v>
      </c>
      <c r="P104" t="s">
        <v>74</v>
      </c>
      <c r="Q104" t="s">
        <v>74</v>
      </c>
      <c r="R104" t="s">
        <v>74</v>
      </c>
      <c r="S104" t="s">
        <v>74</v>
      </c>
      <c r="T104" t="s">
        <v>2363</v>
      </c>
      <c r="U104" t="s">
        <v>2364</v>
      </c>
      <c r="V104" t="s">
        <v>2365</v>
      </c>
      <c r="W104" t="s">
        <v>2366</v>
      </c>
      <c r="X104" t="s">
        <v>2367</v>
      </c>
      <c r="Y104" t="s">
        <v>2368</v>
      </c>
      <c r="Z104" t="s">
        <v>2369</v>
      </c>
      <c r="AA104" t="s">
        <v>2370</v>
      </c>
      <c r="AB104" t="s">
        <v>2371</v>
      </c>
      <c r="AC104" t="s">
        <v>2372</v>
      </c>
      <c r="AD104" t="s">
        <v>2373</v>
      </c>
      <c r="AE104" t="s">
        <v>2374</v>
      </c>
      <c r="AF104" t="s">
        <v>74</v>
      </c>
      <c r="AG104">
        <v>53</v>
      </c>
      <c r="AH104">
        <v>9</v>
      </c>
      <c r="AI104">
        <v>9</v>
      </c>
      <c r="AJ104">
        <v>1</v>
      </c>
      <c r="AK104">
        <v>8</v>
      </c>
      <c r="AL104" t="s">
        <v>760</v>
      </c>
      <c r="AM104" t="s">
        <v>438</v>
      </c>
      <c r="AN104" t="s">
        <v>761</v>
      </c>
      <c r="AO104" t="s">
        <v>762</v>
      </c>
      <c r="AP104" t="s">
        <v>763</v>
      </c>
      <c r="AQ104" t="s">
        <v>74</v>
      </c>
      <c r="AR104" t="s">
        <v>764</v>
      </c>
      <c r="AS104" t="s">
        <v>765</v>
      </c>
      <c r="AT104" t="s">
        <v>2318</v>
      </c>
      <c r="AU104">
        <v>2021</v>
      </c>
      <c r="AV104">
        <v>48</v>
      </c>
      <c r="AW104">
        <v>21</v>
      </c>
      <c r="AX104" t="s">
        <v>74</v>
      </c>
      <c r="AY104" t="s">
        <v>74</v>
      </c>
      <c r="AZ104" t="s">
        <v>74</v>
      </c>
      <c r="BA104" t="s">
        <v>74</v>
      </c>
      <c r="BB104" t="s">
        <v>74</v>
      </c>
      <c r="BC104" t="s">
        <v>74</v>
      </c>
      <c r="BD104" t="s">
        <v>2375</v>
      </c>
      <c r="BE104" t="s">
        <v>2376</v>
      </c>
      <c r="BF104" t="str">
        <f>HYPERLINK("http://dx.doi.org/10.1029/2021GL094743","http://dx.doi.org/10.1029/2021GL094743")</f>
        <v>http://dx.doi.org/10.1029/2021GL094743</v>
      </c>
      <c r="BG104" t="s">
        <v>74</v>
      </c>
      <c r="BH104" t="s">
        <v>74</v>
      </c>
      <c r="BI104">
        <v>8</v>
      </c>
      <c r="BJ104" t="s">
        <v>236</v>
      </c>
      <c r="BK104" t="s">
        <v>101</v>
      </c>
      <c r="BL104" t="s">
        <v>237</v>
      </c>
      <c r="BM104" t="s">
        <v>2321</v>
      </c>
      <c r="BN104" t="s">
        <v>74</v>
      </c>
      <c r="BO104" t="s">
        <v>343</v>
      </c>
      <c r="BP104" t="s">
        <v>74</v>
      </c>
      <c r="BQ104" t="s">
        <v>74</v>
      </c>
      <c r="BR104" t="s">
        <v>105</v>
      </c>
      <c r="BS104" t="s">
        <v>2377</v>
      </c>
      <c r="BT104" t="str">
        <f>HYPERLINK("https%3A%2F%2Fwww.webofscience.com%2Fwos%2Fwoscc%2Ffull-record%2FWOS:000716768700010","View Full Record in Web of Science")</f>
        <v>View Full Record in Web of Science</v>
      </c>
    </row>
    <row r="105" spans="1:72" x14ac:dyDescent="0.15">
      <c r="A105" t="s">
        <v>72</v>
      </c>
      <c r="B105" t="s">
        <v>2378</v>
      </c>
      <c r="C105" t="s">
        <v>74</v>
      </c>
      <c r="D105" t="s">
        <v>74</v>
      </c>
      <c r="E105" t="s">
        <v>74</v>
      </c>
      <c r="F105" t="s">
        <v>2379</v>
      </c>
      <c r="G105" t="s">
        <v>74</v>
      </c>
      <c r="H105" t="s">
        <v>74</v>
      </c>
      <c r="I105" t="s">
        <v>2380</v>
      </c>
      <c r="J105" t="s">
        <v>747</v>
      </c>
      <c r="K105" t="s">
        <v>74</v>
      </c>
      <c r="L105" t="s">
        <v>74</v>
      </c>
      <c r="M105" t="s">
        <v>78</v>
      </c>
      <c r="N105" t="s">
        <v>79</v>
      </c>
      <c r="O105" t="s">
        <v>74</v>
      </c>
      <c r="P105" t="s">
        <v>74</v>
      </c>
      <c r="Q105" t="s">
        <v>74</v>
      </c>
      <c r="R105" t="s">
        <v>74</v>
      </c>
      <c r="S105" t="s">
        <v>74</v>
      </c>
      <c r="T105" t="s">
        <v>2381</v>
      </c>
      <c r="U105" t="s">
        <v>2382</v>
      </c>
      <c r="V105" t="s">
        <v>2383</v>
      </c>
      <c r="W105" t="s">
        <v>2384</v>
      </c>
      <c r="X105" t="s">
        <v>2385</v>
      </c>
      <c r="Y105" t="s">
        <v>2386</v>
      </c>
      <c r="Z105" t="s">
        <v>2387</v>
      </c>
      <c r="AA105" t="s">
        <v>2388</v>
      </c>
      <c r="AB105" t="s">
        <v>2389</v>
      </c>
      <c r="AC105" t="s">
        <v>2390</v>
      </c>
      <c r="AD105" t="s">
        <v>2391</v>
      </c>
      <c r="AE105" t="s">
        <v>2392</v>
      </c>
      <c r="AF105" t="s">
        <v>74</v>
      </c>
      <c r="AG105">
        <v>52</v>
      </c>
      <c r="AH105">
        <v>8</v>
      </c>
      <c r="AI105">
        <v>9</v>
      </c>
      <c r="AJ105">
        <v>1</v>
      </c>
      <c r="AK105">
        <v>7</v>
      </c>
      <c r="AL105" t="s">
        <v>760</v>
      </c>
      <c r="AM105" t="s">
        <v>438</v>
      </c>
      <c r="AN105" t="s">
        <v>761</v>
      </c>
      <c r="AO105" t="s">
        <v>762</v>
      </c>
      <c r="AP105" t="s">
        <v>763</v>
      </c>
      <c r="AQ105" t="s">
        <v>74</v>
      </c>
      <c r="AR105" t="s">
        <v>764</v>
      </c>
      <c r="AS105" t="s">
        <v>765</v>
      </c>
      <c r="AT105" t="s">
        <v>2318</v>
      </c>
      <c r="AU105">
        <v>2021</v>
      </c>
      <c r="AV105">
        <v>48</v>
      </c>
      <c r="AW105">
        <v>21</v>
      </c>
      <c r="AX105" t="s">
        <v>74</v>
      </c>
      <c r="AY105" t="s">
        <v>74</v>
      </c>
      <c r="AZ105" t="s">
        <v>74</v>
      </c>
      <c r="BA105" t="s">
        <v>74</v>
      </c>
      <c r="BB105" t="s">
        <v>74</v>
      </c>
      <c r="BC105" t="s">
        <v>74</v>
      </c>
      <c r="BD105" t="s">
        <v>2393</v>
      </c>
      <c r="BE105" t="s">
        <v>2394</v>
      </c>
      <c r="BF105" t="str">
        <f>HYPERLINK("http://dx.doi.org/10.1029/2021GL094872","http://dx.doi.org/10.1029/2021GL094872")</f>
        <v>http://dx.doi.org/10.1029/2021GL094872</v>
      </c>
      <c r="BG105" t="s">
        <v>74</v>
      </c>
      <c r="BH105" t="s">
        <v>74</v>
      </c>
      <c r="BI105">
        <v>11</v>
      </c>
      <c r="BJ105" t="s">
        <v>236</v>
      </c>
      <c r="BK105" t="s">
        <v>101</v>
      </c>
      <c r="BL105" t="s">
        <v>237</v>
      </c>
      <c r="BM105" t="s">
        <v>2321</v>
      </c>
      <c r="BN105" t="s">
        <v>74</v>
      </c>
      <c r="BO105" t="s">
        <v>2395</v>
      </c>
      <c r="BP105" t="s">
        <v>74</v>
      </c>
      <c r="BQ105" t="s">
        <v>74</v>
      </c>
      <c r="BR105" t="s">
        <v>105</v>
      </c>
      <c r="BS105" t="s">
        <v>2396</v>
      </c>
      <c r="BT105" t="str">
        <f>HYPERLINK("https%3A%2F%2Fwww.webofscience.com%2Fwos%2Fwoscc%2Ffull-record%2FWOS:000716768700044","View Full Record in Web of Science")</f>
        <v>View Full Record in Web of Science</v>
      </c>
    </row>
    <row r="106" spans="1:72" x14ac:dyDescent="0.15">
      <c r="A106" t="s">
        <v>72</v>
      </c>
      <c r="B106" t="s">
        <v>2397</v>
      </c>
      <c r="C106" t="s">
        <v>74</v>
      </c>
      <c r="D106" t="s">
        <v>74</v>
      </c>
      <c r="E106" t="s">
        <v>74</v>
      </c>
      <c r="F106" t="s">
        <v>2398</v>
      </c>
      <c r="G106" t="s">
        <v>74</v>
      </c>
      <c r="H106" t="s">
        <v>74</v>
      </c>
      <c r="I106" t="s">
        <v>2399</v>
      </c>
      <c r="J106" t="s">
        <v>886</v>
      </c>
      <c r="K106" t="s">
        <v>74</v>
      </c>
      <c r="L106" t="s">
        <v>74</v>
      </c>
      <c r="M106" t="s">
        <v>78</v>
      </c>
      <c r="N106" t="s">
        <v>79</v>
      </c>
      <c r="O106" t="s">
        <v>74</v>
      </c>
      <c r="P106" t="s">
        <v>74</v>
      </c>
      <c r="Q106" t="s">
        <v>74</v>
      </c>
      <c r="R106" t="s">
        <v>74</v>
      </c>
      <c r="S106" t="s">
        <v>74</v>
      </c>
      <c r="T106" t="s">
        <v>74</v>
      </c>
      <c r="U106" t="s">
        <v>2400</v>
      </c>
      <c r="V106" t="s">
        <v>2401</v>
      </c>
      <c r="W106" t="s">
        <v>2402</v>
      </c>
      <c r="X106" t="s">
        <v>2403</v>
      </c>
      <c r="Y106" t="s">
        <v>2404</v>
      </c>
      <c r="Z106" t="s">
        <v>2405</v>
      </c>
      <c r="AA106" t="s">
        <v>2406</v>
      </c>
      <c r="AB106" t="s">
        <v>2407</v>
      </c>
      <c r="AC106" t="s">
        <v>2408</v>
      </c>
      <c r="AD106" t="s">
        <v>2409</v>
      </c>
      <c r="AE106" t="s">
        <v>2410</v>
      </c>
      <c r="AF106" t="s">
        <v>74</v>
      </c>
      <c r="AG106">
        <v>93</v>
      </c>
      <c r="AH106">
        <v>8</v>
      </c>
      <c r="AI106">
        <v>10</v>
      </c>
      <c r="AJ106">
        <v>5</v>
      </c>
      <c r="AK106">
        <v>22</v>
      </c>
      <c r="AL106" t="s">
        <v>760</v>
      </c>
      <c r="AM106" t="s">
        <v>438</v>
      </c>
      <c r="AN106" t="s">
        <v>761</v>
      </c>
      <c r="AO106" t="s">
        <v>899</v>
      </c>
      <c r="AP106" t="s">
        <v>900</v>
      </c>
      <c r="AQ106" t="s">
        <v>74</v>
      </c>
      <c r="AR106" t="s">
        <v>901</v>
      </c>
      <c r="AS106" t="s">
        <v>902</v>
      </c>
      <c r="AT106" t="s">
        <v>2318</v>
      </c>
      <c r="AU106">
        <v>2021</v>
      </c>
      <c r="AV106">
        <v>126</v>
      </c>
      <c r="AW106">
        <v>21</v>
      </c>
      <c r="AX106" t="s">
        <v>74</v>
      </c>
      <c r="AY106" t="s">
        <v>74</v>
      </c>
      <c r="AZ106" t="s">
        <v>74</v>
      </c>
      <c r="BA106" t="s">
        <v>74</v>
      </c>
      <c r="BB106" t="s">
        <v>74</v>
      </c>
      <c r="BC106" t="s">
        <v>74</v>
      </c>
      <c r="BD106" t="s">
        <v>2411</v>
      </c>
      <c r="BE106" t="s">
        <v>2412</v>
      </c>
      <c r="BF106" t="str">
        <f>HYPERLINK("http://dx.doi.org/10.1029/2021JD034737","http://dx.doi.org/10.1029/2021JD034737")</f>
        <v>http://dx.doi.org/10.1029/2021JD034737</v>
      </c>
      <c r="BG106" t="s">
        <v>74</v>
      </c>
      <c r="BH106" t="s">
        <v>74</v>
      </c>
      <c r="BI106">
        <v>19</v>
      </c>
      <c r="BJ106" t="s">
        <v>829</v>
      </c>
      <c r="BK106" t="s">
        <v>101</v>
      </c>
      <c r="BL106" t="s">
        <v>829</v>
      </c>
      <c r="BM106" t="s">
        <v>2413</v>
      </c>
      <c r="BN106" t="s">
        <v>74</v>
      </c>
      <c r="BO106" t="s">
        <v>74</v>
      </c>
      <c r="BP106" t="s">
        <v>74</v>
      </c>
      <c r="BQ106" t="s">
        <v>74</v>
      </c>
      <c r="BR106" t="s">
        <v>105</v>
      </c>
      <c r="BS106" t="s">
        <v>2414</v>
      </c>
      <c r="BT106" t="str">
        <f>HYPERLINK("https%3A%2F%2Fwww.webofscience.com%2Fwos%2Fwoscc%2Ffull-record%2FWOS:000716774200030","View Full Record in Web of Science")</f>
        <v>View Full Record in Web of Science</v>
      </c>
    </row>
    <row r="107" spans="1:72" x14ac:dyDescent="0.15">
      <c r="A107" t="s">
        <v>72</v>
      </c>
      <c r="B107" t="s">
        <v>2415</v>
      </c>
      <c r="C107" t="s">
        <v>74</v>
      </c>
      <c r="D107" t="s">
        <v>74</v>
      </c>
      <c r="E107" t="s">
        <v>74</v>
      </c>
      <c r="F107" t="s">
        <v>2416</v>
      </c>
      <c r="G107" t="s">
        <v>74</v>
      </c>
      <c r="H107" t="s">
        <v>74</v>
      </c>
      <c r="I107" t="s">
        <v>2417</v>
      </c>
      <c r="J107" t="s">
        <v>2418</v>
      </c>
      <c r="K107" t="s">
        <v>74</v>
      </c>
      <c r="L107" t="s">
        <v>74</v>
      </c>
      <c r="M107" t="s">
        <v>78</v>
      </c>
      <c r="N107" t="s">
        <v>79</v>
      </c>
      <c r="O107" t="s">
        <v>74</v>
      </c>
      <c r="P107" t="s">
        <v>74</v>
      </c>
      <c r="Q107" t="s">
        <v>74</v>
      </c>
      <c r="R107" t="s">
        <v>74</v>
      </c>
      <c r="S107" t="s">
        <v>74</v>
      </c>
      <c r="T107" t="s">
        <v>2419</v>
      </c>
      <c r="U107" t="s">
        <v>2420</v>
      </c>
      <c r="V107" t="s">
        <v>2421</v>
      </c>
      <c r="W107" t="s">
        <v>2422</v>
      </c>
      <c r="X107" t="s">
        <v>2423</v>
      </c>
      <c r="Y107" t="s">
        <v>2424</v>
      </c>
      <c r="Z107" t="s">
        <v>2425</v>
      </c>
      <c r="AA107" t="s">
        <v>2426</v>
      </c>
      <c r="AB107" t="s">
        <v>2427</v>
      </c>
      <c r="AC107" t="s">
        <v>2428</v>
      </c>
      <c r="AD107" t="s">
        <v>2429</v>
      </c>
      <c r="AE107" t="s">
        <v>2430</v>
      </c>
      <c r="AF107" t="s">
        <v>74</v>
      </c>
      <c r="AG107">
        <v>144</v>
      </c>
      <c r="AH107">
        <v>17</v>
      </c>
      <c r="AI107">
        <v>18</v>
      </c>
      <c r="AJ107">
        <v>9</v>
      </c>
      <c r="AK107">
        <v>47</v>
      </c>
      <c r="AL107" t="s">
        <v>1687</v>
      </c>
      <c r="AM107" t="s">
        <v>333</v>
      </c>
      <c r="AN107" t="s">
        <v>1688</v>
      </c>
      <c r="AO107" t="s">
        <v>2431</v>
      </c>
      <c r="AP107" t="s">
        <v>2432</v>
      </c>
      <c r="AQ107" t="s">
        <v>74</v>
      </c>
      <c r="AR107" t="s">
        <v>2433</v>
      </c>
      <c r="AS107" t="s">
        <v>2434</v>
      </c>
      <c r="AT107" t="s">
        <v>2435</v>
      </c>
      <c r="AU107">
        <v>2021</v>
      </c>
      <c r="AV107">
        <v>379</v>
      </c>
      <c r="AW107">
        <v>2210</v>
      </c>
      <c r="AX107" t="s">
        <v>74</v>
      </c>
      <c r="AY107" t="s">
        <v>74</v>
      </c>
      <c r="AZ107" t="s">
        <v>74</v>
      </c>
      <c r="BA107" t="s">
        <v>74</v>
      </c>
      <c r="BB107" t="s">
        <v>74</v>
      </c>
      <c r="BC107" t="s">
        <v>74</v>
      </c>
      <c r="BD107">
        <v>20200457</v>
      </c>
      <c r="BE107" t="s">
        <v>2436</v>
      </c>
      <c r="BF107" t="str">
        <f>HYPERLINK("http://dx.doi.org/10.1098/rsta.2020.0457","http://dx.doi.org/10.1098/rsta.2020.0457")</f>
        <v>http://dx.doi.org/10.1098/rsta.2020.0457</v>
      </c>
      <c r="BG107" t="s">
        <v>74</v>
      </c>
      <c r="BH107" t="s">
        <v>74</v>
      </c>
      <c r="BI107">
        <v>24</v>
      </c>
      <c r="BJ107" t="s">
        <v>126</v>
      </c>
      <c r="BK107" t="s">
        <v>101</v>
      </c>
      <c r="BL107" t="s">
        <v>127</v>
      </c>
      <c r="BM107" t="s">
        <v>2437</v>
      </c>
      <c r="BN107">
        <v>34565227</v>
      </c>
      <c r="BO107" t="s">
        <v>2438</v>
      </c>
      <c r="BP107" t="s">
        <v>74</v>
      </c>
      <c r="BQ107" t="s">
        <v>74</v>
      </c>
      <c r="BR107" t="s">
        <v>105</v>
      </c>
      <c r="BS107" t="s">
        <v>2439</v>
      </c>
      <c r="BT107" t="str">
        <f>HYPERLINK("https%3A%2F%2Fwww.webofscience.com%2Fwos%2Fwoscc%2Ffull-record%2FWOS:000791276800007","View Full Record in Web of Science")</f>
        <v>View Full Record in Web of Science</v>
      </c>
    </row>
    <row r="108" spans="1:72" x14ac:dyDescent="0.15">
      <c r="A108" t="s">
        <v>72</v>
      </c>
      <c r="B108" t="s">
        <v>2440</v>
      </c>
      <c r="C108" t="s">
        <v>74</v>
      </c>
      <c r="D108" t="s">
        <v>74</v>
      </c>
      <c r="E108" t="s">
        <v>74</v>
      </c>
      <c r="F108" t="s">
        <v>2441</v>
      </c>
      <c r="G108" t="s">
        <v>74</v>
      </c>
      <c r="H108" t="s">
        <v>74</v>
      </c>
      <c r="I108" t="s">
        <v>2442</v>
      </c>
      <c r="J108" t="s">
        <v>2418</v>
      </c>
      <c r="K108" t="s">
        <v>74</v>
      </c>
      <c r="L108" t="s">
        <v>74</v>
      </c>
      <c r="M108" t="s">
        <v>78</v>
      </c>
      <c r="N108" t="s">
        <v>1764</v>
      </c>
      <c r="O108" t="s">
        <v>74</v>
      </c>
      <c r="P108" t="s">
        <v>74</v>
      </c>
      <c r="Q108" t="s">
        <v>74</v>
      </c>
      <c r="R108" t="s">
        <v>74</v>
      </c>
      <c r="S108" t="s">
        <v>74</v>
      </c>
      <c r="T108" t="s">
        <v>74</v>
      </c>
      <c r="U108" t="s">
        <v>74</v>
      </c>
      <c r="V108" t="s">
        <v>74</v>
      </c>
      <c r="W108" t="s">
        <v>2443</v>
      </c>
      <c r="X108" t="s">
        <v>2444</v>
      </c>
      <c r="Y108" t="s">
        <v>2445</v>
      </c>
      <c r="Z108" t="s">
        <v>2425</v>
      </c>
      <c r="AA108" t="s">
        <v>74</v>
      </c>
      <c r="AB108" t="s">
        <v>74</v>
      </c>
      <c r="AC108" t="s">
        <v>74</v>
      </c>
      <c r="AD108" t="s">
        <v>74</v>
      </c>
      <c r="AE108" t="s">
        <v>74</v>
      </c>
      <c r="AF108" t="s">
        <v>74</v>
      </c>
      <c r="AG108">
        <v>0</v>
      </c>
      <c r="AH108">
        <v>0</v>
      </c>
      <c r="AI108">
        <v>0</v>
      </c>
      <c r="AJ108">
        <v>1</v>
      </c>
      <c r="AK108">
        <v>13</v>
      </c>
      <c r="AL108" t="s">
        <v>1687</v>
      </c>
      <c r="AM108" t="s">
        <v>333</v>
      </c>
      <c r="AN108" t="s">
        <v>1688</v>
      </c>
      <c r="AO108" t="s">
        <v>2431</v>
      </c>
      <c r="AP108" t="s">
        <v>2432</v>
      </c>
      <c r="AQ108" t="s">
        <v>74</v>
      </c>
      <c r="AR108" t="s">
        <v>2433</v>
      </c>
      <c r="AS108" t="s">
        <v>2434</v>
      </c>
      <c r="AT108" t="s">
        <v>2435</v>
      </c>
      <c r="AU108">
        <v>2021</v>
      </c>
      <c r="AV108">
        <v>379</v>
      </c>
      <c r="AW108">
        <v>2210</v>
      </c>
      <c r="AX108" t="s">
        <v>74</v>
      </c>
      <c r="AY108" t="s">
        <v>74</v>
      </c>
      <c r="AZ108" t="s">
        <v>74</v>
      </c>
      <c r="BA108" t="s">
        <v>74</v>
      </c>
      <c r="BB108" t="s">
        <v>74</v>
      </c>
      <c r="BC108" t="s">
        <v>74</v>
      </c>
      <c r="BD108">
        <v>20200459</v>
      </c>
      <c r="BE108" t="s">
        <v>2446</v>
      </c>
      <c r="BF108" t="str">
        <f>HYPERLINK("http://dx.doi.org/10.1098/rsta.2020.0459","http://dx.doi.org/10.1098/rsta.2020.0459")</f>
        <v>http://dx.doi.org/10.1098/rsta.2020.0459</v>
      </c>
      <c r="BG108" t="s">
        <v>74</v>
      </c>
      <c r="BH108" t="s">
        <v>74</v>
      </c>
      <c r="BI108">
        <v>2</v>
      </c>
      <c r="BJ108" t="s">
        <v>126</v>
      </c>
      <c r="BK108" t="s">
        <v>101</v>
      </c>
      <c r="BL108" t="s">
        <v>127</v>
      </c>
      <c r="BM108" t="s">
        <v>2437</v>
      </c>
      <c r="BN108">
        <v>34565228</v>
      </c>
      <c r="BO108" t="s">
        <v>74</v>
      </c>
      <c r="BP108" t="s">
        <v>74</v>
      </c>
      <c r="BQ108" t="s">
        <v>74</v>
      </c>
      <c r="BR108" t="s">
        <v>105</v>
      </c>
      <c r="BS108" t="s">
        <v>2447</v>
      </c>
      <c r="BT108" t="str">
        <f>HYPERLINK("https%3A%2F%2Fwww.webofscience.com%2Fwos%2Fwoscc%2Ffull-record%2FWOS:000791276800003","View Full Record in Web of Science")</f>
        <v>View Full Record in Web of Science</v>
      </c>
    </row>
    <row r="109" spans="1:72" x14ac:dyDescent="0.15">
      <c r="A109" t="s">
        <v>72</v>
      </c>
      <c r="B109" t="s">
        <v>2448</v>
      </c>
      <c r="C109" t="s">
        <v>74</v>
      </c>
      <c r="D109" t="s">
        <v>74</v>
      </c>
      <c r="E109" t="s">
        <v>74</v>
      </c>
      <c r="F109" t="s">
        <v>2449</v>
      </c>
      <c r="G109" t="s">
        <v>74</v>
      </c>
      <c r="H109" t="s">
        <v>74</v>
      </c>
      <c r="I109" t="s">
        <v>2450</v>
      </c>
      <c r="J109" t="s">
        <v>2451</v>
      </c>
      <c r="K109" t="s">
        <v>74</v>
      </c>
      <c r="L109" t="s">
        <v>74</v>
      </c>
      <c r="M109" t="s">
        <v>78</v>
      </c>
      <c r="N109" t="s">
        <v>79</v>
      </c>
      <c r="O109" t="s">
        <v>74</v>
      </c>
      <c r="P109" t="s">
        <v>74</v>
      </c>
      <c r="Q109" t="s">
        <v>74</v>
      </c>
      <c r="R109" t="s">
        <v>74</v>
      </c>
      <c r="S109" t="s">
        <v>74</v>
      </c>
      <c r="T109" t="s">
        <v>2452</v>
      </c>
      <c r="U109" t="s">
        <v>2453</v>
      </c>
      <c r="V109" t="s">
        <v>2454</v>
      </c>
      <c r="W109" t="s">
        <v>2455</v>
      </c>
      <c r="X109" t="s">
        <v>2456</v>
      </c>
      <c r="Y109" t="s">
        <v>2457</v>
      </c>
      <c r="Z109" t="s">
        <v>2458</v>
      </c>
      <c r="AA109" t="s">
        <v>2459</v>
      </c>
      <c r="AB109" t="s">
        <v>2460</v>
      </c>
      <c r="AC109" t="s">
        <v>2461</v>
      </c>
      <c r="AD109" t="s">
        <v>2462</v>
      </c>
      <c r="AE109" t="s">
        <v>2463</v>
      </c>
      <c r="AF109" t="s">
        <v>74</v>
      </c>
      <c r="AG109">
        <v>92</v>
      </c>
      <c r="AH109">
        <v>21</v>
      </c>
      <c r="AI109">
        <v>21</v>
      </c>
      <c r="AJ109">
        <v>7</v>
      </c>
      <c r="AK109">
        <v>43</v>
      </c>
      <c r="AL109" t="s">
        <v>847</v>
      </c>
      <c r="AM109" t="s">
        <v>848</v>
      </c>
      <c r="AN109" t="s">
        <v>849</v>
      </c>
      <c r="AO109" t="s">
        <v>2464</v>
      </c>
      <c r="AP109" t="s">
        <v>2465</v>
      </c>
      <c r="AQ109" t="s">
        <v>74</v>
      </c>
      <c r="AR109" t="s">
        <v>2466</v>
      </c>
      <c r="AS109" t="s">
        <v>2467</v>
      </c>
      <c r="AT109" t="s">
        <v>416</v>
      </c>
      <c r="AU109">
        <v>2022</v>
      </c>
      <c r="AV109">
        <v>208</v>
      </c>
      <c r="AW109" t="s">
        <v>74</v>
      </c>
      <c r="AX109" t="s">
        <v>74</v>
      </c>
      <c r="AY109" t="s">
        <v>74</v>
      </c>
      <c r="AZ109" t="s">
        <v>74</v>
      </c>
      <c r="BA109" t="s">
        <v>74</v>
      </c>
      <c r="BB109" t="s">
        <v>74</v>
      </c>
      <c r="BC109" t="s">
        <v>74</v>
      </c>
      <c r="BD109">
        <v>103680</v>
      </c>
      <c r="BE109" t="s">
        <v>2468</v>
      </c>
      <c r="BF109" t="str">
        <f>HYPERLINK("http://dx.doi.org/10.1016/j.gloplacha.2021.103680","http://dx.doi.org/10.1016/j.gloplacha.2021.103680")</f>
        <v>http://dx.doi.org/10.1016/j.gloplacha.2021.103680</v>
      </c>
      <c r="BG109" t="s">
        <v>74</v>
      </c>
      <c r="BH109" t="s">
        <v>263</v>
      </c>
      <c r="BI109">
        <v>15</v>
      </c>
      <c r="BJ109" t="s">
        <v>340</v>
      </c>
      <c r="BK109" t="s">
        <v>207</v>
      </c>
      <c r="BL109" t="s">
        <v>341</v>
      </c>
      <c r="BM109" t="s">
        <v>2469</v>
      </c>
      <c r="BN109" t="s">
        <v>74</v>
      </c>
      <c r="BO109" t="s">
        <v>2470</v>
      </c>
      <c r="BP109" t="s">
        <v>74</v>
      </c>
      <c r="BQ109" t="s">
        <v>74</v>
      </c>
      <c r="BR109" t="s">
        <v>105</v>
      </c>
      <c r="BS109" t="s">
        <v>2471</v>
      </c>
      <c r="BT109" t="str">
        <f>HYPERLINK("https%3A%2F%2Fwww.webofscience.com%2Fwos%2Fwoscc%2Ffull-record%2FWOS:000730075400002","View Full Record in Web of Science")</f>
        <v>View Full Record in Web of Science</v>
      </c>
    </row>
    <row r="110" spans="1:72" x14ac:dyDescent="0.15">
      <c r="A110" t="s">
        <v>72</v>
      </c>
      <c r="B110" t="s">
        <v>2472</v>
      </c>
      <c r="C110" t="s">
        <v>74</v>
      </c>
      <c r="D110" t="s">
        <v>74</v>
      </c>
      <c r="E110" t="s">
        <v>74</v>
      </c>
      <c r="F110" t="s">
        <v>2473</v>
      </c>
      <c r="G110" t="s">
        <v>74</v>
      </c>
      <c r="H110" t="s">
        <v>74</v>
      </c>
      <c r="I110" t="s">
        <v>2474</v>
      </c>
      <c r="J110" t="s">
        <v>1212</v>
      </c>
      <c r="K110" t="s">
        <v>74</v>
      </c>
      <c r="L110" t="s">
        <v>74</v>
      </c>
      <c r="M110" t="s">
        <v>78</v>
      </c>
      <c r="N110" t="s">
        <v>79</v>
      </c>
      <c r="O110" t="s">
        <v>74</v>
      </c>
      <c r="P110" t="s">
        <v>74</v>
      </c>
      <c r="Q110" t="s">
        <v>74</v>
      </c>
      <c r="R110" t="s">
        <v>74</v>
      </c>
      <c r="S110" t="s">
        <v>74</v>
      </c>
      <c r="T110" t="s">
        <v>74</v>
      </c>
      <c r="U110" t="s">
        <v>2475</v>
      </c>
      <c r="V110" t="s">
        <v>2476</v>
      </c>
      <c r="W110" t="s">
        <v>2477</v>
      </c>
      <c r="X110" t="s">
        <v>2478</v>
      </c>
      <c r="Y110" t="s">
        <v>2479</v>
      </c>
      <c r="Z110" t="s">
        <v>2480</v>
      </c>
      <c r="AA110" t="s">
        <v>2481</v>
      </c>
      <c r="AB110" t="s">
        <v>2482</v>
      </c>
      <c r="AC110" t="s">
        <v>2483</v>
      </c>
      <c r="AD110" t="s">
        <v>2484</v>
      </c>
      <c r="AE110" t="s">
        <v>2485</v>
      </c>
      <c r="AF110" t="s">
        <v>74</v>
      </c>
      <c r="AG110">
        <v>88</v>
      </c>
      <c r="AH110">
        <v>5</v>
      </c>
      <c r="AI110">
        <v>7</v>
      </c>
      <c r="AJ110">
        <v>3</v>
      </c>
      <c r="AK110">
        <v>11</v>
      </c>
      <c r="AL110" t="s">
        <v>492</v>
      </c>
      <c r="AM110" t="s">
        <v>493</v>
      </c>
      <c r="AN110" t="s">
        <v>494</v>
      </c>
      <c r="AO110" t="s">
        <v>1224</v>
      </c>
      <c r="AP110" t="s">
        <v>74</v>
      </c>
      <c r="AQ110" t="s">
        <v>74</v>
      </c>
      <c r="AR110" t="s">
        <v>1225</v>
      </c>
      <c r="AS110" t="s">
        <v>1226</v>
      </c>
      <c r="AT110" t="s">
        <v>2435</v>
      </c>
      <c r="AU110">
        <v>2021</v>
      </c>
      <c r="AV110">
        <v>11</v>
      </c>
      <c r="AW110">
        <v>1</v>
      </c>
      <c r="AX110" t="s">
        <v>74</v>
      </c>
      <c r="AY110" t="s">
        <v>74</v>
      </c>
      <c r="AZ110" t="s">
        <v>74</v>
      </c>
      <c r="BA110" t="s">
        <v>74</v>
      </c>
      <c r="BB110" t="s">
        <v>74</v>
      </c>
      <c r="BC110" t="s">
        <v>74</v>
      </c>
      <c r="BD110">
        <v>22234</v>
      </c>
      <c r="BE110" t="s">
        <v>2486</v>
      </c>
      <c r="BF110" t="str">
        <f>HYPERLINK("http://dx.doi.org/10.1038/s41598-021-01700-w","http://dx.doi.org/10.1038/s41598-021-01700-w")</f>
        <v>http://dx.doi.org/10.1038/s41598-021-01700-w</v>
      </c>
      <c r="BG110" t="s">
        <v>74</v>
      </c>
      <c r="BH110" t="s">
        <v>74</v>
      </c>
      <c r="BI110">
        <v>14</v>
      </c>
      <c r="BJ110" t="s">
        <v>126</v>
      </c>
      <c r="BK110" t="s">
        <v>101</v>
      </c>
      <c r="BL110" t="s">
        <v>127</v>
      </c>
      <c r="BM110" t="s">
        <v>2487</v>
      </c>
      <c r="BN110">
        <v>34782702</v>
      </c>
      <c r="BO110" t="s">
        <v>1094</v>
      </c>
      <c r="BP110" t="s">
        <v>74</v>
      </c>
      <c r="BQ110" t="s">
        <v>74</v>
      </c>
      <c r="BR110" t="s">
        <v>105</v>
      </c>
      <c r="BS110" t="s">
        <v>2488</v>
      </c>
      <c r="BT110" t="str">
        <f>HYPERLINK("https%3A%2F%2Fwww.webofscience.com%2Fwos%2Fwoscc%2Ffull-record%2FWOS:000720624200015","View Full Record in Web of Science")</f>
        <v>View Full Record in Web of Science</v>
      </c>
    </row>
    <row r="111" spans="1:72" x14ac:dyDescent="0.15">
      <c r="A111" t="s">
        <v>72</v>
      </c>
      <c r="B111" t="s">
        <v>2489</v>
      </c>
      <c r="C111" t="s">
        <v>74</v>
      </c>
      <c r="D111" t="s">
        <v>74</v>
      </c>
      <c r="E111" t="s">
        <v>74</v>
      </c>
      <c r="F111" t="s">
        <v>2490</v>
      </c>
      <c r="G111" t="s">
        <v>74</v>
      </c>
      <c r="H111" t="s">
        <v>74</v>
      </c>
      <c r="I111" t="s">
        <v>2491</v>
      </c>
      <c r="J111" t="s">
        <v>2492</v>
      </c>
      <c r="K111" t="s">
        <v>74</v>
      </c>
      <c r="L111" t="s">
        <v>74</v>
      </c>
      <c r="M111" t="s">
        <v>78</v>
      </c>
      <c r="N111" t="s">
        <v>79</v>
      </c>
      <c r="O111" t="s">
        <v>74</v>
      </c>
      <c r="P111" t="s">
        <v>74</v>
      </c>
      <c r="Q111" t="s">
        <v>74</v>
      </c>
      <c r="R111" t="s">
        <v>74</v>
      </c>
      <c r="S111" t="s">
        <v>74</v>
      </c>
      <c r="T111" t="s">
        <v>2493</v>
      </c>
      <c r="U111" t="s">
        <v>2494</v>
      </c>
      <c r="V111" t="s">
        <v>2495</v>
      </c>
      <c r="W111" t="s">
        <v>2496</v>
      </c>
      <c r="X111" t="s">
        <v>2497</v>
      </c>
      <c r="Y111" t="s">
        <v>2498</v>
      </c>
      <c r="Z111" t="s">
        <v>2499</v>
      </c>
      <c r="AA111" t="s">
        <v>2500</v>
      </c>
      <c r="AB111" t="s">
        <v>2501</v>
      </c>
      <c r="AC111" t="s">
        <v>2502</v>
      </c>
      <c r="AD111" t="s">
        <v>2503</v>
      </c>
      <c r="AE111" t="s">
        <v>2504</v>
      </c>
      <c r="AF111" t="s">
        <v>74</v>
      </c>
      <c r="AG111">
        <v>62</v>
      </c>
      <c r="AH111">
        <v>6</v>
      </c>
      <c r="AI111">
        <v>7</v>
      </c>
      <c r="AJ111">
        <v>7</v>
      </c>
      <c r="AK111">
        <v>55</v>
      </c>
      <c r="AL111" t="s">
        <v>2505</v>
      </c>
      <c r="AM111" t="s">
        <v>333</v>
      </c>
      <c r="AN111" t="s">
        <v>2506</v>
      </c>
      <c r="AO111" t="s">
        <v>2507</v>
      </c>
      <c r="AP111" t="s">
        <v>74</v>
      </c>
      <c r="AQ111" t="s">
        <v>74</v>
      </c>
      <c r="AR111" t="s">
        <v>2492</v>
      </c>
      <c r="AS111" t="s">
        <v>2508</v>
      </c>
      <c r="AT111" t="s">
        <v>2435</v>
      </c>
      <c r="AU111">
        <v>2021</v>
      </c>
      <c r="AV111">
        <v>9</v>
      </c>
      <c r="AW111" t="s">
        <v>74</v>
      </c>
      <c r="AX111" t="s">
        <v>74</v>
      </c>
      <c r="AY111" t="s">
        <v>74</v>
      </c>
      <c r="AZ111" t="s">
        <v>74</v>
      </c>
      <c r="BA111" t="s">
        <v>74</v>
      </c>
      <c r="BB111" t="s">
        <v>74</v>
      </c>
      <c r="BC111" t="s">
        <v>74</v>
      </c>
      <c r="BD111" t="s">
        <v>2509</v>
      </c>
      <c r="BE111" t="s">
        <v>2510</v>
      </c>
      <c r="BF111" t="str">
        <f>HYPERLINK("http://dx.doi.org/10.7717/peerj.12458","http://dx.doi.org/10.7717/peerj.12458")</f>
        <v>http://dx.doi.org/10.7717/peerj.12458</v>
      </c>
      <c r="BG111" t="s">
        <v>74</v>
      </c>
      <c r="BH111" t="s">
        <v>74</v>
      </c>
      <c r="BI111">
        <v>26</v>
      </c>
      <c r="BJ111" t="s">
        <v>126</v>
      </c>
      <c r="BK111" t="s">
        <v>101</v>
      </c>
      <c r="BL111" t="s">
        <v>127</v>
      </c>
      <c r="BM111" t="s">
        <v>2511</v>
      </c>
      <c r="BN111">
        <v>34820189</v>
      </c>
      <c r="BO111" t="s">
        <v>2512</v>
      </c>
      <c r="BP111" t="s">
        <v>74</v>
      </c>
      <c r="BQ111" t="s">
        <v>74</v>
      </c>
      <c r="BR111" t="s">
        <v>105</v>
      </c>
      <c r="BS111" t="s">
        <v>2513</v>
      </c>
      <c r="BT111" t="str">
        <f>HYPERLINK("https%3A%2F%2Fwww.webofscience.com%2Fwos%2Fwoscc%2Ffull-record%2FWOS:000722308700005","View Full Record in Web of Science")</f>
        <v>View Full Record in Web of Science</v>
      </c>
    </row>
    <row r="112" spans="1:72" x14ac:dyDescent="0.15">
      <c r="A112" t="s">
        <v>72</v>
      </c>
      <c r="B112" t="s">
        <v>2514</v>
      </c>
      <c r="C112" t="s">
        <v>74</v>
      </c>
      <c r="D112" t="s">
        <v>74</v>
      </c>
      <c r="E112" t="s">
        <v>74</v>
      </c>
      <c r="F112" t="s">
        <v>2515</v>
      </c>
      <c r="G112" t="s">
        <v>74</v>
      </c>
      <c r="H112" t="s">
        <v>74</v>
      </c>
      <c r="I112" t="s">
        <v>2516</v>
      </c>
      <c r="J112" t="s">
        <v>659</v>
      </c>
      <c r="K112" t="s">
        <v>74</v>
      </c>
      <c r="L112" t="s">
        <v>74</v>
      </c>
      <c r="M112" t="s">
        <v>78</v>
      </c>
      <c r="N112" t="s">
        <v>79</v>
      </c>
      <c r="O112" t="s">
        <v>74</v>
      </c>
      <c r="P112" t="s">
        <v>74</v>
      </c>
      <c r="Q112" t="s">
        <v>74</v>
      </c>
      <c r="R112" t="s">
        <v>74</v>
      </c>
      <c r="S112" t="s">
        <v>74</v>
      </c>
      <c r="T112" t="s">
        <v>2517</v>
      </c>
      <c r="U112" t="s">
        <v>2518</v>
      </c>
      <c r="V112" t="s">
        <v>2519</v>
      </c>
      <c r="W112" t="s">
        <v>2520</v>
      </c>
      <c r="X112" t="s">
        <v>2521</v>
      </c>
      <c r="Y112" t="s">
        <v>2522</v>
      </c>
      <c r="Z112" t="s">
        <v>2523</v>
      </c>
      <c r="AA112" t="s">
        <v>2524</v>
      </c>
      <c r="AB112" t="s">
        <v>2525</v>
      </c>
      <c r="AC112" t="s">
        <v>74</v>
      </c>
      <c r="AD112" t="s">
        <v>74</v>
      </c>
      <c r="AE112" t="s">
        <v>74</v>
      </c>
      <c r="AF112" t="s">
        <v>74</v>
      </c>
      <c r="AG112">
        <v>22</v>
      </c>
      <c r="AH112">
        <v>3</v>
      </c>
      <c r="AI112">
        <v>3</v>
      </c>
      <c r="AJ112">
        <v>0</v>
      </c>
      <c r="AK112">
        <v>4</v>
      </c>
      <c r="AL112" t="s">
        <v>666</v>
      </c>
      <c r="AM112" t="s">
        <v>170</v>
      </c>
      <c r="AN112" t="s">
        <v>667</v>
      </c>
      <c r="AO112" t="s">
        <v>668</v>
      </c>
      <c r="AP112" t="s">
        <v>669</v>
      </c>
      <c r="AQ112" t="s">
        <v>74</v>
      </c>
      <c r="AR112" t="s">
        <v>670</v>
      </c>
      <c r="AS112" t="s">
        <v>671</v>
      </c>
      <c r="AT112" t="s">
        <v>2435</v>
      </c>
      <c r="AU112">
        <v>2021</v>
      </c>
      <c r="AV112">
        <v>57</v>
      </c>
      <c r="AW112" t="s">
        <v>74</v>
      </c>
      <c r="AX112" t="s">
        <v>74</v>
      </c>
      <c r="AY112" t="s">
        <v>74</v>
      </c>
      <c r="AZ112" t="s">
        <v>74</v>
      </c>
      <c r="BA112" t="s">
        <v>74</v>
      </c>
      <c r="BB112" t="s">
        <v>74</v>
      </c>
      <c r="BC112" t="s">
        <v>74</v>
      </c>
      <c r="BD112" t="s">
        <v>2526</v>
      </c>
      <c r="BE112" t="s">
        <v>2527</v>
      </c>
      <c r="BF112" t="str">
        <f>HYPERLINK("http://dx.doi.org/10.1017/S0032247421000607","http://dx.doi.org/10.1017/S0032247421000607")</f>
        <v>http://dx.doi.org/10.1017/S0032247421000607</v>
      </c>
      <c r="BG112" t="s">
        <v>74</v>
      </c>
      <c r="BH112" t="s">
        <v>74</v>
      </c>
      <c r="BI112">
        <v>5</v>
      </c>
      <c r="BJ112" t="s">
        <v>674</v>
      </c>
      <c r="BK112" t="s">
        <v>207</v>
      </c>
      <c r="BL112" t="s">
        <v>630</v>
      </c>
      <c r="BM112" t="s">
        <v>2528</v>
      </c>
      <c r="BN112" t="s">
        <v>74</v>
      </c>
      <c r="BO112" t="s">
        <v>2241</v>
      </c>
      <c r="BP112" t="s">
        <v>74</v>
      </c>
      <c r="BQ112" t="s">
        <v>74</v>
      </c>
      <c r="BR112" t="s">
        <v>105</v>
      </c>
      <c r="BS112" t="s">
        <v>2529</v>
      </c>
      <c r="BT112" t="str">
        <f>HYPERLINK("https%3A%2F%2Fwww.webofscience.com%2Fwos%2Fwoscc%2Ffull-record%2FWOS:000718308600001","View Full Record in Web of Science")</f>
        <v>View Full Record in Web of Science</v>
      </c>
    </row>
    <row r="113" spans="1:72" x14ac:dyDescent="0.15">
      <c r="A113" t="s">
        <v>72</v>
      </c>
      <c r="B113" t="s">
        <v>2530</v>
      </c>
      <c r="C113" t="s">
        <v>74</v>
      </c>
      <c r="D113" t="s">
        <v>74</v>
      </c>
      <c r="E113" t="s">
        <v>74</v>
      </c>
      <c r="F113" t="s">
        <v>2531</v>
      </c>
      <c r="G113" t="s">
        <v>74</v>
      </c>
      <c r="H113" t="s">
        <v>74</v>
      </c>
      <c r="I113" t="s">
        <v>2532</v>
      </c>
      <c r="J113" t="s">
        <v>2533</v>
      </c>
      <c r="K113" t="s">
        <v>74</v>
      </c>
      <c r="L113" t="s">
        <v>74</v>
      </c>
      <c r="M113" t="s">
        <v>78</v>
      </c>
      <c r="N113" t="s">
        <v>79</v>
      </c>
      <c r="O113" t="s">
        <v>74</v>
      </c>
      <c r="P113" t="s">
        <v>74</v>
      </c>
      <c r="Q113" t="s">
        <v>74</v>
      </c>
      <c r="R113" t="s">
        <v>74</v>
      </c>
      <c r="S113" t="s">
        <v>74</v>
      </c>
      <c r="T113" t="s">
        <v>74</v>
      </c>
      <c r="U113" t="s">
        <v>2534</v>
      </c>
      <c r="V113" t="s">
        <v>2535</v>
      </c>
      <c r="W113" t="s">
        <v>2536</v>
      </c>
      <c r="X113" t="s">
        <v>2537</v>
      </c>
      <c r="Y113" t="s">
        <v>2538</v>
      </c>
      <c r="Z113" t="s">
        <v>2539</v>
      </c>
      <c r="AA113" t="s">
        <v>2540</v>
      </c>
      <c r="AB113" t="s">
        <v>74</v>
      </c>
      <c r="AC113" t="s">
        <v>2541</v>
      </c>
      <c r="AD113" t="s">
        <v>2542</v>
      </c>
      <c r="AE113" t="s">
        <v>2543</v>
      </c>
      <c r="AF113" t="s">
        <v>74</v>
      </c>
      <c r="AG113">
        <v>43</v>
      </c>
      <c r="AH113">
        <v>1</v>
      </c>
      <c r="AI113">
        <v>1</v>
      </c>
      <c r="AJ113">
        <v>0</v>
      </c>
      <c r="AK113">
        <v>3</v>
      </c>
      <c r="AL113" t="s">
        <v>572</v>
      </c>
      <c r="AM113" t="s">
        <v>573</v>
      </c>
      <c r="AN113" t="s">
        <v>574</v>
      </c>
      <c r="AO113" t="s">
        <v>2544</v>
      </c>
      <c r="AP113" t="s">
        <v>2545</v>
      </c>
      <c r="AQ113" t="s">
        <v>74</v>
      </c>
      <c r="AR113" t="s">
        <v>2546</v>
      </c>
      <c r="AS113" t="s">
        <v>2547</v>
      </c>
      <c r="AT113" t="s">
        <v>310</v>
      </c>
      <c r="AU113">
        <v>2021</v>
      </c>
      <c r="AV113">
        <v>56</v>
      </c>
      <c r="AW113">
        <v>11</v>
      </c>
      <c r="AX113" t="s">
        <v>74</v>
      </c>
      <c r="AY113" t="s">
        <v>74</v>
      </c>
      <c r="AZ113" t="s">
        <v>74</v>
      </c>
      <c r="BA113" t="s">
        <v>74</v>
      </c>
      <c r="BB113">
        <v>1988</v>
      </c>
      <c r="BC113">
        <v>2001</v>
      </c>
      <c r="BD113" t="s">
        <v>74</v>
      </c>
      <c r="BE113" t="s">
        <v>2548</v>
      </c>
      <c r="BF113" t="str">
        <f>HYPERLINK("http://dx.doi.org/10.1111/maps.13759","http://dx.doi.org/10.1111/maps.13759")</f>
        <v>http://dx.doi.org/10.1111/maps.13759</v>
      </c>
      <c r="BG113" t="s">
        <v>74</v>
      </c>
      <c r="BH113" t="s">
        <v>263</v>
      </c>
      <c r="BI113">
        <v>14</v>
      </c>
      <c r="BJ113" t="s">
        <v>365</v>
      </c>
      <c r="BK113" t="s">
        <v>101</v>
      </c>
      <c r="BL113" t="s">
        <v>365</v>
      </c>
      <c r="BM113" t="s">
        <v>2549</v>
      </c>
      <c r="BN113" t="s">
        <v>74</v>
      </c>
      <c r="BO113" t="s">
        <v>314</v>
      </c>
      <c r="BP113" t="s">
        <v>74</v>
      </c>
      <c r="BQ113" t="s">
        <v>74</v>
      </c>
      <c r="BR113" t="s">
        <v>105</v>
      </c>
      <c r="BS113" t="s">
        <v>2550</v>
      </c>
      <c r="BT113" t="str">
        <f>HYPERLINK("https%3A%2F%2Fwww.webofscience.com%2Fwos%2Fwoscc%2Ffull-record%2FWOS:000718371700001","View Full Record in Web of Science")</f>
        <v>View Full Record in Web of Science</v>
      </c>
    </row>
    <row r="114" spans="1:72" x14ac:dyDescent="0.15">
      <c r="A114" t="s">
        <v>72</v>
      </c>
      <c r="B114" t="s">
        <v>2551</v>
      </c>
      <c r="C114" t="s">
        <v>74</v>
      </c>
      <c r="D114" t="s">
        <v>74</v>
      </c>
      <c r="E114" t="s">
        <v>74</v>
      </c>
      <c r="F114" t="s">
        <v>2552</v>
      </c>
      <c r="G114" t="s">
        <v>74</v>
      </c>
      <c r="H114" t="s">
        <v>74</v>
      </c>
      <c r="I114" t="s">
        <v>2553</v>
      </c>
      <c r="J114" t="s">
        <v>659</v>
      </c>
      <c r="K114" t="s">
        <v>74</v>
      </c>
      <c r="L114" t="s">
        <v>74</v>
      </c>
      <c r="M114" t="s">
        <v>78</v>
      </c>
      <c r="N114" t="s">
        <v>79</v>
      </c>
      <c r="O114" t="s">
        <v>74</v>
      </c>
      <c r="P114" t="s">
        <v>74</v>
      </c>
      <c r="Q114" t="s">
        <v>74</v>
      </c>
      <c r="R114" t="s">
        <v>74</v>
      </c>
      <c r="S114" t="s">
        <v>74</v>
      </c>
      <c r="T114" t="s">
        <v>2554</v>
      </c>
      <c r="U114" t="s">
        <v>74</v>
      </c>
      <c r="V114" t="s">
        <v>2555</v>
      </c>
      <c r="W114" t="s">
        <v>2556</v>
      </c>
      <c r="X114" t="s">
        <v>2557</v>
      </c>
      <c r="Y114" t="s">
        <v>2558</v>
      </c>
      <c r="Z114" t="s">
        <v>2559</v>
      </c>
      <c r="AA114" t="s">
        <v>74</v>
      </c>
      <c r="AB114" t="s">
        <v>2560</v>
      </c>
      <c r="AC114" t="s">
        <v>74</v>
      </c>
      <c r="AD114" t="s">
        <v>74</v>
      </c>
      <c r="AE114" t="s">
        <v>74</v>
      </c>
      <c r="AF114" t="s">
        <v>74</v>
      </c>
      <c r="AG114">
        <v>27</v>
      </c>
      <c r="AH114">
        <v>1</v>
      </c>
      <c r="AI114">
        <v>1</v>
      </c>
      <c r="AJ114">
        <v>0</v>
      </c>
      <c r="AK114">
        <v>2</v>
      </c>
      <c r="AL114" t="s">
        <v>666</v>
      </c>
      <c r="AM114" t="s">
        <v>170</v>
      </c>
      <c r="AN114" t="s">
        <v>667</v>
      </c>
      <c r="AO114" t="s">
        <v>668</v>
      </c>
      <c r="AP114" t="s">
        <v>669</v>
      </c>
      <c r="AQ114" t="s">
        <v>74</v>
      </c>
      <c r="AR114" t="s">
        <v>670</v>
      </c>
      <c r="AS114" t="s">
        <v>671</v>
      </c>
      <c r="AT114" t="s">
        <v>2435</v>
      </c>
      <c r="AU114">
        <v>2021</v>
      </c>
      <c r="AV114">
        <v>57</v>
      </c>
      <c r="AW114" t="s">
        <v>74</v>
      </c>
      <c r="AX114" t="s">
        <v>74</v>
      </c>
      <c r="AY114" t="s">
        <v>74</v>
      </c>
      <c r="AZ114" t="s">
        <v>74</v>
      </c>
      <c r="BA114" t="s">
        <v>74</v>
      </c>
      <c r="BB114" t="s">
        <v>74</v>
      </c>
      <c r="BC114" t="s">
        <v>74</v>
      </c>
      <c r="BD114" t="s">
        <v>2561</v>
      </c>
      <c r="BE114" t="s">
        <v>2562</v>
      </c>
      <c r="BF114" t="str">
        <f>HYPERLINK("http://dx.doi.org/10.1017/S0032247421000693","http://dx.doi.org/10.1017/S0032247421000693")</f>
        <v>http://dx.doi.org/10.1017/S0032247421000693</v>
      </c>
      <c r="BG114" t="s">
        <v>74</v>
      </c>
      <c r="BH114" t="s">
        <v>74</v>
      </c>
      <c r="BI114">
        <v>3</v>
      </c>
      <c r="BJ114" t="s">
        <v>674</v>
      </c>
      <c r="BK114" t="s">
        <v>101</v>
      </c>
      <c r="BL114" t="s">
        <v>630</v>
      </c>
      <c r="BM114" t="s">
        <v>2563</v>
      </c>
      <c r="BN114" t="s">
        <v>74</v>
      </c>
      <c r="BO114" t="s">
        <v>74</v>
      </c>
      <c r="BP114" t="s">
        <v>74</v>
      </c>
      <c r="BQ114" t="s">
        <v>74</v>
      </c>
      <c r="BR114" t="s">
        <v>105</v>
      </c>
      <c r="BS114" t="s">
        <v>2564</v>
      </c>
      <c r="BT114" t="str">
        <f>HYPERLINK("https%3A%2F%2Fwww.webofscience.com%2Fwos%2Fwoscc%2Ffull-record%2FWOS:000718461800001","View Full Record in Web of Science")</f>
        <v>View Full Record in Web of Science</v>
      </c>
    </row>
    <row r="115" spans="1:72" x14ac:dyDescent="0.15">
      <c r="A115" t="s">
        <v>72</v>
      </c>
      <c r="B115" t="s">
        <v>2565</v>
      </c>
      <c r="C115" t="s">
        <v>74</v>
      </c>
      <c r="D115" t="s">
        <v>74</v>
      </c>
      <c r="E115" t="s">
        <v>74</v>
      </c>
      <c r="F115" t="s">
        <v>2566</v>
      </c>
      <c r="G115" t="s">
        <v>74</v>
      </c>
      <c r="H115" t="s">
        <v>74</v>
      </c>
      <c r="I115" t="s">
        <v>2567</v>
      </c>
      <c r="J115" t="s">
        <v>2568</v>
      </c>
      <c r="K115" t="s">
        <v>74</v>
      </c>
      <c r="L115" t="s">
        <v>74</v>
      </c>
      <c r="M115" t="s">
        <v>78</v>
      </c>
      <c r="N115" t="s">
        <v>79</v>
      </c>
      <c r="O115" t="s">
        <v>74</v>
      </c>
      <c r="P115" t="s">
        <v>74</v>
      </c>
      <c r="Q115" t="s">
        <v>74</v>
      </c>
      <c r="R115" t="s">
        <v>74</v>
      </c>
      <c r="S115" t="s">
        <v>74</v>
      </c>
      <c r="T115" t="s">
        <v>2569</v>
      </c>
      <c r="U115" t="s">
        <v>2570</v>
      </c>
      <c r="V115" t="s">
        <v>2571</v>
      </c>
      <c r="W115" t="s">
        <v>2572</v>
      </c>
      <c r="X115" t="s">
        <v>2573</v>
      </c>
      <c r="Y115" t="s">
        <v>2574</v>
      </c>
      <c r="Z115" t="s">
        <v>2575</v>
      </c>
      <c r="AA115" t="s">
        <v>74</v>
      </c>
      <c r="AB115" t="s">
        <v>2576</v>
      </c>
      <c r="AC115" t="s">
        <v>2577</v>
      </c>
      <c r="AD115" t="s">
        <v>2577</v>
      </c>
      <c r="AE115" t="s">
        <v>2578</v>
      </c>
      <c r="AF115" t="s">
        <v>74</v>
      </c>
      <c r="AG115">
        <v>95</v>
      </c>
      <c r="AH115">
        <v>9</v>
      </c>
      <c r="AI115">
        <v>11</v>
      </c>
      <c r="AJ115">
        <v>10</v>
      </c>
      <c r="AK115">
        <v>40</v>
      </c>
      <c r="AL115" t="s">
        <v>169</v>
      </c>
      <c r="AM115" t="s">
        <v>170</v>
      </c>
      <c r="AN115" t="s">
        <v>171</v>
      </c>
      <c r="AO115" t="s">
        <v>2579</v>
      </c>
      <c r="AP115" t="s">
        <v>2580</v>
      </c>
      <c r="AQ115" t="s">
        <v>74</v>
      </c>
      <c r="AR115" t="s">
        <v>2568</v>
      </c>
      <c r="AS115" t="s">
        <v>2581</v>
      </c>
      <c r="AT115" t="s">
        <v>525</v>
      </c>
      <c r="AU115">
        <v>2022</v>
      </c>
      <c r="AV115">
        <v>41</v>
      </c>
      <c r="AW115">
        <v>1</v>
      </c>
      <c r="AX115" t="s">
        <v>74</v>
      </c>
      <c r="AY115" t="s">
        <v>74</v>
      </c>
      <c r="AZ115" t="s">
        <v>74</v>
      </c>
      <c r="BA115" t="s">
        <v>74</v>
      </c>
      <c r="BB115">
        <v>63</v>
      </c>
      <c r="BC115">
        <v>79</v>
      </c>
      <c r="BD115" t="s">
        <v>74</v>
      </c>
      <c r="BE115" t="s">
        <v>2582</v>
      </c>
      <c r="BF115" t="str">
        <f>HYPERLINK("http://dx.doi.org/10.1007/s00338-021-02201-y","http://dx.doi.org/10.1007/s00338-021-02201-y")</f>
        <v>http://dx.doi.org/10.1007/s00338-021-02201-y</v>
      </c>
      <c r="BG115" t="s">
        <v>74</v>
      </c>
      <c r="BH115" t="s">
        <v>263</v>
      </c>
      <c r="BI115">
        <v>17</v>
      </c>
      <c r="BJ115" t="s">
        <v>2583</v>
      </c>
      <c r="BK115" t="s">
        <v>101</v>
      </c>
      <c r="BL115" t="s">
        <v>2583</v>
      </c>
      <c r="BM115" t="s">
        <v>2584</v>
      </c>
      <c r="BN115" t="s">
        <v>74</v>
      </c>
      <c r="BO115" t="s">
        <v>2585</v>
      </c>
      <c r="BP115" t="s">
        <v>74</v>
      </c>
      <c r="BQ115" t="s">
        <v>74</v>
      </c>
      <c r="BR115" t="s">
        <v>105</v>
      </c>
      <c r="BS115" t="s">
        <v>2586</v>
      </c>
      <c r="BT115" t="str">
        <f>HYPERLINK("https%3A%2F%2Fwww.webofscience.com%2Fwos%2Fwoscc%2Ffull-record%2FWOS:000718220100001","View Full Record in Web of Science")</f>
        <v>View Full Record in Web of Science</v>
      </c>
    </row>
    <row r="116" spans="1:72" x14ac:dyDescent="0.15">
      <c r="A116" t="s">
        <v>72</v>
      </c>
      <c r="B116" t="s">
        <v>2587</v>
      </c>
      <c r="C116" t="s">
        <v>74</v>
      </c>
      <c r="D116" t="s">
        <v>74</v>
      </c>
      <c r="E116" t="s">
        <v>74</v>
      </c>
      <c r="F116" t="s">
        <v>2588</v>
      </c>
      <c r="G116" t="s">
        <v>74</v>
      </c>
      <c r="H116" t="s">
        <v>74</v>
      </c>
      <c r="I116" t="s">
        <v>2589</v>
      </c>
      <c r="J116" t="s">
        <v>2047</v>
      </c>
      <c r="K116" t="s">
        <v>74</v>
      </c>
      <c r="L116" t="s">
        <v>74</v>
      </c>
      <c r="M116" t="s">
        <v>78</v>
      </c>
      <c r="N116" t="s">
        <v>79</v>
      </c>
      <c r="O116" t="s">
        <v>74</v>
      </c>
      <c r="P116" t="s">
        <v>74</v>
      </c>
      <c r="Q116" t="s">
        <v>74</v>
      </c>
      <c r="R116" t="s">
        <v>74</v>
      </c>
      <c r="S116" t="s">
        <v>74</v>
      </c>
      <c r="T116" t="s">
        <v>2590</v>
      </c>
      <c r="U116" t="s">
        <v>2591</v>
      </c>
      <c r="V116" t="s">
        <v>2592</v>
      </c>
      <c r="W116" t="s">
        <v>2593</v>
      </c>
      <c r="X116" t="s">
        <v>2594</v>
      </c>
      <c r="Y116" t="s">
        <v>2595</v>
      </c>
      <c r="Z116" t="s">
        <v>2596</v>
      </c>
      <c r="AA116" t="s">
        <v>74</v>
      </c>
      <c r="AB116" t="s">
        <v>74</v>
      </c>
      <c r="AC116" t="s">
        <v>2597</v>
      </c>
      <c r="AD116" t="s">
        <v>2598</v>
      </c>
      <c r="AE116" t="s">
        <v>2599</v>
      </c>
      <c r="AF116" t="s">
        <v>74</v>
      </c>
      <c r="AG116">
        <v>123</v>
      </c>
      <c r="AH116">
        <v>2</v>
      </c>
      <c r="AI116">
        <v>2</v>
      </c>
      <c r="AJ116">
        <v>1</v>
      </c>
      <c r="AK116">
        <v>5</v>
      </c>
      <c r="AL116" t="s">
        <v>847</v>
      </c>
      <c r="AM116" t="s">
        <v>848</v>
      </c>
      <c r="AN116" t="s">
        <v>849</v>
      </c>
      <c r="AO116" t="s">
        <v>2059</v>
      </c>
      <c r="AP116" t="s">
        <v>2060</v>
      </c>
      <c r="AQ116" t="s">
        <v>74</v>
      </c>
      <c r="AR116" t="s">
        <v>2061</v>
      </c>
      <c r="AS116" t="s">
        <v>2062</v>
      </c>
      <c r="AT116" t="s">
        <v>525</v>
      </c>
      <c r="AU116">
        <v>2022</v>
      </c>
      <c r="AV116">
        <v>226</v>
      </c>
      <c r="AW116" t="s">
        <v>74</v>
      </c>
      <c r="AX116" t="s">
        <v>74</v>
      </c>
      <c r="AY116" t="s">
        <v>74</v>
      </c>
      <c r="AZ116" t="s">
        <v>74</v>
      </c>
      <c r="BA116" t="s">
        <v>74</v>
      </c>
      <c r="BB116" t="s">
        <v>74</v>
      </c>
      <c r="BC116" t="s">
        <v>74</v>
      </c>
      <c r="BD116">
        <v>103667</v>
      </c>
      <c r="BE116" t="s">
        <v>2600</v>
      </c>
      <c r="BF116" t="str">
        <f>HYPERLINK("http://dx.doi.org/10.1016/j.jmarsys.2021.103667","http://dx.doi.org/10.1016/j.jmarsys.2021.103667")</f>
        <v>http://dx.doi.org/10.1016/j.jmarsys.2021.103667</v>
      </c>
      <c r="BG116" t="s">
        <v>74</v>
      </c>
      <c r="BH116" t="s">
        <v>263</v>
      </c>
      <c r="BI116">
        <v>15</v>
      </c>
      <c r="BJ116" t="s">
        <v>2064</v>
      </c>
      <c r="BK116" t="s">
        <v>101</v>
      </c>
      <c r="BL116" t="s">
        <v>2065</v>
      </c>
      <c r="BM116" t="s">
        <v>2601</v>
      </c>
      <c r="BN116" t="s">
        <v>74</v>
      </c>
      <c r="BO116" t="s">
        <v>74</v>
      </c>
      <c r="BP116" t="s">
        <v>74</v>
      </c>
      <c r="BQ116" t="s">
        <v>74</v>
      </c>
      <c r="BR116" t="s">
        <v>105</v>
      </c>
      <c r="BS116" t="s">
        <v>2602</v>
      </c>
      <c r="BT116" t="str">
        <f>HYPERLINK("https%3A%2F%2Fwww.webofscience.com%2Fwos%2Fwoscc%2Ffull-record%2FWOS:000729970600002","View Full Record in Web of Science")</f>
        <v>View Full Record in Web of Science</v>
      </c>
    </row>
    <row r="117" spans="1:72" x14ac:dyDescent="0.15">
      <c r="A117" t="s">
        <v>72</v>
      </c>
      <c r="B117" t="s">
        <v>2603</v>
      </c>
      <c r="C117" t="s">
        <v>74</v>
      </c>
      <c r="D117" t="s">
        <v>74</v>
      </c>
      <c r="E117" t="s">
        <v>74</v>
      </c>
      <c r="F117" t="s">
        <v>2604</v>
      </c>
      <c r="G117" t="s">
        <v>74</v>
      </c>
      <c r="H117" t="s">
        <v>74</v>
      </c>
      <c r="I117" t="s">
        <v>2605</v>
      </c>
      <c r="J117" t="s">
        <v>2606</v>
      </c>
      <c r="K117" t="s">
        <v>74</v>
      </c>
      <c r="L117" t="s">
        <v>74</v>
      </c>
      <c r="M117" t="s">
        <v>78</v>
      </c>
      <c r="N117" t="s">
        <v>79</v>
      </c>
      <c r="O117" t="s">
        <v>74</v>
      </c>
      <c r="P117" t="s">
        <v>74</v>
      </c>
      <c r="Q117" t="s">
        <v>74</v>
      </c>
      <c r="R117" t="s">
        <v>74</v>
      </c>
      <c r="S117" t="s">
        <v>74</v>
      </c>
      <c r="T117" t="s">
        <v>2607</v>
      </c>
      <c r="U117" t="s">
        <v>2608</v>
      </c>
      <c r="V117" t="s">
        <v>2609</v>
      </c>
      <c r="W117" t="s">
        <v>2610</v>
      </c>
      <c r="X117" t="s">
        <v>2611</v>
      </c>
      <c r="Y117" t="s">
        <v>2612</v>
      </c>
      <c r="Z117" t="s">
        <v>2613</v>
      </c>
      <c r="AA117" t="s">
        <v>2614</v>
      </c>
      <c r="AB117" t="s">
        <v>2615</v>
      </c>
      <c r="AC117" t="s">
        <v>2616</v>
      </c>
      <c r="AD117" t="s">
        <v>2617</v>
      </c>
      <c r="AE117" t="s">
        <v>2618</v>
      </c>
      <c r="AF117" t="s">
        <v>74</v>
      </c>
      <c r="AG117">
        <v>66</v>
      </c>
      <c r="AH117">
        <v>0</v>
      </c>
      <c r="AI117">
        <v>1</v>
      </c>
      <c r="AJ117">
        <v>3</v>
      </c>
      <c r="AK117">
        <v>22</v>
      </c>
      <c r="AL117" t="s">
        <v>847</v>
      </c>
      <c r="AM117" t="s">
        <v>848</v>
      </c>
      <c r="AN117" t="s">
        <v>849</v>
      </c>
      <c r="AO117" t="s">
        <v>2619</v>
      </c>
      <c r="AP117" t="s">
        <v>2620</v>
      </c>
      <c r="AQ117" t="s">
        <v>74</v>
      </c>
      <c r="AR117" t="s">
        <v>2606</v>
      </c>
      <c r="AS117" t="s">
        <v>2621</v>
      </c>
      <c r="AT117" t="s">
        <v>2622</v>
      </c>
      <c r="AU117">
        <v>2022</v>
      </c>
      <c r="AV117">
        <v>548</v>
      </c>
      <c r="AW117" t="s">
        <v>74</v>
      </c>
      <c r="AX117">
        <v>2</v>
      </c>
      <c r="AY117" t="s">
        <v>74</v>
      </c>
      <c r="AZ117" t="s">
        <v>74</v>
      </c>
      <c r="BA117" t="s">
        <v>74</v>
      </c>
      <c r="BB117" t="s">
        <v>74</v>
      </c>
      <c r="BC117" t="s">
        <v>74</v>
      </c>
      <c r="BD117">
        <v>737639</v>
      </c>
      <c r="BE117" t="s">
        <v>2623</v>
      </c>
      <c r="BF117" t="str">
        <f>HYPERLINK("http://dx.doi.org/10.1016/j.aquaculture.2021.737639","http://dx.doi.org/10.1016/j.aquaculture.2021.737639")</f>
        <v>http://dx.doi.org/10.1016/j.aquaculture.2021.737639</v>
      </c>
      <c r="BG117" t="s">
        <v>74</v>
      </c>
      <c r="BH117" t="s">
        <v>263</v>
      </c>
      <c r="BI117">
        <v>10</v>
      </c>
      <c r="BJ117" t="s">
        <v>2624</v>
      </c>
      <c r="BK117" t="s">
        <v>101</v>
      </c>
      <c r="BL117" t="s">
        <v>2624</v>
      </c>
      <c r="BM117" t="s">
        <v>2625</v>
      </c>
      <c r="BN117" t="s">
        <v>74</v>
      </c>
      <c r="BO117" t="s">
        <v>74</v>
      </c>
      <c r="BP117" t="s">
        <v>74</v>
      </c>
      <c r="BQ117" t="s">
        <v>74</v>
      </c>
      <c r="BR117" t="s">
        <v>105</v>
      </c>
      <c r="BS117" t="s">
        <v>2626</v>
      </c>
      <c r="BT117" t="str">
        <f>HYPERLINK("https%3A%2F%2Fwww.webofscience.com%2Fwos%2Fwoscc%2Ffull-record%2FWOS:000725456600004","View Full Record in Web of Science")</f>
        <v>View Full Record in Web of Science</v>
      </c>
    </row>
    <row r="118" spans="1:72" x14ac:dyDescent="0.15">
      <c r="A118" t="s">
        <v>72</v>
      </c>
      <c r="B118" t="s">
        <v>2627</v>
      </c>
      <c r="C118" t="s">
        <v>74</v>
      </c>
      <c r="D118" t="s">
        <v>74</v>
      </c>
      <c r="E118" t="s">
        <v>74</v>
      </c>
      <c r="F118" t="s">
        <v>2628</v>
      </c>
      <c r="G118" t="s">
        <v>74</v>
      </c>
      <c r="H118" t="s">
        <v>74</v>
      </c>
      <c r="I118" t="s">
        <v>2629</v>
      </c>
      <c r="J118" t="s">
        <v>2630</v>
      </c>
      <c r="K118" t="s">
        <v>74</v>
      </c>
      <c r="L118" t="s">
        <v>74</v>
      </c>
      <c r="M118" t="s">
        <v>78</v>
      </c>
      <c r="N118" t="s">
        <v>79</v>
      </c>
      <c r="O118" t="s">
        <v>74</v>
      </c>
      <c r="P118" t="s">
        <v>74</v>
      </c>
      <c r="Q118" t="s">
        <v>74</v>
      </c>
      <c r="R118" t="s">
        <v>74</v>
      </c>
      <c r="S118" t="s">
        <v>74</v>
      </c>
      <c r="T118" t="s">
        <v>2631</v>
      </c>
      <c r="U118" t="s">
        <v>2632</v>
      </c>
      <c r="V118" t="s">
        <v>2633</v>
      </c>
      <c r="W118" t="s">
        <v>2634</v>
      </c>
      <c r="X118" t="s">
        <v>2635</v>
      </c>
      <c r="Y118" t="s">
        <v>2636</v>
      </c>
      <c r="Z118" t="s">
        <v>2637</v>
      </c>
      <c r="AA118" t="s">
        <v>74</v>
      </c>
      <c r="AB118" t="s">
        <v>74</v>
      </c>
      <c r="AC118" t="s">
        <v>2638</v>
      </c>
      <c r="AD118" t="s">
        <v>2639</v>
      </c>
      <c r="AE118" t="s">
        <v>2640</v>
      </c>
      <c r="AF118" t="s">
        <v>74</v>
      </c>
      <c r="AG118">
        <v>50</v>
      </c>
      <c r="AH118">
        <v>4</v>
      </c>
      <c r="AI118">
        <v>4</v>
      </c>
      <c r="AJ118">
        <v>3</v>
      </c>
      <c r="AK118">
        <v>21</v>
      </c>
      <c r="AL118" t="s">
        <v>1326</v>
      </c>
      <c r="AM118" t="s">
        <v>256</v>
      </c>
      <c r="AN118" t="s">
        <v>1327</v>
      </c>
      <c r="AO118" t="s">
        <v>2641</v>
      </c>
      <c r="AP118" t="s">
        <v>2642</v>
      </c>
      <c r="AQ118" t="s">
        <v>74</v>
      </c>
      <c r="AR118" t="s">
        <v>2643</v>
      </c>
      <c r="AS118" t="s">
        <v>2644</v>
      </c>
      <c r="AT118" t="s">
        <v>98</v>
      </c>
      <c r="AU118">
        <v>2021</v>
      </c>
      <c r="AV118">
        <v>111</v>
      </c>
      <c r="AW118" t="s">
        <v>74</v>
      </c>
      <c r="AX118">
        <v>2</v>
      </c>
      <c r="AY118" t="s">
        <v>74</v>
      </c>
      <c r="AZ118" t="s">
        <v>74</v>
      </c>
      <c r="BA118" t="s">
        <v>74</v>
      </c>
      <c r="BB118">
        <v>270</v>
      </c>
      <c r="BC118">
        <v>277</v>
      </c>
      <c r="BD118" t="s">
        <v>74</v>
      </c>
      <c r="BE118" t="s">
        <v>2645</v>
      </c>
      <c r="BF118" t="str">
        <f>HYPERLINK("http://dx.doi.org/10.1016/j.procbio.2021.10.032","http://dx.doi.org/10.1016/j.procbio.2021.10.032")</f>
        <v>http://dx.doi.org/10.1016/j.procbio.2021.10.032</v>
      </c>
      <c r="BG118" t="s">
        <v>74</v>
      </c>
      <c r="BH118" t="s">
        <v>263</v>
      </c>
      <c r="BI118">
        <v>8</v>
      </c>
      <c r="BJ118" t="s">
        <v>2646</v>
      </c>
      <c r="BK118" t="s">
        <v>101</v>
      </c>
      <c r="BL118" t="s">
        <v>2647</v>
      </c>
      <c r="BM118" t="s">
        <v>2648</v>
      </c>
      <c r="BN118" t="s">
        <v>74</v>
      </c>
      <c r="BO118" t="s">
        <v>74</v>
      </c>
      <c r="BP118" t="s">
        <v>74</v>
      </c>
      <c r="BQ118" t="s">
        <v>74</v>
      </c>
      <c r="BR118" t="s">
        <v>105</v>
      </c>
      <c r="BS118" t="s">
        <v>2649</v>
      </c>
      <c r="BT118" t="str">
        <f>HYPERLINK("https%3A%2F%2Fwww.webofscience.com%2Fwos%2Fwoscc%2Ffull-record%2FWOS:000729992500010","View Full Record in Web of Science")</f>
        <v>View Full Record in Web of Science</v>
      </c>
    </row>
    <row r="119" spans="1:72" x14ac:dyDescent="0.15">
      <c r="A119" t="s">
        <v>72</v>
      </c>
      <c r="B119" t="s">
        <v>2650</v>
      </c>
      <c r="C119" t="s">
        <v>74</v>
      </c>
      <c r="D119" t="s">
        <v>74</v>
      </c>
      <c r="E119" t="s">
        <v>74</v>
      </c>
      <c r="F119" t="s">
        <v>2651</v>
      </c>
      <c r="G119" t="s">
        <v>74</v>
      </c>
      <c r="H119" t="s">
        <v>74</v>
      </c>
      <c r="I119" t="s">
        <v>2652</v>
      </c>
      <c r="J119" t="s">
        <v>2653</v>
      </c>
      <c r="K119" t="s">
        <v>74</v>
      </c>
      <c r="L119" t="s">
        <v>74</v>
      </c>
      <c r="M119" t="s">
        <v>78</v>
      </c>
      <c r="N119" t="s">
        <v>79</v>
      </c>
      <c r="O119" t="s">
        <v>74</v>
      </c>
      <c r="P119" t="s">
        <v>74</v>
      </c>
      <c r="Q119" t="s">
        <v>74</v>
      </c>
      <c r="R119" t="s">
        <v>74</v>
      </c>
      <c r="S119" t="s">
        <v>74</v>
      </c>
      <c r="T119" t="s">
        <v>2654</v>
      </c>
      <c r="U119" t="s">
        <v>2655</v>
      </c>
      <c r="V119" t="s">
        <v>2656</v>
      </c>
      <c r="W119" t="s">
        <v>2657</v>
      </c>
      <c r="X119" t="s">
        <v>2658</v>
      </c>
      <c r="Y119" t="s">
        <v>2659</v>
      </c>
      <c r="Z119" t="s">
        <v>2660</v>
      </c>
      <c r="AA119" t="s">
        <v>2661</v>
      </c>
      <c r="AB119" t="s">
        <v>2662</v>
      </c>
      <c r="AC119" t="s">
        <v>945</v>
      </c>
      <c r="AD119" t="s">
        <v>946</v>
      </c>
      <c r="AE119" t="s">
        <v>2663</v>
      </c>
      <c r="AF119" t="s">
        <v>74</v>
      </c>
      <c r="AG119">
        <v>52</v>
      </c>
      <c r="AH119">
        <v>8</v>
      </c>
      <c r="AI119">
        <v>9</v>
      </c>
      <c r="AJ119">
        <v>3</v>
      </c>
      <c r="AK119">
        <v>9</v>
      </c>
      <c r="AL119" t="s">
        <v>1852</v>
      </c>
      <c r="AM119" t="s">
        <v>333</v>
      </c>
      <c r="AN119" t="s">
        <v>1853</v>
      </c>
      <c r="AO119" t="s">
        <v>2664</v>
      </c>
      <c r="AP119" t="s">
        <v>2665</v>
      </c>
      <c r="AQ119" t="s">
        <v>74</v>
      </c>
      <c r="AR119" t="s">
        <v>2666</v>
      </c>
      <c r="AS119" t="s">
        <v>2667</v>
      </c>
      <c r="AT119" t="s">
        <v>98</v>
      </c>
      <c r="AU119">
        <v>2021</v>
      </c>
      <c r="AV119">
        <v>182</v>
      </c>
      <c r="AW119" t="s">
        <v>74</v>
      </c>
      <c r="AX119" t="s">
        <v>74</v>
      </c>
      <c r="AY119" t="s">
        <v>74</v>
      </c>
      <c r="AZ119" t="s">
        <v>74</v>
      </c>
      <c r="BA119" t="s">
        <v>74</v>
      </c>
      <c r="BB119">
        <v>145</v>
      </c>
      <c r="BC119">
        <v>151</v>
      </c>
      <c r="BD119" t="s">
        <v>74</v>
      </c>
      <c r="BE119" t="s">
        <v>2668</v>
      </c>
      <c r="BF119" t="str">
        <f>HYPERLINK("http://dx.doi.org/10.1016/j.anbehav.2021.10.010","http://dx.doi.org/10.1016/j.anbehav.2021.10.010")</f>
        <v>http://dx.doi.org/10.1016/j.anbehav.2021.10.010</v>
      </c>
      <c r="BG119" t="s">
        <v>74</v>
      </c>
      <c r="BH119" t="s">
        <v>263</v>
      </c>
      <c r="BI119">
        <v>7</v>
      </c>
      <c r="BJ119" t="s">
        <v>2669</v>
      </c>
      <c r="BK119" t="s">
        <v>101</v>
      </c>
      <c r="BL119" t="s">
        <v>2669</v>
      </c>
      <c r="BM119" t="s">
        <v>2670</v>
      </c>
      <c r="BN119" t="s">
        <v>74</v>
      </c>
      <c r="BO119" t="s">
        <v>74</v>
      </c>
      <c r="BP119" t="s">
        <v>74</v>
      </c>
      <c r="BQ119" t="s">
        <v>74</v>
      </c>
      <c r="BR119" t="s">
        <v>105</v>
      </c>
      <c r="BS119" t="s">
        <v>2671</v>
      </c>
      <c r="BT119" t="str">
        <f>HYPERLINK("https%3A%2F%2Fwww.webofscience.com%2Fwos%2Fwoscc%2Ffull-record%2FWOS:000719807300007","View Full Record in Web of Science")</f>
        <v>View Full Record in Web of Science</v>
      </c>
    </row>
    <row r="120" spans="1:72" x14ac:dyDescent="0.15">
      <c r="A120" t="s">
        <v>72</v>
      </c>
      <c r="B120" t="s">
        <v>2672</v>
      </c>
      <c r="C120" t="s">
        <v>74</v>
      </c>
      <c r="D120" t="s">
        <v>74</v>
      </c>
      <c r="E120" t="s">
        <v>74</v>
      </c>
      <c r="F120" t="s">
        <v>2673</v>
      </c>
      <c r="G120" t="s">
        <v>74</v>
      </c>
      <c r="H120" t="s">
        <v>74</v>
      </c>
      <c r="I120" t="s">
        <v>2674</v>
      </c>
      <c r="J120" t="s">
        <v>2675</v>
      </c>
      <c r="K120" t="s">
        <v>74</v>
      </c>
      <c r="L120" t="s">
        <v>74</v>
      </c>
      <c r="M120" t="s">
        <v>78</v>
      </c>
      <c r="N120" t="s">
        <v>79</v>
      </c>
      <c r="O120" t="s">
        <v>74</v>
      </c>
      <c r="P120" t="s">
        <v>74</v>
      </c>
      <c r="Q120" t="s">
        <v>74</v>
      </c>
      <c r="R120" t="s">
        <v>74</v>
      </c>
      <c r="S120" t="s">
        <v>74</v>
      </c>
      <c r="T120" t="s">
        <v>74</v>
      </c>
      <c r="U120" t="s">
        <v>2676</v>
      </c>
      <c r="V120" t="s">
        <v>2677</v>
      </c>
      <c r="W120" t="s">
        <v>2678</v>
      </c>
      <c r="X120" t="s">
        <v>2679</v>
      </c>
      <c r="Y120" t="s">
        <v>2680</v>
      </c>
      <c r="Z120" t="s">
        <v>2681</v>
      </c>
      <c r="AA120" t="s">
        <v>2682</v>
      </c>
      <c r="AB120" t="s">
        <v>2683</v>
      </c>
      <c r="AC120" t="s">
        <v>2684</v>
      </c>
      <c r="AD120" t="s">
        <v>2685</v>
      </c>
      <c r="AE120" t="s">
        <v>2686</v>
      </c>
      <c r="AF120" t="s">
        <v>74</v>
      </c>
      <c r="AG120">
        <v>75</v>
      </c>
      <c r="AH120">
        <v>6</v>
      </c>
      <c r="AI120">
        <v>6</v>
      </c>
      <c r="AJ120">
        <v>0</v>
      </c>
      <c r="AK120">
        <v>6</v>
      </c>
      <c r="AL120" t="s">
        <v>227</v>
      </c>
      <c r="AM120" t="s">
        <v>228</v>
      </c>
      <c r="AN120" t="s">
        <v>229</v>
      </c>
      <c r="AO120" t="s">
        <v>2687</v>
      </c>
      <c r="AP120" t="s">
        <v>2688</v>
      </c>
      <c r="AQ120" t="s">
        <v>74</v>
      </c>
      <c r="AR120" t="s">
        <v>2689</v>
      </c>
      <c r="AS120" t="s">
        <v>2690</v>
      </c>
      <c r="AT120" t="s">
        <v>2691</v>
      </c>
      <c r="AU120">
        <v>2021</v>
      </c>
      <c r="AV120">
        <v>17</v>
      </c>
      <c r="AW120">
        <v>6</v>
      </c>
      <c r="AX120" t="s">
        <v>74</v>
      </c>
      <c r="AY120" t="s">
        <v>74</v>
      </c>
      <c r="AZ120" t="s">
        <v>74</v>
      </c>
      <c r="BA120" t="s">
        <v>74</v>
      </c>
      <c r="BB120">
        <v>2343</v>
      </c>
      <c r="BC120">
        <v>2360</v>
      </c>
      <c r="BD120" t="s">
        <v>74</v>
      </c>
      <c r="BE120" t="s">
        <v>2692</v>
      </c>
      <c r="BF120" t="str">
        <f>HYPERLINK("http://dx.doi.org/10.5194/cp-17-2343-2021","http://dx.doi.org/10.5194/cp-17-2343-2021")</f>
        <v>http://dx.doi.org/10.5194/cp-17-2343-2021</v>
      </c>
      <c r="BG120" t="s">
        <v>74</v>
      </c>
      <c r="BH120" t="s">
        <v>74</v>
      </c>
      <c r="BI120">
        <v>18</v>
      </c>
      <c r="BJ120" t="s">
        <v>1418</v>
      </c>
      <c r="BK120" t="s">
        <v>101</v>
      </c>
      <c r="BL120" t="s">
        <v>1419</v>
      </c>
      <c r="BM120" t="s">
        <v>2693</v>
      </c>
      <c r="BN120" t="s">
        <v>74</v>
      </c>
      <c r="BO120" t="s">
        <v>554</v>
      </c>
      <c r="BP120" t="s">
        <v>74</v>
      </c>
      <c r="BQ120" t="s">
        <v>74</v>
      </c>
      <c r="BR120" t="s">
        <v>105</v>
      </c>
      <c r="BS120" t="s">
        <v>2694</v>
      </c>
      <c r="BT120" t="str">
        <f>HYPERLINK("https%3A%2F%2Fwww.webofscience.com%2Fwos%2Fwoscc%2Ffull-record%2FWOS:000720137000001","View Full Record in Web of Science")</f>
        <v>View Full Record in Web of Science</v>
      </c>
    </row>
    <row r="121" spans="1:72" x14ac:dyDescent="0.15">
      <c r="A121" t="s">
        <v>72</v>
      </c>
      <c r="B121" t="s">
        <v>2695</v>
      </c>
      <c r="C121" t="s">
        <v>74</v>
      </c>
      <c r="D121" t="s">
        <v>74</v>
      </c>
      <c r="E121" t="s">
        <v>74</v>
      </c>
      <c r="F121" t="s">
        <v>2696</v>
      </c>
      <c r="G121" t="s">
        <v>74</v>
      </c>
      <c r="H121" t="s">
        <v>74</v>
      </c>
      <c r="I121" t="s">
        <v>2697</v>
      </c>
      <c r="J121" t="s">
        <v>2698</v>
      </c>
      <c r="K121" t="s">
        <v>74</v>
      </c>
      <c r="L121" t="s">
        <v>74</v>
      </c>
      <c r="M121" t="s">
        <v>78</v>
      </c>
      <c r="N121" t="s">
        <v>79</v>
      </c>
      <c r="O121" t="s">
        <v>74</v>
      </c>
      <c r="P121" t="s">
        <v>74</v>
      </c>
      <c r="Q121" t="s">
        <v>74</v>
      </c>
      <c r="R121" t="s">
        <v>74</v>
      </c>
      <c r="S121" t="s">
        <v>74</v>
      </c>
      <c r="T121" t="s">
        <v>2699</v>
      </c>
      <c r="U121" t="s">
        <v>2700</v>
      </c>
      <c r="V121" t="s">
        <v>2701</v>
      </c>
      <c r="W121" t="s">
        <v>2702</v>
      </c>
      <c r="X121" t="s">
        <v>2703</v>
      </c>
      <c r="Y121" t="s">
        <v>2704</v>
      </c>
      <c r="Z121" t="s">
        <v>2705</v>
      </c>
      <c r="AA121" t="s">
        <v>2706</v>
      </c>
      <c r="AB121" t="s">
        <v>2707</v>
      </c>
      <c r="AC121" t="s">
        <v>2708</v>
      </c>
      <c r="AD121" t="s">
        <v>2708</v>
      </c>
      <c r="AE121" t="s">
        <v>2708</v>
      </c>
      <c r="AF121" t="s">
        <v>74</v>
      </c>
      <c r="AG121">
        <v>89</v>
      </c>
      <c r="AH121">
        <v>6</v>
      </c>
      <c r="AI121">
        <v>6</v>
      </c>
      <c r="AJ121">
        <v>1</v>
      </c>
      <c r="AK121">
        <v>8</v>
      </c>
      <c r="AL121" t="s">
        <v>572</v>
      </c>
      <c r="AM121" t="s">
        <v>573</v>
      </c>
      <c r="AN121" t="s">
        <v>574</v>
      </c>
      <c r="AO121" t="s">
        <v>2709</v>
      </c>
      <c r="AP121" t="s">
        <v>2710</v>
      </c>
      <c r="AQ121" t="s">
        <v>74</v>
      </c>
      <c r="AR121" t="s">
        <v>2711</v>
      </c>
      <c r="AS121" t="s">
        <v>2712</v>
      </c>
      <c r="AT121" t="s">
        <v>310</v>
      </c>
      <c r="AU121">
        <v>2022</v>
      </c>
      <c r="AV121">
        <v>106</v>
      </c>
      <c r="AW121">
        <v>6</v>
      </c>
      <c r="AX121" t="s">
        <v>74</v>
      </c>
      <c r="AY121" t="s">
        <v>74</v>
      </c>
      <c r="AZ121" t="s">
        <v>74</v>
      </c>
      <c r="BA121" t="s">
        <v>74</v>
      </c>
      <c r="BB121">
        <v>1333</v>
      </c>
      <c r="BC121">
        <v>1344</v>
      </c>
      <c r="BD121" t="s">
        <v>74</v>
      </c>
      <c r="BE121" t="s">
        <v>2713</v>
      </c>
      <c r="BF121" t="str">
        <f>HYPERLINK("http://dx.doi.org/10.1111/jpn.13659","http://dx.doi.org/10.1111/jpn.13659")</f>
        <v>http://dx.doi.org/10.1111/jpn.13659</v>
      </c>
      <c r="BG121" t="s">
        <v>74</v>
      </c>
      <c r="BH121" t="s">
        <v>263</v>
      </c>
      <c r="BI121">
        <v>12</v>
      </c>
      <c r="BJ121" t="s">
        <v>1833</v>
      </c>
      <c r="BK121" t="s">
        <v>101</v>
      </c>
      <c r="BL121" t="s">
        <v>1834</v>
      </c>
      <c r="BM121" t="s">
        <v>2714</v>
      </c>
      <c r="BN121">
        <v>34773290</v>
      </c>
      <c r="BO121" t="s">
        <v>74</v>
      </c>
      <c r="BP121" t="s">
        <v>74</v>
      </c>
      <c r="BQ121" t="s">
        <v>74</v>
      </c>
      <c r="BR121" t="s">
        <v>105</v>
      </c>
      <c r="BS121" t="s">
        <v>2715</v>
      </c>
      <c r="BT121" t="str">
        <f>HYPERLINK("https%3A%2F%2Fwww.webofscience.com%2Fwos%2Fwoscc%2Ffull-record%2FWOS:000717868800001","View Full Record in Web of Science")</f>
        <v>View Full Record in Web of Science</v>
      </c>
    </row>
    <row r="122" spans="1:72" x14ac:dyDescent="0.15">
      <c r="A122" t="s">
        <v>72</v>
      </c>
      <c r="B122" t="s">
        <v>2716</v>
      </c>
      <c r="C122" t="s">
        <v>74</v>
      </c>
      <c r="D122" t="s">
        <v>74</v>
      </c>
      <c r="E122" t="s">
        <v>74</v>
      </c>
      <c r="F122" t="s">
        <v>2717</v>
      </c>
      <c r="G122" t="s">
        <v>74</v>
      </c>
      <c r="H122" t="s">
        <v>74</v>
      </c>
      <c r="I122" t="s">
        <v>2718</v>
      </c>
      <c r="J122" t="s">
        <v>2719</v>
      </c>
      <c r="K122" t="s">
        <v>74</v>
      </c>
      <c r="L122" t="s">
        <v>74</v>
      </c>
      <c r="M122" t="s">
        <v>78</v>
      </c>
      <c r="N122" t="s">
        <v>79</v>
      </c>
      <c r="O122" t="s">
        <v>74</v>
      </c>
      <c r="P122" t="s">
        <v>74</v>
      </c>
      <c r="Q122" t="s">
        <v>74</v>
      </c>
      <c r="R122" t="s">
        <v>74</v>
      </c>
      <c r="S122" t="s">
        <v>74</v>
      </c>
      <c r="T122" t="s">
        <v>2720</v>
      </c>
      <c r="U122" t="s">
        <v>2721</v>
      </c>
      <c r="V122" t="s">
        <v>2722</v>
      </c>
      <c r="W122" t="s">
        <v>2723</v>
      </c>
      <c r="X122" t="s">
        <v>2724</v>
      </c>
      <c r="Y122" t="s">
        <v>2725</v>
      </c>
      <c r="Z122" t="s">
        <v>2726</v>
      </c>
      <c r="AA122" t="s">
        <v>2727</v>
      </c>
      <c r="AB122" t="s">
        <v>2728</v>
      </c>
      <c r="AC122" t="s">
        <v>2729</v>
      </c>
      <c r="AD122" t="s">
        <v>2730</v>
      </c>
      <c r="AE122" t="s">
        <v>2731</v>
      </c>
      <c r="AF122" t="s">
        <v>74</v>
      </c>
      <c r="AG122">
        <v>65</v>
      </c>
      <c r="AH122">
        <v>2</v>
      </c>
      <c r="AI122">
        <v>3</v>
      </c>
      <c r="AJ122">
        <v>4</v>
      </c>
      <c r="AK122">
        <v>26</v>
      </c>
      <c r="AL122" t="s">
        <v>1714</v>
      </c>
      <c r="AM122" t="s">
        <v>256</v>
      </c>
      <c r="AN122" t="s">
        <v>1715</v>
      </c>
      <c r="AO122" t="s">
        <v>2732</v>
      </c>
      <c r="AP122" t="s">
        <v>2733</v>
      </c>
      <c r="AQ122" t="s">
        <v>74</v>
      </c>
      <c r="AR122" t="s">
        <v>2734</v>
      </c>
      <c r="AS122" t="s">
        <v>2735</v>
      </c>
      <c r="AT122" t="s">
        <v>98</v>
      </c>
      <c r="AU122">
        <v>2021</v>
      </c>
      <c r="AV122">
        <v>78</v>
      </c>
      <c r="AW122">
        <v>10</v>
      </c>
      <c r="AX122" t="s">
        <v>74</v>
      </c>
      <c r="AY122" t="s">
        <v>74</v>
      </c>
      <c r="AZ122" t="s">
        <v>74</v>
      </c>
      <c r="BA122" t="s">
        <v>74</v>
      </c>
      <c r="BB122">
        <v>3748</v>
      </c>
      <c r="BC122">
        <v>3756</v>
      </c>
      <c r="BD122" t="s">
        <v>74</v>
      </c>
      <c r="BE122" t="s">
        <v>2736</v>
      </c>
      <c r="BF122" t="str">
        <f>HYPERLINK("http://dx.doi.org/10.1093/icesjms/fsab220","http://dx.doi.org/10.1093/icesjms/fsab220")</f>
        <v>http://dx.doi.org/10.1093/icesjms/fsab220</v>
      </c>
      <c r="BG122" t="s">
        <v>74</v>
      </c>
      <c r="BH122" t="s">
        <v>263</v>
      </c>
      <c r="BI122">
        <v>9</v>
      </c>
      <c r="BJ122" t="s">
        <v>2737</v>
      </c>
      <c r="BK122" t="s">
        <v>101</v>
      </c>
      <c r="BL122" t="s">
        <v>2737</v>
      </c>
      <c r="BM122" t="s">
        <v>2738</v>
      </c>
      <c r="BN122" t="s">
        <v>74</v>
      </c>
      <c r="BO122" t="s">
        <v>74</v>
      </c>
      <c r="BP122" t="s">
        <v>74</v>
      </c>
      <c r="BQ122" t="s">
        <v>74</v>
      </c>
      <c r="BR122" t="s">
        <v>105</v>
      </c>
      <c r="BS122" t="s">
        <v>2739</v>
      </c>
      <c r="BT122" t="str">
        <f>HYPERLINK("https%3A%2F%2Fwww.webofscience.com%2Fwos%2Fwoscc%2Ffull-record%2FWOS:000743855700021","View Full Record in Web of Science")</f>
        <v>View Full Record in Web of Science</v>
      </c>
    </row>
    <row r="123" spans="1:72" x14ac:dyDescent="0.15">
      <c r="A123" t="s">
        <v>72</v>
      </c>
      <c r="B123" t="s">
        <v>2740</v>
      </c>
      <c r="C123" t="s">
        <v>74</v>
      </c>
      <c r="D123" t="s">
        <v>74</v>
      </c>
      <c r="E123" t="s">
        <v>74</v>
      </c>
      <c r="F123" t="s">
        <v>2741</v>
      </c>
      <c r="G123" t="s">
        <v>74</v>
      </c>
      <c r="H123" t="s">
        <v>74</v>
      </c>
      <c r="I123" t="s">
        <v>2742</v>
      </c>
      <c r="J123" t="s">
        <v>2743</v>
      </c>
      <c r="K123" t="s">
        <v>74</v>
      </c>
      <c r="L123" t="s">
        <v>74</v>
      </c>
      <c r="M123" t="s">
        <v>78</v>
      </c>
      <c r="N123" t="s">
        <v>79</v>
      </c>
      <c r="O123" t="s">
        <v>74</v>
      </c>
      <c r="P123" t="s">
        <v>74</v>
      </c>
      <c r="Q123" t="s">
        <v>74</v>
      </c>
      <c r="R123" t="s">
        <v>74</v>
      </c>
      <c r="S123" t="s">
        <v>74</v>
      </c>
      <c r="T123" t="s">
        <v>2744</v>
      </c>
      <c r="U123" t="s">
        <v>2745</v>
      </c>
      <c r="V123" t="s">
        <v>2746</v>
      </c>
      <c r="W123" t="s">
        <v>2747</v>
      </c>
      <c r="X123" t="s">
        <v>2748</v>
      </c>
      <c r="Y123" t="s">
        <v>2749</v>
      </c>
      <c r="Z123" t="s">
        <v>2750</v>
      </c>
      <c r="AA123" t="s">
        <v>2751</v>
      </c>
      <c r="AB123" t="s">
        <v>2752</v>
      </c>
      <c r="AC123" t="s">
        <v>2753</v>
      </c>
      <c r="AD123" t="s">
        <v>2754</v>
      </c>
      <c r="AE123" t="s">
        <v>2755</v>
      </c>
      <c r="AF123" t="s">
        <v>74</v>
      </c>
      <c r="AG123">
        <v>54</v>
      </c>
      <c r="AH123">
        <v>1</v>
      </c>
      <c r="AI123">
        <v>1</v>
      </c>
      <c r="AJ123">
        <v>4</v>
      </c>
      <c r="AK123">
        <v>19</v>
      </c>
      <c r="AL123" t="s">
        <v>2756</v>
      </c>
      <c r="AM123" t="s">
        <v>2757</v>
      </c>
      <c r="AN123" t="s">
        <v>2758</v>
      </c>
      <c r="AO123" t="s">
        <v>2759</v>
      </c>
      <c r="AP123" t="s">
        <v>2760</v>
      </c>
      <c r="AQ123" t="s">
        <v>74</v>
      </c>
      <c r="AR123" t="s">
        <v>2761</v>
      </c>
      <c r="AS123" t="s">
        <v>2762</v>
      </c>
      <c r="AT123" t="s">
        <v>2763</v>
      </c>
      <c r="AU123">
        <v>2021</v>
      </c>
      <c r="AV123">
        <v>40</v>
      </c>
      <c r="AW123" t="s">
        <v>74</v>
      </c>
      <c r="AX123" t="s">
        <v>74</v>
      </c>
      <c r="AY123" t="s">
        <v>74</v>
      </c>
      <c r="AZ123" t="s">
        <v>74</v>
      </c>
      <c r="BA123" t="s">
        <v>74</v>
      </c>
      <c r="BB123" t="s">
        <v>74</v>
      </c>
      <c r="BC123" t="s">
        <v>74</v>
      </c>
      <c r="BD123">
        <v>5389</v>
      </c>
      <c r="BE123" t="s">
        <v>2764</v>
      </c>
      <c r="BF123" t="str">
        <f>HYPERLINK("http://dx.doi.org/10.33265/polar.v40.5389","http://dx.doi.org/10.33265/polar.v40.5389")</f>
        <v>http://dx.doi.org/10.33265/polar.v40.5389</v>
      </c>
      <c r="BG123" t="s">
        <v>74</v>
      </c>
      <c r="BH123" t="s">
        <v>74</v>
      </c>
      <c r="BI123">
        <v>13</v>
      </c>
      <c r="BJ123" t="s">
        <v>2765</v>
      </c>
      <c r="BK123" t="s">
        <v>101</v>
      </c>
      <c r="BL123" t="s">
        <v>2766</v>
      </c>
      <c r="BM123" t="s">
        <v>2767</v>
      </c>
      <c r="BN123" t="s">
        <v>74</v>
      </c>
      <c r="BO123" t="s">
        <v>210</v>
      </c>
      <c r="BP123" t="s">
        <v>74</v>
      </c>
      <c r="BQ123" t="s">
        <v>74</v>
      </c>
      <c r="BR123" t="s">
        <v>105</v>
      </c>
      <c r="BS123" t="s">
        <v>2768</v>
      </c>
      <c r="BT123" t="str">
        <f>HYPERLINK("https%3A%2F%2Fwww.webofscience.com%2Fwos%2Fwoscc%2Ffull-record%2FWOS:000737438800001","View Full Record in Web of Science")</f>
        <v>View Full Record in Web of Science</v>
      </c>
    </row>
    <row r="124" spans="1:72" x14ac:dyDescent="0.15">
      <c r="A124" t="s">
        <v>72</v>
      </c>
      <c r="B124" t="s">
        <v>2769</v>
      </c>
      <c r="C124" t="s">
        <v>74</v>
      </c>
      <c r="D124" t="s">
        <v>74</v>
      </c>
      <c r="E124" t="s">
        <v>74</v>
      </c>
      <c r="F124" t="s">
        <v>2770</v>
      </c>
      <c r="G124" t="s">
        <v>74</v>
      </c>
      <c r="H124" t="s">
        <v>74</v>
      </c>
      <c r="I124" t="s">
        <v>2771</v>
      </c>
      <c r="J124" t="s">
        <v>372</v>
      </c>
      <c r="K124" t="s">
        <v>74</v>
      </c>
      <c r="L124" t="s">
        <v>74</v>
      </c>
      <c r="M124" t="s">
        <v>78</v>
      </c>
      <c r="N124" t="s">
        <v>1764</v>
      </c>
      <c r="O124" t="s">
        <v>74</v>
      </c>
      <c r="P124" t="s">
        <v>74</v>
      </c>
      <c r="Q124" t="s">
        <v>74</v>
      </c>
      <c r="R124" t="s">
        <v>74</v>
      </c>
      <c r="S124" t="s">
        <v>74</v>
      </c>
      <c r="T124" t="s">
        <v>2772</v>
      </c>
      <c r="U124" t="s">
        <v>74</v>
      </c>
      <c r="V124" t="s">
        <v>74</v>
      </c>
      <c r="W124" t="s">
        <v>2773</v>
      </c>
      <c r="X124" t="s">
        <v>2774</v>
      </c>
      <c r="Y124" t="s">
        <v>2775</v>
      </c>
      <c r="Z124" t="s">
        <v>2776</v>
      </c>
      <c r="AA124" t="s">
        <v>2777</v>
      </c>
      <c r="AB124" t="s">
        <v>2778</v>
      </c>
      <c r="AC124" t="s">
        <v>74</v>
      </c>
      <c r="AD124" t="s">
        <v>74</v>
      </c>
      <c r="AE124" t="s">
        <v>74</v>
      </c>
      <c r="AF124" t="s">
        <v>74</v>
      </c>
      <c r="AG124">
        <v>12</v>
      </c>
      <c r="AH124">
        <v>1</v>
      </c>
      <c r="AI124">
        <v>1</v>
      </c>
      <c r="AJ124">
        <v>3</v>
      </c>
      <c r="AK124">
        <v>10</v>
      </c>
      <c r="AL124" t="s">
        <v>383</v>
      </c>
      <c r="AM124" t="s">
        <v>384</v>
      </c>
      <c r="AN124" t="s">
        <v>385</v>
      </c>
      <c r="AO124" t="s">
        <v>74</v>
      </c>
      <c r="AP124" t="s">
        <v>386</v>
      </c>
      <c r="AQ124" t="s">
        <v>74</v>
      </c>
      <c r="AR124" t="s">
        <v>387</v>
      </c>
      <c r="AS124" t="s">
        <v>388</v>
      </c>
      <c r="AT124" t="s">
        <v>2763</v>
      </c>
      <c r="AU124">
        <v>2021</v>
      </c>
      <c r="AV124">
        <v>8</v>
      </c>
      <c r="AW124" t="s">
        <v>74</v>
      </c>
      <c r="AX124" t="s">
        <v>74</v>
      </c>
      <c r="AY124" t="s">
        <v>74</v>
      </c>
      <c r="AZ124" t="s">
        <v>74</v>
      </c>
      <c r="BA124" t="s">
        <v>74</v>
      </c>
      <c r="BB124" t="s">
        <v>74</v>
      </c>
      <c r="BC124" t="s">
        <v>74</v>
      </c>
      <c r="BD124">
        <v>793020</v>
      </c>
      <c r="BE124" t="s">
        <v>2779</v>
      </c>
      <c r="BF124" t="str">
        <f>HYPERLINK("http://dx.doi.org/10.3389/fmars.2021.793020","http://dx.doi.org/10.3389/fmars.2021.793020")</f>
        <v>http://dx.doi.org/10.3389/fmars.2021.793020</v>
      </c>
      <c r="BG124" t="s">
        <v>74</v>
      </c>
      <c r="BH124" t="s">
        <v>74</v>
      </c>
      <c r="BI124">
        <v>3</v>
      </c>
      <c r="BJ124" t="s">
        <v>391</v>
      </c>
      <c r="BK124" t="s">
        <v>101</v>
      </c>
      <c r="BL124" t="s">
        <v>392</v>
      </c>
      <c r="BM124" t="s">
        <v>2780</v>
      </c>
      <c r="BN124" t="s">
        <v>74</v>
      </c>
      <c r="BO124" t="s">
        <v>1070</v>
      </c>
      <c r="BP124" t="s">
        <v>74</v>
      </c>
      <c r="BQ124" t="s">
        <v>74</v>
      </c>
      <c r="BR124" t="s">
        <v>105</v>
      </c>
      <c r="BS124" t="s">
        <v>2781</v>
      </c>
      <c r="BT124" t="str">
        <f>HYPERLINK("https%3A%2F%2Fwww.webofscience.com%2Fwos%2Fwoscc%2Ffull-record%2FWOS:000733916200001","View Full Record in Web of Science")</f>
        <v>View Full Record in Web of Science</v>
      </c>
    </row>
    <row r="125" spans="1:72" x14ac:dyDescent="0.15">
      <c r="A125" t="s">
        <v>72</v>
      </c>
      <c r="B125" t="s">
        <v>2782</v>
      </c>
      <c r="C125" t="s">
        <v>74</v>
      </c>
      <c r="D125" t="s">
        <v>74</v>
      </c>
      <c r="E125" t="s">
        <v>74</v>
      </c>
      <c r="F125" t="s">
        <v>2783</v>
      </c>
      <c r="G125" t="s">
        <v>74</v>
      </c>
      <c r="H125" t="s">
        <v>74</v>
      </c>
      <c r="I125" t="s">
        <v>2784</v>
      </c>
      <c r="J125" t="s">
        <v>1009</v>
      </c>
      <c r="K125" t="s">
        <v>74</v>
      </c>
      <c r="L125" t="s">
        <v>74</v>
      </c>
      <c r="M125" t="s">
        <v>78</v>
      </c>
      <c r="N125" t="s">
        <v>79</v>
      </c>
      <c r="O125" t="s">
        <v>74</v>
      </c>
      <c r="P125" t="s">
        <v>74</v>
      </c>
      <c r="Q125" t="s">
        <v>74</v>
      </c>
      <c r="R125" t="s">
        <v>74</v>
      </c>
      <c r="S125" t="s">
        <v>74</v>
      </c>
      <c r="T125" t="s">
        <v>2785</v>
      </c>
      <c r="U125" t="s">
        <v>2786</v>
      </c>
      <c r="V125" t="s">
        <v>2787</v>
      </c>
      <c r="W125" t="s">
        <v>2788</v>
      </c>
      <c r="X125" t="s">
        <v>2789</v>
      </c>
      <c r="Y125" t="s">
        <v>2790</v>
      </c>
      <c r="Z125" t="s">
        <v>2791</v>
      </c>
      <c r="AA125" t="s">
        <v>2792</v>
      </c>
      <c r="AB125" t="s">
        <v>2793</v>
      </c>
      <c r="AC125" t="s">
        <v>74</v>
      </c>
      <c r="AD125" t="s">
        <v>74</v>
      </c>
      <c r="AE125" t="s">
        <v>74</v>
      </c>
      <c r="AF125" t="s">
        <v>74</v>
      </c>
      <c r="AG125">
        <v>61</v>
      </c>
      <c r="AH125">
        <v>4</v>
      </c>
      <c r="AI125">
        <v>4</v>
      </c>
      <c r="AJ125">
        <v>0</v>
      </c>
      <c r="AK125">
        <v>18</v>
      </c>
      <c r="AL125" t="s">
        <v>383</v>
      </c>
      <c r="AM125" t="s">
        <v>384</v>
      </c>
      <c r="AN125" t="s">
        <v>385</v>
      </c>
      <c r="AO125" t="s">
        <v>1021</v>
      </c>
      <c r="AP125" t="s">
        <v>74</v>
      </c>
      <c r="AQ125" t="s">
        <v>74</v>
      </c>
      <c r="AR125" t="s">
        <v>1022</v>
      </c>
      <c r="AS125" t="s">
        <v>1023</v>
      </c>
      <c r="AT125" t="s">
        <v>2763</v>
      </c>
      <c r="AU125">
        <v>2021</v>
      </c>
      <c r="AV125">
        <v>9</v>
      </c>
      <c r="AW125" t="s">
        <v>74</v>
      </c>
      <c r="AX125" t="s">
        <v>74</v>
      </c>
      <c r="AY125" t="s">
        <v>74</v>
      </c>
      <c r="AZ125" t="s">
        <v>74</v>
      </c>
      <c r="BA125" t="s">
        <v>74</v>
      </c>
      <c r="BB125" t="s">
        <v>74</v>
      </c>
      <c r="BC125" t="s">
        <v>74</v>
      </c>
      <c r="BD125">
        <v>777009</v>
      </c>
      <c r="BE125" t="s">
        <v>2794</v>
      </c>
      <c r="BF125" t="str">
        <f>HYPERLINK("http://dx.doi.org/10.3389/fevo.2021.777009","http://dx.doi.org/10.3389/fevo.2021.777009")</f>
        <v>http://dx.doi.org/10.3389/fevo.2021.777009</v>
      </c>
      <c r="BG125" t="s">
        <v>74</v>
      </c>
      <c r="BH125" t="s">
        <v>74</v>
      </c>
      <c r="BI125">
        <v>10</v>
      </c>
      <c r="BJ125" t="s">
        <v>629</v>
      </c>
      <c r="BK125" t="s">
        <v>207</v>
      </c>
      <c r="BL125" t="s">
        <v>630</v>
      </c>
      <c r="BM125" t="s">
        <v>2795</v>
      </c>
      <c r="BN125" t="s">
        <v>74</v>
      </c>
      <c r="BO125" t="s">
        <v>104</v>
      </c>
      <c r="BP125" t="s">
        <v>74</v>
      </c>
      <c r="BQ125" t="s">
        <v>74</v>
      </c>
      <c r="BR125" t="s">
        <v>105</v>
      </c>
      <c r="BS125" t="s">
        <v>2796</v>
      </c>
      <c r="BT125" t="str">
        <f>HYPERLINK("https%3A%2F%2Fwww.webofscience.com%2Fwos%2Fwoscc%2Ffull-record%2FWOS:000725623000001","View Full Record in Web of Science")</f>
        <v>View Full Record in Web of Science</v>
      </c>
    </row>
    <row r="126" spans="1:72" x14ac:dyDescent="0.15">
      <c r="A126" t="s">
        <v>72</v>
      </c>
      <c r="B126" t="s">
        <v>2797</v>
      </c>
      <c r="C126" t="s">
        <v>74</v>
      </c>
      <c r="D126" t="s">
        <v>74</v>
      </c>
      <c r="E126" t="s">
        <v>74</v>
      </c>
      <c r="F126" t="s">
        <v>2798</v>
      </c>
      <c r="G126" t="s">
        <v>74</v>
      </c>
      <c r="H126" t="s">
        <v>74</v>
      </c>
      <c r="I126" t="s">
        <v>2799</v>
      </c>
      <c r="J126" t="s">
        <v>1212</v>
      </c>
      <c r="K126" t="s">
        <v>74</v>
      </c>
      <c r="L126" t="s">
        <v>74</v>
      </c>
      <c r="M126" t="s">
        <v>78</v>
      </c>
      <c r="N126" t="s">
        <v>79</v>
      </c>
      <c r="O126" t="s">
        <v>74</v>
      </c>
      <c r="P126" t="s">
        <v>74</v>
      </c>
      <c r="Q126" t="s">
        <v>74</v>
      </c>
      <c r="R126" t="s">
        <v>74</v>
      </c>
      <c r="S126" t="s">
        <v>74</v>
      </c>
      <c r="T126" t="s">
        <v>74</v>
      </c>
      <c r="U126" t="s">
        <v>2800</v>
      </c>
      <c r="V126" t="s">
        <v>2801</v>
      </c>
      <c r="W126" t="s">
        <v>2802</v>
      </c>
      <c r="X126" t="s">
        <v>2803</v>
      </c>
      <c r="Y126" t="s">
        <v>2804</v>
      </c>
      <c r="Z126" t="s">
        <v>2660</v>
      </c>
      <c r="AA126" t="s">
        <v>2805</v>
      </c>
      <c r="AB126" t="s">
        <v>2806</v>
      </c>
      <c r="AC126" t="s">
        <v>2807</v>
      </c>
      <c r="AD126" t="s">
        <v>1020</v>
      </c>
      <c r="AE126" t="s">
        <v>74</v>
      </c>
      <c r="AF126" t="s">
        <v>74</v>
      </c>
      <c r="AG126">
        <v>51</v>
      </c>
      <c r="AH126">
        <v>7</v>
      </c>
      <c r="AI126">
        <v>7</v>
      </c>
      <c r="AJ126">
        <v>0</v>
      </c>
      <c r="AK126">
        <v>10</v>
      </c>
      <c r="AL126" t="s">
        <v>492</v>
      </c>
      <c r="AM126" t="s">
        <v>493</v>
      </c>
      <c r="AN126" t="s">
        <v>494</v>
      </c>
      <c r="AO126" t="s">
        <v>1224</v>
      </c>
      <c r="AP126" t="s">
        <v>74</v>
      </c>
      <c r="AQ126" t="s">
        <v>74</v>
      </c>
      <c r="AR126" t="s">
        <v>1225</v>
      </c>
      <c r="AS126" t="s">
        <v>1226</v>
      </c>
      <c r="AT126" t="s">
        <v>2763</v>
      </c>
      <c r="AU126">
        <v>2021</v>
      </c>
      <c r="AV126">
        <v>11</v>
      </c>
      <c r="AW126">
        <v>1</v>
      </c>
      <c r="AX126" t="s">
        <v>74</v>
      </c>
      <c r="AY126" t="s">
        <v>74</v>
      </c>
      <c r="AZ126" t="s">
        <v>74</v>
      </c>
      <c r="BA126" t="s">
        <v>74</v>
      </c>
      <c r="BB126" t="s">
        <v>74</v>
      </c>
      <c r="BC126" t="s">
        <v>74</v>
      </c>
      <c r="BD126">
        <v>22133</v>
      </c>
      <c r="BE126" t="s">
        <v>2808</v>
      </c>
      <c r="BF126" t="str">
        <f>HYPERLINK("http://dx.doi.org/10.1038/s41598-021-01506-w","http://dx.doi.org/10.1038/s41598-021-01506-w")</f>
        <v>http://dx.doi.org/10.1038/s41598-021-01506-w</v>
      </c>
      <c r="BG126" t="s">
        <v>74</v>
      </c>
      <c r="BH126" t="s">
        <v>74</v>
      </c>
      <c r="BI126">
        <v>8</v>
      </c>
      <c r="BJ126" t="s">
        <v>126</v>
      </c>
      <c r="BK126" t="s">
        <v>101</v>
      </c>
      <c r="BL126" t="s">
        <v>127</v>
      </c>
      <c r="BM126" t="s">
        <v>2809</v>
      </c>
      <c r="BN126">
        <v>34764356</v>
      </c>
      <c r="BO126" t="s">
        <v>104</v>
      </c>
      <c r="BP126" t="s">
        <v>74</v>
      </c>
      <c r="BQ126" t="s">
        <v>74</v>
      </c>
      <c r="BR126" t="s">
        <v>105</v>
      </c>
      <c r="BS126" t="s">
        <v>2810</v>
      </c>
      <c r="BT126" t="str">
        <f>HYPERLINK("https%3A%2F%2Fwww.webofscience.com%2Fwos%2Fwoscc%2Ffull-record%2FWOS:000717747400017","View Full Record in Web of Science")</f>
        <v>View Full Record in Web of Science</v>
      </c>
    </row>
    <row r="127" spans="1:72" x14ac:dyDescent="0.15">
      <c r="A127" t="s">
        <v>72</v>
      </c>
      <c r="B127" t="s">
        <v>2811</v>
      </c>
      <c r="C127" t="s">
        <v>74</v>
      </c>
      <c r="D127" t="s">
        <v>74</v>
      </c>
      <c r="E127" t="s">
        <v>74</v>
      </c>
      <c r="F127" t="s">
        <v>2812</v>
      </c>
      <c r="G127" t="s">
        <v>74</v>
      </c>
      <c r="H127" t="s">
        <v>74</v>
      </c>
      <c r="I127" t="s">
        <v>2813</v>
      </c>
      <c r="J127" t="s">
        <v>1212</v>
      </c>
      <c r="K127" t="s">
        <v>74</v>
      </c>
      <c r="L127" t="s">
        <v>74</v>
      </c>
      <c r="M127" t="s">
        <v>78</v>
      </c>
      <c r="N127" t="s">
        <v>79</v>
      </c>
      <c r="O127" t="s">
        <v>74</v>
      </c>
      <c r="P127" t="s">
        <v>74</v>
      </c>
      <c r="Q127" t="s">
        <v>74</v>
      </c>
      <c r="R127" t="s">
        <v>74</v>
      </c>
      <c r="S127" t="s">
        <v>74</v>
      </c>
      <c r="T127" t="s">
        <v>74</v>
      </c>
      <c r="U127" t="s">
        <v>2814</v>
      </c>
      <c r="V127" t="s">
        <v>2815</v>
      </c>
      <c r="W127" t="s">
        <v>2816</v>
      </c>
      <c r="X127" t="s">
        <v>2817</v>
      </c>
      <c r="Y127" t="s">
        <v>2818</v>
      </c>
      <c r="Z127" t="s">
        <v>2819</v>
      </c>
      <c r="AA127" t="s">
        <v>2820</v>
      </c>
      <c r="AB127" t="s">
        <v>2821</v>
      </c>
      <c r="AC127" t="s">
        <v>2822</v>
      </c>
      <c r="AD127" t="s">
        <v>2822</v>
      </c>
      <c r="AE127" t="s">
        <v>2823</v>
      </c>
      <c r="AF127" t="s">
        <v>74</v>
      </c>
      <c r="AG127">
        <v>71</v>
      </c>
      <c r="AH127">
        <v>5</v>
      </c>
      <c r="AI127">
        <v>5</v>
      </c>
      <c r="AJ127">
        <v>3</v>
      </c>
      <c r="AK127">
        <v>8</v>
      </c>
      <c r="AL127" t="s">
        <v>492</v>
      </c>
      <c r="AM127" t="s">
        <v>493</v>
      </c>
      <c r="AN127" t="s">
        <v>494</v>
      </c>
      <c r="AO127" t="s">
        <v>1224</v>
      </c>
      <c r="AP127" t="s">
        <v>74</v>
      </c>
      <c r="AQ127" t="s">
        <v>74</v>
      </c>
      <c r="AR127" t="s">
        <v>1225</v>
      </c>
      <c r="AS127" t="s">
        <v>1226</v>
      </c>
      <c r="AT127" t="s">
        <v>2763</v>
      </c>
      <c r="AU127">
        <v>2021</v>
      </c>
      <c r="AV127">
        <v>11</v>
      </c>
      <c r="AW127">
        <v>1</v>
      </c>
      <c r="AX127" t="s">
        <v>74</v>
      </c>
      <c r="AY127" t="s">
        <v>74</v>
      </c>
      <c r="AZ127" t="s">
        <v>74</v>
      </c>
      <c r="BA127" t="s">
        <v>74</v>
      </c>
      <c r="BB127" t="s">
        <v>74</v>
      </c>
      <c r="BC127" t="s">
        <v>74</v>
      </c>
      <c r="BD127">
        <v>22117</v>
      </c>
      <c r="BE127" t="s">
        <v>2824</v>
      </c>
      <c r="BF127" t="str">
        <f>HYPERLINK("http://dx.doi.org/10.1038/s41598-021-01657-w","http://dx.doi.org/10.1038/s41598-021-01657-w")</f>
        <v>http://dx.doi.org/10.1038/s41598-021-01657-w</v>
      </c>
      <c r="BG127" t="s">
        <v>74</v>
      </c>
      <c r="BH127" t="s">
        <v>74</v>
      </c>
      <c r="BI127">
        <v>10</v>
      </c>
      <c r="BJ127" t="s">
        <v>126</v>
      </c>
      <c r="BK127" t="s">
        <v>101</v>
      </c>
      <c r="BL127" t="s">
        <v>127</v>
      </c>
      <c r="BM127" t="s">
        <v>2809</v>
      </c>
      <c r="BN127">
        <v>34764385</v>
      </c>
      <c r="BO127" t="s">
        <v>720</v>
      </c>
      <c r="BP127" t="s">
        <v>74</v>
      </c>
      <c r="BQ127" t="s">
        <v>74</v>
      </c>
      <c r="BR127" t="s">
        <v>105</v>
      </c>
      <c r="BS127" t="s">
        <v>2825</v>
      </c>
      <c r="BT127" t="str">
        <f>HYPERLINK("https%3A%2F%2Fwww.webofscience.com%2Fwos%2Fwoscc%2Ffull-record%2FWOS:000717747400096","View Full Record in Web of Science")</f>
        <v>View Full Record in Web of Science</v>
      </c>
    </row>
    <row r="128" spans="1:72" x14ac:dyDescent="0.15">
      <c r="A128" t="s">
        <v>72</v>
      </c>
      <c r="B128" t="s">
        <v>2826</v>
      </c>
      <c r="C128" t="s">
        <v>74</v>
      </c>
      <c r="D128" t="s">
        <v>74</v>
      </c>
      <c r="E128" t="s">
        <v>74</v>
      </c>
      <c r="F128" t="s">
        <v>2827</v>
      </c>
      <c r="G128" t="s">
        <v>74</v>
      </c>
      <c r="H128" t="s">
        <v>74</v>
      </c>
      <c r="I128" t="s">
        <v>2828</v>
      </c>
      <c r="J128" t="s">
        <v>1377</v>
      </c>
      <c r="K128" t="s">
        <v>74</v>
      </c>
      <c r="L128" t="s">
        <v>74</v>
      </c>
      <c r="M128" t="s">
        <v>78</v>
      </c>
      <c r="N128" t="s">
        <v>79</v>
      </c>
      <c r="O128" t="s">
        <v>74</v>
      </c>
      <c r="P128" t="s">
        <v>74</v>
      </c>
      <c r="Q128" t="s">
        <v>74</v>
      </c>
      <c r="R128" t="s">
        <v>74</v>
      </c>
      <c r="S128" t="s">
        <v>74</v>
      </c>
      <c r="T128" t="s">
        <v>2829</v>
      </c>
      <c r="U128" t="s">
        <v>2830</v>
      </c>
      <c r="V128" t="s">
        <v>2831</v>
      </c>
      <c r="W128" t="s">
        <v>2832</v>
      </c>
      <c r="X128" t="s">
        <v>2833</v>
      </c>
      <c r="Y128" t="s">
        <v>2834</v>
      </c>
      <c r="Z128" t="s">
        <v>2835</v>
      </c>
      <c r="AA128" t="s">
        <v>74</v>
      </c>
      <c r="AB128" t="s">
        <v>2836</v>
      </c>
      <c r="AC128" t="s">
        <v>2837</v>
      </c>
      <c r="AD128" t="s">
        <v>2838</v>
      </c>
      <c r="AE128" t="s">
        <v>2839</v>
      </c>
      <c r="AF128" t="s">
        <v>74</v>
      </c>
      <c r="AG128">
        <v>81</v>
      </c>
      <c r="AH128">
        <v>3</v>
      </c>
      <c r="AI128">
        <v>5</v>
      </c>
      <c r="AJ128">
        <v>5</v>
      </c>
      <c r="AK128">
        <v>9</v>
      </c>
      <c r="AL128" t="s">
        <v>255</v>
      </c>
      <c r="AM128" t="s">
        <v>256</v>
      </c>
      <c r="AN128" t="s">
        <v>257</v>
      </c>
      <c r="AO128" t="s">
        <v>1390</v>
      </c>
      <c r="AP128" t="s">
        <v>1391</v>
      </c>
      <c r="AQ128" t="s">
        <v>74</v>
      </c>
      <c r="AR128" t="s">
        <v>1392</v>
      </c>
      <c r="AS128" t="s">
        <v>1393</v>
      </c>
      <c r="AT128" t="s">
        <v>2840</v>
      </c>
      <c r="AU128">
        <v>2021</v>
      </c>
      <c r="AV128">
        <v>274</v>
      </c>
      <c r="AW128" t="s">
        <v>74</v>
      </c>
      <c r="AX128" t="s">
        <v>74</v>
      </c>
      <c r="AY128" t="s">
        <v>74</v>
      </c>
      <c r="AZ128" t="s">
        <v>74</v>
      </c>
      <c r="BA128" t="s">
        <v>74</v>
      </c>
      <c r="BB128" t="s">
        <v>74</v>
      </c>
      <c r="BC128" t="s">
        <v>74</v>
      </c>
      <c r="BD128">
        <v>107271</v>
      </c>
      <c r="BE128" t="s">
        <v>2841</v>
      </c>
      <c r="BF128" t="str">
        <f>HYPERLINK("http://dx.doi.org/10.1016/j.quascirev.2021.107271","http://dx.doi.org/10.1016/j.quascirev.2021.107271")</f>
        <v>http://dx.doi.org/10.1016/j.quascirev.2021.107271</v>
      </c>
      <c r="BG128" t="s">
        <v>74</v>
      </c>
      <c r="BH128" t="s">
        <v>263</v>
      </c>
      <c r="BI128">
        <v>10</v>
      </c>
      <c r="BJ128" t="s">
        <v>340</v>
      </c>
      <c r="BK128" t="s">
        <v>101</v>
      </c>
      <c r="BL128" t="s">
        <v>341</v>
      </c>
      <c r="BM128" t="s">
        <v>2842</v>
      </c>
      <c r="BN128" t="s">
        <v>74</v>
      </c>
      <c r="BO128" t="s">
        <v>1471</v>
      </c>
      <c r="BP128" t="s">
        <v>74</v>
      </c>
      <c r="BQ128" t="s">
        <v>74</v>
      </c>
      <c r="BR128" t="s">
        <v>105</v>
      </c>
      <c r="BS128" t="s">
        <v>2843</v>
      </c>
      <c r="BT128" t="str">
        <f>HYPERLINK("https%3A%2F%2Fwww.webofscience.com%2Fwos%2Fwoscc%2Ffull-record%2FWOS:000723190100012","View Full Record in Web of Science")</f>
        <v>View Full Record in Web of Science</v>
      </c>
    </row>
    <row r="129" spans="1:72" x14ac:dyDescent="0.15">
      <c r="A129" t="s">
        <v>72</v>
      </c>
      <c r="B129" t="s">
        <v>2844</v>
      </c>
      <c r="C129" t="s">
        <v>74</v>
      </c>
      <c r="D129" t="s">
        <v>74</v>
      </c>
      <c r="E129" t="s">
        <v>74</v>
      </c>
      <c r="F129" t="s">
        <v>2845</v>
      </c>
      <c r="G129" t="s">
        <v>74</v>
      </c>
      <c r="H129" t="s">
        <v>74</v>
      </c>
      <c r="I129" t="s">
        <v>2846</v>
      </c>
      <c r="J129" t="s">
        <v>2847</v>
      </c>
      <c r="K129" t="s">
        <v>74</v>
      </c>
      <c r="L129" t="s">
        <v>74</v>
      </c>
      <c r="M129" t="s">
        <v>78</v>
      </c>
      <c r="N129" t="s">
        <v>79</v>
      </c>
      <c r="O129" t="s">
        <v>74</v>
      </c>
      <c r="P129" t="s">
        <v>74</v>
      </c>
      <c r="Q129" t="s">
        <v>74</v>
      </c>
      <c r="R129" t="s">
        <v>74</v>
      </c>
      <c r="S129" t="s">
        <v>74</v>
      </c>
      <c r="T129" t="s">
        <v>2848</v>
      </c>
      <c r="U129" t="s">
        <v>2849</v>
      </c>
      <c r="V129" t="s">
        <v>2850</v>
      </c>
      <c r="W129" t="s">
        <v>2851</v>
      </c>
      <c r="X129" t="s">
        <v>74</v>
      </c>
      <c r="Y129" t="s">
        <v>2852</v>
      </c>
      <c r="Z129" t="s">
        <v>2853</v>
      </c>
      <c r="AA129" t="s">
        <v>2854</v>
      </c>
      <c r="AB129" t="s">
        <v>2855</v>
      </c>
      <c r="AC129" t="s">
        <v>2856</v>
      </c>
      <c r="AD129" t="s">
        <v>2857</v>
      </c>
      <c r="AE129" t="s">
        <v>2858</v>
      </c>
      <c r="AF129" t="s">
        <v>74</v>
      </c>
      <c r="AG129">
        <v>140</v>
      </c>
      <c r="AH129">
        <v>4</v>
      </c>
      <c r="AI129">
        <v>5</v>
      </c>
      <c r="AJ129">
        <v>0</v>
      </c>
      <c r="AK129">
        <v>5</v>
      </c>
      <c r="AL129" t="s">
        <v>847</v>
      </c>
      <c r="AM129" t="s">
        <v>848</v>
      </c>
      <c r="AN129" t="s">
        <v>849</v>
      </c>
      <c r="AO129" t="s">
        <v>2859</v>
      </c>
      <c r="AP129" t="s">
        <v>2860</v>
      </c>
      <c r="AQ129" t="s">
        <v>74</v>
      </c>
      <c r="AR129" t="s">
        <v>2861</v>
      </c>
      <c r="AS129" t="s">
        <v>2862</v>
      </c>
      <c r="AT129" t="s">
        <v>98</v>
      </c>
      <c r="AU129">
        <v>2021</v>
      </c>
      <c r="AV129">
        <v>426</v>
      </c>
      <c r="AW129" t="s">
        <v>74</v>
      </c>
      <c r="AX129" t="s">
        <v>74</v>
      </c>
      <c r="AY129" t="s">
        <v>74</v>
      </c>
      <c r="AZ129" t="s">
        <v>74</v>
      </c>
      <c r="BA129" t="s">
        <v>74</v>
      </c>
      <c r="BB129" t="s">
        <v>74</v>
      </c>
      <c r="BC129" t="s">
        <v>74</v>
      </c>
      <c r="BD129">
        <v>106026</v>
      </c>
      <c r="BE129" t="s">
        <v>2863</v>
      </c>
      <c r="BF129" t="str">
        <f>HYPERLINK("http://dx.doi.org/10.1016/j.sedgeo.2021.106026","http://dx.doi.org/10.1016/j.sedgeo.2021.106026")</f>
        <v>http://dx.doi.org/10.1016/j.sedgeo.2021.106026</v>
      </c>
      <c r="BG129" t="s">
        <v>74</v>
      </c>
      <c r="BH129" t="s">
        <v>263</v>
      </c>
      <c r="BI129">
        <v>19</v>
      </c>
      <c r="BJ129" t="s">
        <v>237</v>
      </c>
      <c r="BK129" t="s">
        <v>101</v>
      </c>
      <c r="BL129" t="s">
        <v>237</v>
      </c>
      <c r="BM129" t="s">
        <v>2864</v>
      </c>
      <c r="BN129" t="s">
        <v>74</v>
      </c>
      <c r="BO129" t="s">
        <v>74</v>
      </c>
      <c r="BP129" t="s">
        <v>74</v>
      </c>
      <c r="BQ129" t="s">
        <v>74</v>
      </c>
      <c r="BR129" t="s">
        <v>105</v>
      </c>
      <c r="BS129" t="s">
        <v>2865</v>
      </c>
      <c r="BT129" t="str">
        <f>HYPERLINK("https%3A%2F%2Fwww.webofscience.com%2Fwos%2Fwoscc%2Ffull-record%2FWOS:000722077100001","View Full Record in Web of Science")</f>
        <v>View Full Record in Web of Science</v>
      </c>
    </row>
    <row r="130" spans="1:72" x14ac:dyDescent="0.15">
      <c r="A130" t="s">
        <v>72</v>
      </c>
      <c r="B130" t="s">
        <v>2866</v>
      </c>
      <c r="C130" t="s">
        <v>74</v>
      </c>
      <c r="D130" t="s">
        <v>74</v>
      </c>
      <c r="E130" t="s">
        <v>74</v>
      </c>
      <c r="F130" t="s">
        <v>2867</v>
      </c>
      <c r="G130" t="s">
        <v>74</v>
      </c>
      <c r="H130" t="s">
        <v>74</v>
      </c>
      <c r="I130" t="s">
        <v>2868</v>
      </c>
      <c r="J130" t="s">
        <v>215</v>
      </c>
      <c r="K130" t="s">
        <v>74</v>
      </c>
      <c r="L130" t="s">
        <v>74</v>
      </c>
      <c r="M130" t="s">
        <v>78</v>
      </c>
      <c r="N130" t="s">
        <v>79</v>
      </c>
      <c r="O130" t="s">
        <v>74</v>
      </c>
      <c r="P130" t="s">
        <v>74</v>
      </c>
      <c r="Q130" t="s">
        <v>74</v>
      </c>
      <c r="R130" t="s">
        <v>74</v>
      </c>
      <c r="S130" t="s">
        <v>74</v>
      </c>
      <c r="T130" t="s">
        <v>74</v>
      </c>
      <c r="U130" t="s">
        <v>2869</v>
      </c>
      <c r="V130" t="s">
        <v>2870</v>
      </c>
      <c r="W130" t="s">
        <v>2871</v>
      </c>
      <c r="X130" t="s">
        <v>2872</v>
      </c>
      <c r="Y130" t="s">
        <v>2873</v>
      </c>
      <c r="Z130" t="s">
        <v>2874</v>
      </c>
      <c r="AA130" t="s">
        <v>2875</v>
      </c>
      <c r="AB130" t="s">
        <v>2876</v>
      </c>
      <c r="AC130" t="s">
        <v>2877</v>
      </c>
      <c r="AD130" t="s">
        <v>2878</v>
      </c>
      <c r="AE130" t="s">
        <v>2879</v>
      </c>
      <c r="AF130" t="s">
        <v>74</v>
      </c>
      <c r="AG130">
        <v>77</v>
      </c>
      <c r="AH130">
        <v>3</v>
      </c>
      <c r="AI130">
        <v>4</v>
      </c>
      <c r="AJ130">
        <v>1</v>
      </c>
      <c r="AK130">
        <v>11</v>
      </c>
      <c r="AL130" t="s">
        <v>227</v>
      </c>
      <c r="AM130" t="s">
        <v>228</v>
      </c>
      <c r="AN130" t="s">
        <v>229</v>
      </c>
      <c r="AO130" t="s">
        <v>230</v>
      </c>
      <c r="AP130" t="s">
        <v>231</v>
      </c>
      <c r="AQ130" t="s">
        <v>74</v>
      </c>
      <c r="AR130" t="s">
        <v>232</v>
      </c>
      <c r="AS130" t="s">
        <v>233</v>
      </c>
      <c r="AT130" t="s">
        <v>2763</v>
      </c>
      <c r="AU130">
        <v>2021</v>
      </c>
      <c r="AV130">
        <v>14</v>
      </c>
      <c r="AW130">
        <v>11</v>
      </c>
      <c r="AX130" t="s">
        <v>74</v>
      </c>
      <c r="AY130" t="s">
        <v>74</v>
      </c>
      <c r="AZ130" t="s">
        <v>74</v>
      </c>
      <c r="BA130" t="s">
        <v>74</v>
      </c>
      <c r="BB130">
        <v>6847</v>
      </c>
      <c r="BC130">
        <v>6861</v>
      </c>
      <c r="BD130" t="s">
        <v>74</v>
      </c>
      <c r="BE130" t="s">
        <v>2880</v>
      </c>
      <c r="BF130" t="str">
        <f>HYPERLINK("http://dx.doi.org/10.5194/gmd-14-6847-2021","http://dx.doi.org/10.5194/gmd-14-6847-2021")</f>
        <v>http://dx.doi.org/10.5194/gmd-14-6847-2021</v>
      </c>
      <c r="BG130" t="s">
        <v>74</v>
      </c>
      <c r="BH130" t="s">
        <v>74</v>
      </c>
      <c r="BI130">
        <v>15</v>
      </c>
      <c r="BJ130" t="s">
        <v>236</v>
      </c>
      <c r="BK130" t="s">
        <v>101</v>
      </c>
      <c r="BL130" t="s">
        <v>237</v>
      </c>
      <c r="BM130" t="s">
        <v>2881</v>
      </c>
      <c r="BN130" t="s">
        <v>74</v>
      </c>
      <c r="BO130" t="s">
        <v>1070</v>
      </c>
      <c r="BP130" t="s">
        <v>74</v>
      </c>
      <c r="BQ130" t="s">
        <v>74</v>
      </c>
      <c r="BR130" t="s">
        <v>105</v>
      </c>
      <c r="BS130" t="s">
        <v>2882</v>
      </c>
      <c r="BT130" t="str">
        <f>HYPERLINK("https%3A%2F%2Fwww.webofscience.com%2Fwos%2Fwoscc%2Ffull-record%2FWOS:000720167500001","View Full Record in Web of Science")</f>
        <v>View Full Record in Web of Science</v>
      </c>
    </row>
    <row r="131" spans="1:72" x14ac:dyDescent="0.15">
      <c r="A131" t="s">
        <v>72</v>
      </c>
      <c r="B131" t="s">
        <v>2883</v>
      </c>
      <c r="C131" t="s">
        <v>74</v>
      </c>
      <c r="D131" t="s">
        <v>74</v>
      </c>
      <c r="E131" t="s">
        <v>74</v>
      </c>
      <c r="F131" t="s">
        <v>2884</v>
      </c>
      <c r="G131" t="s">
        <v>74</v>
      </c>
      <c r="H131" t="s">
        <v>74</v>
      </c>
      <c r="I131" t="s">
        <v>2885</v>
      </c>
      <c r="J131" t="s">
        <v>2886</v>
      </c>
      <c r="K131" t="s">
        <v>74</v>
      </c>
      <c r="L131" t="s">
        <v>74</v>
      </c>
      <c r="M131" t="s">
        <v>78</v>
      </c>
      <c r="N131" t="s">
        <v>79</v>
      </c>
      <c r="O131" t="s">
        <v>74</v>
      </c>
      <c r="P131" t="s">
        <v>74</v>
      </c>
      <c r="Q131" t="s">
        <v>74</v>
      </c>
      <c r="R131" t="s">
        <v>74</v>
      </c>
      <c r="S131" t="s">
        <v>74</v>
      </c>
      <c r="T131" t="s">
        <v>2887</v>
      </c>
      <c r="U131" t="s">
        <v>2888</v>
      </c>
      <c r="V131" t="s">
        <v>2889</v>
      </c>
      <c r="W131" t="s">
        <v>2890</v>
      </c>
      <c r="X131" t="s">
        <v>2891</v>
      </c>
      <c r="Y131" t="s">
        <v>2892</v>
      </c>
      <c r="Z131" t="s">
        <v>2893</v>
      </c>
      <c r="AA131" t="s">
        <v>2894</v>
      </c>
      <c r="AB131" t="s">
        <v>74</v>
      </c>
      <c r="AC131" t="s">
        <v>2895</v>
      </c>
      <c r="AD131" t="s">
        <v>2896</v>
      </c>
      <c r="AE131" t="s">
        <v>2897</v>
      </c>
      <c r="AF131" t="s">
        <v>74</v>
      </c>
      <c r="AG131">
        <v>41</v>
      </c>
      <c r="AH131">
        <v>1</v>
      </c>
      <c r="AI131">
        <v>1</v>
      </c>
      <c r="AJ131">
        <v>9</v>
      </c>
      <c r="AK131">
        <v>55</v>
      </c>
      <c r="AL131" t="s">
        <v>2898</v>
      </c>
      <c r="AM131" t="s">
        <v>333</v>
      </c>
      <c r="AN131" t="s">
        <v>2899</v>
      </c>
      <c r="AO131" t="s">
        <v>2900</v>
      </c>
      <c r="AP131" t="s">
        <v>2901</v>
      </c>
      <c r="AQ131" t="s">
        <v>74</v>
      </c>
      <c r="AR131" t="s">
        <v>2902</v>
      </c>
      <c r="AS131" t="s">
        <v>2903</v>
      </c>
      <c r="AT131" t="s">
        <v>98</v>
      </c>
      <c r="AU131">
        <v>2021</v>
      </c>
      <c r="AV131">
        <v>27</v>
      </c>
      <c r="AW131">
        <v>6</v>
      </c>
      <c r="AX131" t="s">
        <v>74</v>
      </c>
      <c r="AY131" t="s">
        <v>74</v>
      </c>
      <c r="AZ131" t="s">
        <v>74</v>
      </c>
      <c r="BA131" t="s">
        <v>74</v>
      </c>
      <c r="BB131">
        <v>2651</v>
      </c>
      <c r="BC131">
        <v>2661</v>
      </c>
      <c r="BD131" t="s">
        <v>74</v>
      </c>
      <c r="BE131" t="s">
        <v>2904</v>
      </c>
      <c r="BF131" t="str">
        <f>HYPERLINK("http://dx.doi.org/10.1111/anu.13392","http://dx.doi.org/10.1111/anu.13392")</f>
        <v>http://dx.doi.org/10.1111/anu.13392</v>
      </c>
      <c r="BG131" t="s">
        <v>74</v>
      </c>
      <c r="BH131" t="s">
        <v>263</v>
      </c>
      <c r="BI131">
        <v>11</v>
      </c>
      <c r="BJ131" t="s">
        <v>700</v>
      </c>
      <c r="BK131" t="s">
        <v>101</v>
      </c>
      <c r="BL131" t="s">
        <v>700</v>
      </c>
      <c r="BM131" t="s">
        <v>2905</v>
      </c>
      <c r="BN131" t="s">
        <v>74</v>
      </c>
      <c r="BO131" t="s">
        <v>74</v>
      </c>
      <c r="BP131" t="s">
        <v>74</v>
      </c>
      <c r="BQ131" t="s">
        <v>74</v>
      </c>
      <c r="BR131" t="s">
        <v>105</v>
      </c>
      <c r="BS131" t="s">
        <v>2906</v>
      </c>
      <c r="BT131" t="str">
        <f>HYPERLINK("https%3A%2F%2Fwww.webofscience.com%2Fwos%2Fwoscc%2Ffull-record%2FWOS:000717414200001","View Full Record in Web of Science")</f>
        <v>View Full Record in Web of Science</v>
      </c>
    </row>
    <row r="132" spans="1:72" x14ac:dyDescent="0.15">
      <c r="A132" t="s">
        <v>72</v>
      </c>
      <c r="B132" t="s">
        <v>2907</v>
      </c>
      <c r="C132" t="s">
        <v>74</v>
      </c>
      <c r="D132" t="s">
        <v>74</v>
      </c>
      <c r="E132" t="s">
        <v>74</v>
      </c>
      <c r="F132" t="s">
        <v>2908</v>
      </c>
      <c r="G132" t="s">
        <v>74</v>
      </c>
      <c r="H132" t="s">
        <v>74</v>
      </c>
      <c r="I132" t="s">
        <v>2909</v>
      </c>
      <c r="J132" t="s">
        <v>372</v>
      </c>
      <c r="K132" t="s">
        <v>74</v>
      </c>
      <c r="L132" t="s">
        <v>74</v>
      </c>
      <c r="M132" t="s">
        <v>78</v>
      </c>
      <c r="N132" t="s">
        <v>373</v>
      </c>
      <c r="O132" t="s">
        <v>74</v>
      </c>
      <c r="P132" t="s">
        <v>74</v>
      </c>
      <c r="Q132" t="s">
        <v>74</v>
      </c>
      <c r="R132" t="s">
        <v>74</v>
      </c>
      <c r="S132" t="s">
        <v>74</v>
      </c>
      <c r="T132" t="s">
        <v>2910</v>
      </c>
      <c r="U132" t="s">
        <v>2911</v>
      </c>
      <c r="V132" t="s">
        <v>2912</v>
      </c>
      <c r="W132" t="s">
        <v>2913</v>
      </c>
      <c r="X132" t="s">
        <v>2914</v>
      </c>
      <c r="Y132" t="s">
        <v>2915</v>
      </c>
      <c r="Z132" t="s">
        <v>2916</v>
      </c>
      <c r="AA132" t="s">
        <v>2917</v>
      </c>
      <c r="AB132" t="s">
        <v>2918</v>
      </c>
      <c r="AC132" t="s">
        <v>74</v>
      </c>
      <c r="AD132" t="s">
        <v>74</v>
      </c>
      <c r="AE132" t="s">
        <v>74</v>
      </c>
      <c r="AF132" t="s">
        <v>74</v>
      </c>
      <c r="AG132">
        <v>222</v>
      </c>
      <c r="AH132">
        <v>10</v>
      </c>
      <c r="AI132">
        <v>13</v>
      </c>
      <c r="AJ132">
        <v>12</v>
      </c>
      <c r="AK132">
        <v>68</v>
      </c>
      <c r="AL132" t="s">
        <v>383</v>
      </c>
      <c r="AM132" t="s">
        <v>384</v>
      </c>
      <c r="AN132" t="s">
        <v>385</v>
      </c>
      <c r="AO132" t="s">
        <v>74</v>
      </c>
      <c r="AP132" t="s">
        <v>386</v>
      </c>
      <c r="AQ132" t="s">
        <v>74</v>
      </c>
      <c r="AR132" t="s">
        <v>387</v>
      </c>
      <c r="AS132" t="s">
        <v>388</v>
      </c>
      <c r="AT132" t="s">
        <v>2919</v>
      </c>
      <c r="AU132">
        <v>2021</v>
      </c>
      <c r="AV132">
        <v>8</v>
      </c>
      <c r="AW132" t="s">
        <v>74</v>
      </c>
      <c r="AX132" t="s">
        <v>74</v>
      </c>
      <c r="AY132" t="s">
        <v>74</v>
      </c>
      <c r="AZ132" t="s">
        <v>74</v>
      </c>
      <c r="BA132" t="s">
        <v>74</v>
      </c>
      <c r="BB132" t="s">
        <v>74</v>
      </c>
      <c r="BC132" t="s">
        <v>74</v>
      </c>
      <c r="BD132">
        <v>720774</v>
      </c>
      <c r="BE132" t="s">
        <v>2920</v>
      </c>
      <c r="BF132" t="str">
        <f>HYPERLINK("http://dx.doi.org/10.3389/fmars.2021.720774","http://dx.doi.org/10.3389/fmars.2021.720774")</f>
        <v>http://dx.doi.org/10.3389/fmars.2021.720774</v>
      </c>
      <c r="BG132" t="s">
        <v>74</v>
      </c>
      <c r="BH132" t="s">
        <v>74</v>
      </c>
      <c r="BI132">
        <v>22</v>
      </c>
      <c r="BJ132" t="s">
        <v>391</v>
      </c>
      <c r="BK132" t="s">
        <v>101</v>
      </c>
      <c r="BL132" t="s">
        <v>392</v>
      </c>
      <c r="BM132" t="s">
        <v>2921</v>
      </c>
      <c r="BN132" t="s">
        <v>74</v>
      </c>
      <c r="BO132" t="s">
        <v>394</v>
      </c>
      <c r="BP132" t="s">
        <v>74</v>
      </c>
      <c r="BQ132" t="s">
        <v>74</v>
      </c>
      <c r="BR132" t="s">
        <v>105</v>
      </c>
      <c r="BS132" t="s">
        <v>2922</v>
      </c>
      <c r="BT132" t="str">
        <f>HYPERLINK("https%3A%2F%2Fwww.webofscience.com%2Fwos%2Fwoscc%2Ffull-record%2FWOS:000725019300001","View Full Record in Web of Science")</f>
        <v>View Full Record in Web of Science</v>
      </c>
    </row>
    <row r="133" spans="1:72" x14ac:dyDescent="0.15">
      <c r="A133" t="s">
        <v>72</v>
      </c>
      <c r="B133" t="s">
        <v>2923</v>
      </c>
      <c r="C133" t="s">
        <v>74</v>
      </c>
      <c r="D133" t="s">
        <v>74</v>
      </c>
      <c r="E133" t="s">
        <v>74</v>
      </c>
      <c r="F133" t="s">
        <v>2924</v>
      </c>
      <c r="G133" t="s">
        <v>74</v>
      </c>
      <c r="H133" t="s">
        <v>74</v>
      </c>
      <c r="I133" t="s">
        <v>2925</v>
      </c>
      <c r="J133" t="s">
        <v>2926</v>
      </c>
      <c r="K133" t="s">
        <v>74</v>
      </c>
      <c r="L133" t="s">
        <v>74</v>
      </c>
      <c r="M133" t="s">
        <v>78</v>
      </c>
      <c r="N133" t="s">
        <v>79</v>
      </c>
      <c r="O133" t="s">
        <v>74</v>
      </c>
      <c r="P133" t="s">
        <v>74</v>
      </c>
      <c r="Q133" t="s">
        <v>74</v>
      </c>
      <c r="R133" t="s">
        <v>74</v>
      </c>
      <c r="S133" t="s">
        <v>74</v>
      </c>
      <c r="T133" t="s">
        <v>2927</v>
      </c>
      <c r="U133" t="s">
        <v>2928</v>
      </c>
      <c r="V133" t="s">
        <v>2929</v>
      </c>
      <c r="W133" t="s">
        <v>2930</v>
      </c>
      <c r="X133" t="s">
        <v>2931</v>
      </c>
      <c r="Y133" t="s">
        <v>2932</v>
      </c>
      <c r="Z133" t="s">
        <v>2933</v>
      </c>
      <c r="AA133" t="s">
        <v>2934</v>
      </c>
      <c r="AB133" t="s">
        <v>2935</v>
      </c>
      <c r="AC133" t="s">
        <v>2936</v>
      </c>
      <c r="AD133" t="s">
        <v>2937</v>
      </c>
      <c r="AE133" t="s">
        <v>2938</v>
      </c>
      <c r="AF133" t="s">
        <v>74</v>
      </c>
      <c r="AG133">
        <v>36</v>
      </c>
      <c r="AH133">
        <v>0</v>
      </c>
      <c r="AI133">
        <v>0</v>
      </c>
      <c r="AJ133">
        <v>0</v>
      </c>
      <c r="AK133">
        <v>2</v>
      </c>
      <c r="AL133" t="s">
        <v>847</v>
      </c>
      <c r="AM133" t="s">
        <v>848</v>
      </c>
      <c r="AN133" t="s">
        <v>849</v>
      </c>
      <c r="AO133" t="s">
        <v>2939</v>
      </c>
      <c r="AP133" t="s">
        <v>2940</v>
      </c>
      <c r="AQ133" t="s">
        <v>74</v>
      </c>
      <c r="AR133" t="s">
        <v>2941</v>
      </c>
      <c r="AS133" t="s">
        <v>2942</v>
      </c>
      <c r="AT133" t="s">
        <v>627</v>
      </c>
      <c r="AU133">
        <v>2021</v>
      </c>
      <c r="AV133">
        <v>29</v>
      </c>
      <c r="AW133" t="s">
        <v>74</v>
      </c>
      <c r="AX133" t="s">
        <v>74</v>
      </c>
      <c r="AY133" t="s">
        <v>74</v>
      </c>
      <c r="AZ133" t="s">
        <v>526</v>
      </c>
      <c r="BA133" t="s">
        <v>74</v>
      </c>
      <c r="BB133" t="s">
        <v>74</v>
      </c>
      <c r="BC133" t="s">
        <v>74</v>
      </c>
      <c r="BD133">
        <v>100691</v>
      </c>
      <c r="BE133" t="s">
        <v>2943</v>
      </c>
      <c r="BF133" t="str">
        <f>HYPERLINK("http://dx.doi.org/10.1016/j.polar.2021.100691","http://dx.doi.org/10.1016/j.polar.2021.100691")</f>
        <v>http://dx.doi.org/10.1016/j.polar.2021.100691</v>
      </c>
      <c r="BG133" t="s">
        <v>74</v>
      </c>
      <c r="BH133" t="s">
        <v>263</v>
      </c>
      <c r="BI133">
        <v>9</v>
      </c>
      <c r="BJ133" t="s">
        <v>1572</v>
      </c>
      <c r="BK133" t="s">
        <v>101</v>
      </c>
      <c r="BL133" t="s">
        <v>1573</v>
      </c>
      <c r="BM133" t="s">
        <v>2944</v>
      </c>
      <c r="BN133" t="s">
        <v>74</v>
      </c>
      <c r="BO133" t="s">
        <v>1471</v>
      </c>
      <c r="BP133" t="s">
        <v>74</v>
      </c>
      <c r="BQ133" t="s">
        <v>74</v>
      </c>
      <c r="BR133" t="s">
        <v>105</v>
      </c>
      <c r="BS133" t="s">
        <v>2945</v>
      </c>
      <c r="BT133" t="str">
        <f>HYPERLINK("https%3A%2F%2Fwww.webofscience.com%2Fwos%2Fwoscc%2Ffull-record%2FWOS:000718629600008","View Full Record in Web of Science")</f>
        <v>View Full Record in Web of Science</v>
      </c>
    </row>
    <row r="134" spans="1:72" x14ac:dyDescent="0.15">
      <c r="A134" t="s">
        <v>72</v>
      </c>
      <c r="B134" t="s">
        <v>2946</v>
      </c>
      <c r="C134" t="s">
        <v>74</v>
      </c>
      <c r="D134" t="s">
        <v>74</v>
      </c>
      <c r="E134" t="s">
        <v>74</v>
      </c>
      <c r="F134" t="s">
        <v>2947</v>
      </c>
      <c r="G134" t="s">
        <v>74</v>
      </c>
      <c r="H134" t="s">
        <v>74</v>
      </c>
      <c r="I134" t="s">
        <v>2948</v>
      </c>
      <c r="J134" t="s">
        <v>2949</v>
      </c>
      <c r="K134" t="s">
        <v>74</v>
      </c>
      <c r="L134" t="s">
        <v>74</v>
      </c>
      <c r="M134" t="s">
        <v>78</v>
      </c>
      <c r="N134" t="s">
        <v>79</v>
      </c>
      <c r="O134" t="s">
        <v>74</v>
      </c>
      <c r="P134" t="s">
        <v>74</v>
      </c>
      <c r="Q134" t="s">
        <v>74</v>
      </c>
      <c r="R134" t="s">
        <v>74</v>
      </c>
      <c r="S134" t="s">
        <v>74</v>
      </c>
      <c r="T134" t="s">
        <v>2950</v>
      </c>
      <c r="U134" t="s">
        <v>2951</v>
      </c>
      <c r="V134" t="s">
        <v>2952</v>
      </c>
      <c r="W134" t="s">
        <v>2953</v>
      </c>
      <c r="X134" t="s">
        <v>2954</v>
      </c>
      <c r="Y134" t="s">
        <v>2955</v>
      </c>
      <c r="Z134" t="s">
        <v>2956</v>
      </c>
      <c r="AA134" t="s">
        <v>2957</v>
      </c>
      <c r="AB134" t="s">
        <v>2958</v>
      </c>
      <c r="AC134" t="s">
        <v>2959</v>
      </c>
      <c r="AD134" t="s">
        <v>2959</v>
      </c>
      <c r="AE134" t="s">
        <v>2960</v>
      </c>
      <c r="AF134" t="s">
        <v>74</v>
      </c>
      <c r="AG134">
        <v>48</v>
      </c>
      <c r="AH134">
        <v>6</v>
      </c>
      <c r="AI134">
        <v>6</v>
      </c>
      <c r="AJ134">
        <v>3</v>
      </c>
      <c r="AK134">
        <v>26</v>
      </c>
      <c r="AL134" t="s">
        <v>1326</v>
      </c>
      <c r="AM134" t="s">
        <v>256</v>
      </c>
      <c r="AN134" t="s">
        <v>1327</v>
      </c>
      <c r="AO134" t="s">
        <v>2961</v>
      </c>
      <c r="AP134" t="s">
        <v>2962</v>
      </c>
      <c r="AQ134" t="s">
        <v>74</v>
      </c>
      <c r="AR134" t="s">
        <v>2963</v>
      </c>
      <c r="AS134" t="s">
        <v>2964</v>
      </c>
      <c r="AT134" t="s">
        <v>204</v>
      </c>
      <c r="AU134">
        <v>2021</v>
      </c>
      <c r="AV134">
        <v>215</v>
      </c>
      <c r="AW134" t="s">
        <v>74</v>
      </c>
      <c r="AX134" t="s">
        <v>74</v>
      </c>
      <c r="AY134" t="s">
        <v>74</v>
      </c>
      <c r="AZ134" t="s">
        <v>74</v>
      </c>
      <c r="BA134" t="s">
        <v>74</v>
      </c>
      <c r="BB134" t="s">
        <v>74</v>
      </c>
      <c r="BC134" t="s">
        <v>74</v>
      </c>
      <c r="BD134">
        <v>105966</v>
      </c>
      <c r="BE134" t="s">
        <v>2965</v>
      </c>
      <c r="BF134" t="str">
        <f>HYPERLINK("http://dx.doi.org/10.1016/j.ocecoaman.2021.105966","http://dx.doi.org/10.1016/j.ocecoaman.2021.105966")</f>
        <v>http://dx.doi.org/10.1016/j.ocecoaman.2021.105966</v>
      </c>
      <c r="BG134" t="s">
        <v>74</v>
      </c>
      <c r="BH134" t="s">
        <v>263</v>
      </c>
      <c r="BI134">
        <v>13</v>
      </c>
      <c r="BJ134" t="s">
        <v>2966</v>
      </c>
      <c r="BK134" t="s">
        <v>207</v>
      </c>
      <c r="BL134" t="s">
        <v>2966</v>
      </c>
      <c r="BM134" t="s">
        <v>2967</v>
      </c>
      <c r="BN134" t="s">
        <v>74</v>
      </c>
      <c r="BO134" t="s">
        <v>74</v>
      </c>
      <c r="BP134" t="s">
        <v>74</v>
      </c>
      <c r="BQ134" t="s">
        <v>74</v>
      </c>
      <c r="BR134" t="s">
        <v>105</v>
      </c>
      <c r="BS134" t="s">
        <v>2968</v>
      </c>
      <c r="BT134" t="str">
        <f>HYPERLINK("https%3A%2F%2Fwww.webofscience.com%2Fwos%2Fwoscc%2Ffull-record%2FWOS:000722556200007","View Full Record in Web of Science")</f>
        <v>View Full Record in Web of Science</v>
      </c>
    </row>
    <row r="135" spans="1:72" x14ac:dyDescent="0.15">
      <c r="A135" t="s">
        <v>72</v>
      </c>
      <c r="B135" t="s">
        <v>2969</v>
      </c>
      <c r="C135" t="s">
        <v>74</v>
      </c>
      <c r="D135" t="s">
        <v>74</v>
      </c>
      <c r="E135" t="s">
        <v>74</v>
      </c>
      <c r="F135" t="s">
        <v>2970</v>
      </c>
      <c r="G135" t="s">
        <v>74</v>
      </c>
      <c r="H135" t="s">
        <v>74</v>
      </c>
      <c r="I135" t="s">
        <v>2971</v>
      </c>
      <c r="J135" t="s">
        <v>2972</v>
      </c>
      <c r="K135" t="s">
        <v>74</v>
      </c>
      <c r="L135" t="s">
        <v>74</v>
      </c>
      <c r="M135" t="s">
        <v>78</v>
      </c>
      <c r="N135" t="s">
        <v>79</v>
      </c>
      <c r="O135" t="s">
        <v>74</v>
      </c>
      <c r="P135" t="s">
        <v>74</v>
      </c>
      <c r="Q135" t="s">
        <v>74</v>
      </c>
      <c r="R135" t="s">
        <v>74</v>
      </c>
      <c r="S135" t="s">
        <v>74</v>
      </c>
      <c r="T135" t="s">
        <v>2973</v>
      </c>
      <c r="U135" t="s">
        <v>2974</v>
      </c>
      <c r="V135" t="s">
        <v>2975</v>
      </c>
      <c r="W135" t="s">
        <v>2976</v>
      </c>
      <c r="X135" t="s">
        <v>2977</v>
      </c>
      <c r="Y135" t="s">
        <v>2978</v>
      </c>
      <c r="Z135" t="s">
        <v>2979</v>
      </c>
      <c r="AA135" t="s">
        <v>2980</v>
      </c>
      <c r="AB135" t="s">
        <v>2981</v>
      </c>
      <c r="AC135" t="s">
        <v>2982</v>
      </c>
      <c r="AD135" t="s">
        <v>2983</v>
      </c>
      <c r="AE135" t="s">
        <v>2984</v>
      </c>
      <c r="AF135" t="s">
        <v>74</v>
      </c>
      <c r="AG135">
        <v>122</v>
      </c>
      <c r="AH135">
        <v>3</v>
      </c>
      <c r="AI135">
        <v>5</v>
      </c>
      <c r="AJ135">
        <v>1</v>
      </c>
      <c r="AK135">
        <v>13</v>
      </c>
      <c r="AL135" t="s">
        <v>847</v>
      </c>
      <c r="AM135" t="s">
        <v>848</v>
      </c>
      <c r="AN135" t="s">
        <v>849</v>
      </c>
      <c r="AO135" t="s">
        <v>2985</v>
      </c>
      <c r="AP135" t="s">
        <v>2986</v>
      </c>
      <c r="AQ135" t="s">
        <v>74</v>
      </c>
      <c r="AR135" t="s">
        <v>2987</v>
      </c>
      <c r="AS135" t="s">
        <v>2988</v>
      </c>
      <c r="AT135" t="s">
        <v>416</v>
      </c>
      <c r="AU135">
        <v>2022</v>
      </c>
      <c r="AV135">
        <v>170</v>
      </c>
      <c r="AW135" t="s">
        <v>74</v>
      </c>
      <c r="AX135" t="s">
        <v>74</v>
      </c>
      <c r="AY135" t="s">
        <v>74</v>
      </c>
      <c r="AZ135" t="s">
        <v>74</v>
      </c>
      <c r="BA135" t="s">
        <v>74</v>
      </c>
      <c r="BB135" t="s">
        <v>74</v>
      </c>
      <c r="BC135" t="s">
        <v>74</v>
      </c>
      <c r="BD135">
        <v>102066</v>
      </c>
      <c r="BE135" t="s">
        <v>2989</v>
      </c>
      <c r="BF135" t="str">
        <f>HYPERLINK("http://dx.doi.org/10.1016/j.marmicro.2021.102066","http://dx.doi.org/10.1016/j.marmicro.2021.102066")</f>
        <v>http://dx.doi.org/10.1016/j.marmicro.2021.102066</v>
      </c>
      <c r="BG135" t="s">
        <v>74</v>
      </c>
      <c r="BH135" t="s">
        <v>263</v>
      </c>
      <c r="BI135">
        <v>14</v>
      </c>
      <c r="BJ135" t="s">
        <v>2990</v>
      </c>
      <c r="BK135" t="s">
        <v>101</v>
      </c>
      <c r="BL135" t="s">
        <v>2990</v>
      </c>
      <c r="BM135" t="s">
        <v>2991</v>
      </c>
      <c r="BN135" t="s">
        <v>74</v>
      </c>
      <c r="BO135" t="s">
        <v>2992</v>
      </c>
      <c r="BP135" t="s">
        <v>74</v>
      </c>
      <c r="BQ135" t="s">
        <v>74</v>
      </c>
      <c r="BR135" t="s">
        <v>105</v>
      </c>
      <c r="BS135" t="s">
        <v>2993</v>
      </c>
      <c r="BT135" t="str">
        <f>HYPERLINK("https%3A%2F%2Fwww.webofscience.com%2Fwos%2Fwoscc%2Ffull-record%2FWOS:000720825100001","View Full Record in Web of Science")</f>
        <v>View Full Record in Web of Science</v>
      </c>
    </row>
    <row r="136" spans="1:72" x14ac:dyDescent="0.15">
      <c r="A136" t="s">
        <v>72</v>
      </c>
      <c r="B136" t="s">
        <v>2994</v>
      </c>
      <c r="C136" t="s">
        <v>74</v>
      </c>
      <c r="D136" t="s">
        <v>74</v>
      </c>
      <c r="E136" t="s">
        <v>74</v>
      </c>
      <c r="F136" t="s">
        <v>2995</v>
      </c>
      <c r="G136" t="s">
        <v>74</v>
      </c>
      <c r="H136" t="s">
        <v>74</v>
      </c>
      <c r="I136" t="s">
        <v>2996</v>
      </c>
      <c r="J136" t="s">
        <v>2926</v>
      </c>
      <c r="K136" t="s">
        <v>74</v>
      </c>
      <c r="L136" t="s">
        <v>74</v>
      </c>
      <c r="M136" t="s">
        <v>78</v>
      </c>
      <c r="N136" t="s">
        <v>79</v>
      </c>
      <c r="O136" t="s">
        <v>74</v>
      </c>
      <c r="P136" t="s">
        <v>74</v>
      </c>
      <c r="Q136" t="s">
        <v>74</v>
      </c>
      <c r="R136" t="s">
        <v>74</v>
      </c>
      <c r="S136" t="s">
        <v>74</v>
      </c>
      <c r="T136" t="s">
        <v>2997</v>
      </c>
      <c r="U136" t="s">
        <v>2998</v>
      </c>
      <c r="V136" t="s">
        <v>2999</v>
      </c>
      <c r="W136" t="s">
        <v>3000</v>
      </c>
      <c r="X136" t="s">
        <v>3001</v>
      </c>
      <c r="Y136" t="s">
        <v>3002</v>
      </c>
      <c r="Z136" t="s">
        <v>3003</v>
      </c>
      <c r="AA136" t="s">
        <v>3004</v>
      </c>
      <c r="AB136" t="s">
        <v>3005</v>
      </c>
      <c r="AC136" t="s">
        <v>3006</v>
      </c>
      <c r="AD136" t="s">
        <v>3007</v>
      </c>
      <c r="AE136" t="s">
        <v>3008</v>
      </c>
      <c r="AF136" t="s">
        <v>74</v>
      </c>
      <c r="AG136">
        <v>21</v>
      </c>
      <c r="AH136">
        <v>0</v>
      </c>
      <c r="AI136">
        <v>0</v>
      </c>
      <c r="AJ136">
        <v>0</v>
      </c>
      <c r="AK136">
        <v>1</v>
      </c>
      <c r="AL136" t="s">
        <v>847</v>
      </c>
      <c r="AM136" t="s">
        <v>848</v>
      </c>
      <c r="AN136" t="s">
        <v>849</v>
      </c>
      <c r="AO136" t="s">
        <v>2939</v>
      </c>
      <c r="AP136" t="s">
        <v>2940</v>
      </c>
      <c r="AQ136" t="s">
        <v>74</v>
      </c>
      <c r="AR136" t="s">
        <v>2941</v>
      </c>
      <c r="AS136" t="s">
        <v>2942</v>
      </c>
      <c r="AT136" t="s">
        <v>627</v>
      </c>
      <c r="AU136">
        <v>2021</v>
      </c>
      <c r="AV136">
        <v>29</v>
      </c>
      <c r="AW136" t="s">
        <v>74</v>
      </c>
      <c r="AX136" t="s">
        <v>74</v>
      </c>
      <c r="AY136" t="s">
        <v>74</v>
      </c>
      <c r="AZ136" t="s">
        <v>526</v>
      </c>
      <c r="BA136" t="s">
        <v>74</v>
      </c>
      <c r="BB136" t="s">
        <v>74</v>
      </c>
      <c r="BC136" t="s">
        <v>74</v>
      </c>
      <c r="BD136">
        <v>100699</v>
      </c>
      <c r="BE136" t="s">
        <v>3009</v>
      </c>
      <c r="BF136" t="str">
        <f>HYPERLINK("http://dx.doi.org/10.1016/j.polar.2021.100699","http://dx.doi.org/10.1016/j.polar.2021.100699")</f>
        <v>http://dx.doi.org/10.1016/j.polar.2021.100699</v>
      </c>
      <c r="BG136" t="s">
        <v>74</v>
      </c>
      <c r="BH136" t="s">
        <v>263</v>
      </c>
      <c r="BI136">
        <v>5</v>
      </c>
      <c r="BJ136" t="s">
        <v>1572</v>
      </c>
      <c r="BK136" t="s">
        <v>101</v>
      </c>
      <c r="BL136" t="s">
        <v>1573</v>
      </c>
      <c r="BM136" t="s">
        <v>3010</v>
      </c>
      <c r="BN136" t="s">
        <v>74</v>
      </c>
      <c r="BO136" t="s">
        <v>1471</v>
      </c>
      <c r="BP136" t="s">
        <v>74</v>
      </c>
      <c r="BQ136" t="s">
        <v>74</v>
      </c>
      <c r="BR136" t="s">
        <v>105</v>
      </c>
      <c r="BS136" t="s">
        <v>3011</v>
      </c>
      <c r="BT136" t="str">
        <f>HYPERLINK("https%3A%2F%2Fwww.webofscience.com%2Fwos%2Fwoscc%2Ffull-record%2FWOS:000718632500002","View Full Record in Web of Science")</f>
        <v>View Full Record in Web of Science</v>
      </c>
    </row>
    <row r="137" spans="1:72" x14ac:dyDescent="0.15">
      <c r="A137" t="s">
        <v>72</v>
      </c>
      <c r="B137" t="s">
        <v>3012</v>
      </c>
      <c r="C137" t="s">
        <v>74</v>
      </c>
      <c r="D137" t="s">
        <v>74</v>
      </c>
      <c r="E137" t="s">
        <v>74</v>
      </c>
      <c r="F137" t="s">
        <v>3013</v>
      </c>
      <c r="G137" t="s">
        <v>74</v>
      </c>
      <c r="H137" t="s">
        <v>74</v>
      </c>
      <c r="I137" t="s">
        <v>3014</v>
      </c>
      <c r="J137" t="s">
        <v>2926</v>
      </c>
      <c r="K137" t="s">
        <v>74</v>
      </c>
      <c r="L137" t="s">
        <v>74</v>
      </c>
      <c r="M137" t="s">
        <v>78</v>
      </c>
      <c r="N137" t="s">
        <v>79</v>
      </c>
      <c r="O137" t="s">
        <v>74</v>
      </c>
      <c r="P137" t="s">
        <v>74</v>
      </c>
      <c r="Q137" t="s">
        <v>74</v>
      </c>
      <c r="R137" t="s">
        <v>74</v>
      </c>
      <c r="S137" t="s">
        <v>74</v>
      </c>
      <c r="T137" t="s">
        <v>3015</v>
      </c>
      <c r="U137" t="s">
        <v>3016</v>
      </c>
      <c r="V137" t="s">
        <v>3017</v>
      </c>
      <c r="W137" t="s">
        <v>3018</v>
      </c>
      <c r="X137" t="s">
        <v>3019</v>
      </c>
      <c r="Y137" t="s">
        <v>3020</v>
      </c>
      <c r="Z137" t="s">
        <v>3021</v>
      </c>
      <c r="AA137" t="s">
        <v>3022</v>
      </c>
      <c r="AB137" t="s">
        <v>3023</v>
      </c>
      <c r="AC137" t="s">
        <v>3024</v>
      </c>
      <c r="AD137" t="s">
        <v>3024</v>
      </c>
      <c r="AE137" t="s">
        <v>3025</v>
      </c>
      <c r="AF137" t="s">
        <v>74</v>
      </c>
      <c r="AG137">
        <v>88</v>
      </c>
      <c r="AH137">
        <v>14</v>
      </c>
      <c r="AI137">
        <v>15</v>
      </c>
      <c r="AJ137">
        <v>7</v>
      </c>
      <c r="AK137">
        <v>35</v>
      </c>
      <c r="AL137" t="s">
        <v>847</v>
      </c>
      <c r="AM137" t="s">
        <v>848</v>
      </c>
      <c r="AN137" t="s">
        <v>849</v>
      </c>
      <c r="AO137" t="s">
        <v>2939</v>
      </c>
      <c r="AP137" t="s">
        <v>2940</v>
      </c>
      <c r="AQ137" t="s">
        <v>74</v>
      </c>
      <c r="AR137" t="s">
        <v>2941</v>
      </c>
      <c r="AS137" t="s">
        <v>2942</v>
      </c>
      <c r="AT137" t="s">
        <v>627</v>
      </c>
      <c r="AU137">
        <v>2021</v>
      </c>
      <c r="AV137">
        <v>29</v>
      </c>
      <c r="AW137" t="s">
        <v>74</v>
      </c>
      <c r="AX137" t="s">
        <v>74</v>
      </c>
      <c r="AY137" t="s">
        <v>74</v>
      </c>
      <c r="AZ137" t="s">
        <v>526</v>
      </c>
      <c r="BA137" t="s">
        <v>74</v>
      </c>
      <c r="BB137" t="s">
        <v>74</v>
      </c>
      <c r="BC137" t="s">
        <v>74</v>
      </c>
      <c r="BD137">
        <v>100715</v>
      </c>
      <c r="BE137" t="s">
        <v>3026</v>
      </c>
      <c r="BF137" t="str">
        <f>HYPERLINK("http://dx.doi.org/10.1016/j.polar.2021.100715","http://dx.doi.org/10.1016/j.polar.2021.100715")</f>
        <v>http://dx.doi.org/10.1016/j.polar.2021.100715</v>
      </c>
      <c r="BG137" t="s">
        <v>74</v>
      </c>
      <c r="BH137" t="s">
        <v>263</v>
      </c>
      <c r="BI137">
        <v>11</v>
      </c>
      <c r="BJ137" t="s">
        <v>1572</v>
      </c>
      <c r="BK137" t="s">
        <v>101</v>
      </c>
      <c r="BL137" t="s">
        <v>1573</v>
      </c>
      <c r="BM137" t="s">
        <v>3010</v>
      </c>
      <c r="BN137" t="s">
        <v>74</v>
      </c>
      <c r="BO137" t="s">
        <v>1471</v>
      </c>
      <c r="BP137" t="s">
        <v>74</v>
      </c>
      <c r="BQ137" t="s">
        <v>74</v>
      </c>
      <c r="BR137" t="s">
        <v>105</v>
      </c>
      <c r="BS137" t="s">
        <v>3027</v>
      </c>
      <c r="BT137" t="str">
        <f>HYPERLINK("https%3A%2F%2Fwww.webofscience.com%2Fwos%2Fwoscc%2Ffull-record%2FWOS:000718632500007","View Full Record in Web of Science")</f>
        <v>View Full Record in Web of Science</v>
      </c>
    </row>
    <row r="138" spans="1:72" x14ac:dyDescent="0.15">
      <c r="A138" t="s">
        <v>72</v>
      </c>
      <c r="B138" t="s">
        <v>3028</v>
      </c>
      <c r="C138" t="s">
        <v>74</v>
      </c>
      <c r="D138" t="s">
        <v>74</v>
      </c>
      <c r="E138" t="s">
        <v>74</v>
      </c>
      <c r="F138" t="s">
        <v>3029</v>
      </c>
      <c r="G138" t="s">
        <v>74</v>
      </c>
      <c r="H138" t="s">
        <v>74</v>
      </c>
      <c r="I138" t="s">
        <v>3030</v>
      </c>
      <c r="J138" t="s">
        <v>2926</v>
      </c>
      <c r="K138" t="s">
        <v>74</v>
      </c>
      <c r="L138" t="s">
        <v>74</v>
      </c>
      <c r="M138" t="s">
        <v>78</v>
      </c>
      <c r="N138" t="s">
        <v>79</v>
      </c>
      <c r="O138" t="s">
        <v>74</v>
      </c>
      <c r="P138" t="s">
        <v>74</v>
      </c>
      <c r="Q138" t="s">
        <v>74</v>
      </c>
      <c r="R138" t="s">
        <v>74</v>
      </c>
      <c r="S138" t="s">
        <v>74</v>
      </c>
      <c r="T138" t="s">
        <v>3031</v>
      </c>
      <c r="U138" t="s">
        <v>3032</v>
      </c>
      <c r="V138" t="s">
        <v>3033</v>
      </c>
      <c r="W138" t="s">
        <v>3034</v>
      </c>
      <c r="X138" t="s">
        <v>3035</v>
      </c>
      <c r="Y138" t="s">
        <v>3036</v>
      </c>
      <c r="Z138" t="s">
        <v>3037</v>
      </c>
      <c r="AA138" t="s">
        <v>3038</v>
      </c>
      <c r="AB138" t="s">
        <v>3039</v>
      </c>
      <c r="AC138" t="s">
        <v>3040</v>
      </c>
      <c r="AD138" t="s">
        <v>3041</v>
      </c>
      <c r="AE138" t="s">
        <v>3042</v>
      </c>
      <c r="AF138" t="s">
        <v>74</v>
      </c>
      <c r="AG138">
        <v>70</v>
      </c>
      <c r="AH138">
        <v>3</v>
      </c>
      <c r="AI138">
        <v>3</v>
      </c>
      <c r="AJ138">
        <v>0</v>
      </c>
      <c r="AK138">
        <v>11</v>
      </c>
      <c r="AL138" t="s">
        <v>847</v>
      </c>
      <c r="AM138" t="s">
        <v>848</v>
      </c>
      <c r="AN138" t="s">
        <v>849</v>
      </c>
      <c r="AO138" t="s">
        <v>2939</v>
      </c>
      <c r="AP138" t="s">
        <v>2940</v>
      </c>
      <c r="AQ138" t="s">
        <v>74</v>
      </c>
      <c r="AR138" t="s">
        <v>2941</v>
      </c>
      <c r="AS138" t="s">
        <v>2942</v>
      </c>
      <c r="AT138" t="s">
        <v>627</v>
      </c>
      <c r="AU138">
        <v>2021</v>
      </c>
      <c r="AV138">
        <v>29</v>
      </c>
      <c r="AW138" t="s">
        <v>74</v>
      </c>
      <c r="AX138" t="s">
        <v>74</v>
      </c>
      <c r="AY138" t="s">
        <v>74</v>
      </c>
      <c r="AZ138" t="s">
        <v>526</v>
      </c>
      <c r="BA138" t="s">
        <v>74</v>
      </c>
      <c r="BB138" t="s">
        <v>74</v>
      </c>
      <c r="BC138" t="s">
        <v>74</v>
      </c>
      <c r="BD138">
        <v>100719</v>
      </c>
      <c r="BE138" t="s">
        <v>3043</v>
      </c>
      <c r="BF138" t="str">
        <f>HYPERLINK("http://dx.doi.org/10.1016/j.polar.2021.100719","http://dx.doi.org/10.1016/j.polar.2021.100719")</f>
        <v>http://dx.doi.org/10.1016/j.polar.2021.100719</v>
      </c>
      <c r="BG138" t="s">
        <v>74</v>
      </c>
      <c r="BH138" t="s">
        <v>263</v>
      </c>
      <c r="BI138">
        <v>12</v>
      </c>
      <c r="BJ138" t="s">
        <v>1572</v>
      </c>
      <c r="BK138" t="s">
        <v>101</v>
      </c>
      <c r="BL138" t="s">
        <v>1573</v>
      </c>
      <c r="BM138" t="s">
        <v>3044</v>
      </c>
      <c r="BN138" t="s">
        <v>74</v>
      </c>
      <c r="BO138" t="s">
        <v>1471</v>
      </c>
      <c r="BP138" t="s">
        <v>74</v>
      </c>
      <c r="BQ138" t="s">
        <v>74</v>
      </c>
      <c r="BR138" t="s">
        <v>105</v>
      </c>
      <c r="BS138" t="s">
        <v>3045</v>
      </c>
      <c r="BT138" t="str">
        <f>HYPERLINK("https%3A%2F%2Fwww.webofscience.com%2Fwos%2Fwoscc%2Ffull-record%2FWOS:000718622800001","View Full Record in Web of Science")</f>
        <v>View Full Record in Web of Science</v>
      </c>
    </row>
    <row r="139" spans="1:72" x14ac:dyDescent="0.15">
      <c r="A139" t="s">
        <v>72</v>
      </c>
      <c r="B139" t="s">
        <v>3046</v>
      </c>
      <c r="C139" t="s">
        <v>74</v>
      </c>
      <c r="D139" t="s">
        <v>74</v>
      </c>
      <c r="E139" t="s">
        <v>74</v>
      </c>
      <c r="F139" t="s">
        <v>3047</v>
      </c>
      <c r="G139" t="s">
        <v>74</v>
      </c>
      <c r="H139" t="s">
        <v>74</v>
      </c>
      <c r="I139" t="s">
        <v>3048</v>
      </c>
      <c r="J139" t="s">
        <v>2926</v>
      </c>
      <c r="K139" t="s">
        <v>74</v>
      </c>
      <c r="L139" t="s">
        <v>74</v>
      </c>
      <c r="M139" t="s">
        <v>78</v>
      </c>
      <c r="N139" t="s">
        <v>79</v>
      </c>
      <c r="O139" t="s">
        <v>74</v>
      </c>
      <c r="P139" t="s">
        <v>74</v>
      </c>
      <c r="Q139" t="s">
        <v>74</v>
      </c>
      <c r="R139" t="s">
        <v>74</v>
      </c>
      <c r="S139" t="s">
        <v>74</v>
      </c>
      <c r="T139" t="s">
        <v>3049</v>
      </c>
      <c r="U139" t="s">
        <v>3050</v>
      </c>
      <c r="V139" t="s">
        <v>3051</v>
      </c>
      <c r="W139" t="s">
        <v>3052</v>
      </c>
      <c r="X139" t="s">
        <v>3053</v>
      </c>
      <c r="Y139" t="s">
        <v>3054</v>
      </c>
      <c r="Z139" t="s">
        <v>3055</v>
      </c>
      <c r="AA139" t="s">
        <v>3056</v>
      </c>
      <c r="AB139" t="s">
        <v>3057</v>
      </c>
      <c r="AC139" t="s">
        <v>3058</v>
      </c>
      <c r="AD139" t="s">
        <v>3059</v>
      </c>
      <c r="AE139" t="s">
        <v>3060</v>
      </c>
      <c r="AF139" t="s">
        <v>74</v>
      </c>
      <c r="AG139">
        <v>42</v>
      </c>
      <c r="AH139">
        <v>8</v>
      </c>
      <c r="AI139">
        <v>9</v>
      </c>
      <c r="AJ139">
        <v>0</v>
      </c>
      <c r="AK139">
        <v>3</v>
      </c>
      <c r="AL139" t="s">
        <v>847</v>
      </c>
      <c r="AM139" t="s">
        <v>848</v>
      </c>
      <c r="AN139" t="s">
        <v>849</v>
      </c>
      <c r="AO139" t="s">
        <v>2939</v>
      </c>
      <c r="AP139" t="s">
        <v>2940</v>
      </c>
      <c r="AQ139" t="s">
        <v>74</v>
      </c>
      <c r="AR139" t="s">
        <v>2941</v>
      </c>
      <c r="AS139" t="s">
        <v>2942</v>
      </c>
      <c r="AT139" t="s">
        <v>627</v>
      </c>
      <c r="AU139">
        <v>2021</v>
      </c>
      <c r="AV139">
        <v>29</v>
      </c>
      <c r="AW139" t="s">
        <v>74</v>
      </c>
      <c r="AX139" t="s">
        <v>74</v>
      </c>
      <c r="AY139" t="s">
        <v>74</v>
      </c>
      <c r="AZ139" t="s">
        <v>526</v>
      </c>
      <c r="BA139" t="s">
        <v>74</v>
      </c>
      <c r="BB139" t="s">
        <v>74</v>
      </c>
      <c r="BC139" t="s">
        <v>74</v>
      </c>
      <c r="BD139">
        <v>100723</v>
      </c>
      <c r="BE139" t="s">
        <v>3061</v>
      </c>
      <c r="BF139" t="str">
        <f>HYPERLINK("http://dx.doi.org/10.1016/j.polar.2021.100723","http://dx.doi.org/10.1016/j.polar.2021.100723")</f>
        <v>http://dx.doi.org/10.1016/j.polar.2021.100723</v>
      </c>
      <c r="BG139" t="s">
        <v>74</v>
      </c>
      <c r="BH139" t="s">
        <v>263</v>
      </c>
      <c r="BI139">
        <v>31</v>
      </c>
      <c r="BJ139" t="s">
        <v>1572</v>
      </c>
      <c r="BK139" t="s">
        <v>101</v>
      </c>
      <c r="BL139" t="s">
        <v>1573</v>
      </c>
      <c r="BM139" t="s">
        <v>3062</v>
      </c>
      <c r="BN139" t="s">
        <v>74</v>
      </c>
      <c r="BO139" t="s">
        <v>1471</v>
      </c>
      <c r="BP139" t="s">
        <v>74</v>
      </c>
      <c r="BQ139" t="s">
        <v>74</v>
      </c>
      <c r="BR139" t="s">
        <v>105</v>
      </c>
      <c r="BS139" t="s">
        <v>3063</v>
      </c>
      <c r="BT139" t="str">
        <f>HYPERLINK("https%3A%2F%2Fwww.webofscience.com%2Fwos%2Fwoscc%2Ffull-record%2FWOS:000718630000002","View Full Record in Web of Science")</f>
        <v>View Full Record in Web of Science</v>
      </c>
    </row>
    <row r="140" spans="1:72" x14ac:dyDescent="0.15">
      <c r="A140" t="s">
        <v>72</v>
      </c>
      <c r="B140" t="s">
        <v>3064</v>
      </c>
      <c r="C140" t="s">
        <v>74</v>
      </c>
      <c r="D140" t="s">
        <v>74</v>
      </c>
      <c r="E140" t="s">
        <v>74</v>
      </c>
      <c r="F140" t="s">
        <v>3065</v>
      </c>
      <c r="G140" t="s">
        <v>74</v>
      </c>
      <c r="H140" t="s">
        <v>74</v>
      </c>
      <c r="I140" t="s">
        <v>3066</v>
      </c>
      <c r="J140" t="s">
        <v>2926</v>
      </c>
      <c r="K140" t="s">
        <v>74</v>
      </c>
      <c r="L140" t="s">
        <v>74</v>
      </c>
      <c r="M140" t="s">
        <v>78</v>
      </c>
      <c r="N140" t="s">
        <v>79</v>
      </c>
      <c r="O140" t="s">
        <v>74</v>
      </c>
      <c r="P140" t="s">
        <v>74</v>
      </c>
      <c r="Q140" t="s">
        <v>74</v>
      </c>
      <c r="R140" t="s">
        <v>74</v>
      </c>
      <c r="S140" t="s">
        <v>74</v>
      </c>
      <c r="T140" t="s">
        <v>3067</v>
      </c>
      <c r="U140" t="s">
        <v>3068</v>
      </c>
      <c r="V140" t="s">
        <v>3069</v>
      </c>
      <c r="W140" t="s">
        <v>3070</v>
      </c>
      <c r="X140" t="s">
        <v>3071</v>
      </c>
      <c r="Y140" t="s">
        <v>3072</v>
      </c>
      <c r="Z140" t="s">
        <v>3073</v>
      </c>
      <c r="AA140" t="s">
        <v>74</v>
      </c>
      <c r="AB140" t="s">
        <v>3074</v>
      </c>
      <c r="AC140" t="s">
        <v>3075</v>
      </c>
      <c r="AD140" t="s">
        <v>3076</v>
      </c>
      <c r="AE140" t="s">
        <v>3077</v>
      </c>
      <c r="AF140" t="s">
        <v>74</v>
      </c>
      <c r="AG140">
        <v>53</v>
      </c>
      <c r="AH140">
        <v>0</v>
      </c>
      <c r="AI140">
        <v>0</v>
      </c>
      <c r="AJ140">
        <v>0</v>
      </c>
      <c r="AK140">
        <v>2</v>
      </c>
      <c r="AL140" t="s">
        <v>847</v>
      </c>
      <c r="AM140" t="s">
        <v>848</v>
      </c>
      <c r="AN140" t="s">
        <v>849</v>
      </c>
      <c r="AO140" t="s">
        <v>2939</v>
      </c>
      <c r="AP140" t="s">
        <v>2940</v>
      </c>
      <c r="AQ140" t="s">
        <v>74</v>
      </c>
      <c r="AR140" t="s">
        <v>2941</v>
      </c>
      <c r="AS140" t="s">
        <v>2942</v>
      </c>
      <c r="AT140" t="s">
        <v>627</v>
      </c>
      <c r="AU140">
        <v>2021</v>
      </c>
      <c r="AV140">
        <v>29</v>
      </c>
      <c r="AW140" t="s">
        <v>74</v>
      </c>
      <c r="AX140" t="s">
        <v>74</v>
      </c>
      <c r="AY140" t="s">
        <v>74</v>
      </c>
      <c r="AZ140" t="s">
        <v>526</v>
      </c>
      <c r="BA140" t="s">
        <v>74</v>
      </c>
      <c r="BB140" t="s">
        <v>74</v>
      </c>
      <c r="BC140" t="s">
        <v>74</v>
      </c>
      <c r="BD140">
        <v>100695</v>
      </c>
      <c r="BE140" t="s">
        <v>3078</v>
      </c>
      <c r="BF140" t="str">
        <f>HYPERLINK("http://dx.doi.org/10.1016/j.polar.2021.100695","http://dx.doi.org/10.1016/j.polar.2021.100695")</f>
        <v>http://dx.doi.org/10.1016/j.polar.2021.100695</v>
      </c>
      <c r="BG140" t="s">
        <v>74</v>
      </c>
      <c r="BH140" t="s">
        <v>263</v>
      </c>
      <c r="BI140">
        <v>9</v>
      </c>
      <c r="BJ140" t="s">
        <v>1572</v>
      </c>
      <c r="BK140" t="s">
        <v>101</v>
      </c>
      <c r="BL140" t="s">
        <v>1573</v>
      </c>
      <c r="BM140" t="s">
        <v>3010</v>
      </c>
      <c r="BN140" t="s">
        <v>74</v>
      </c>
      <c r="BO140" t="s">
        <v>1471</v>
      </c>
      <c r="BP140" t="s">
        <v>74</v>
      </c>
      <c r="BQ140" t="s">
        <v>74</v>
      </c>
      <c r="BR140" t="s">
        <v>105</v>
      </c>
      <c r="BS140" t="s">
        <v>3079</v>
      </c>
      <c r="BT140" t="str">
        <f>HYPERLINK("https%3A%2F%2Fwww.webofscience.com%2Fwos%2Fwoscc%2Ffull-record%2FWOS:000718632500004","View Full Record in Web of Science")</f>
        <v>View Full Record in Web of Science</v>
      </c>
    </row>
    <row r="141" spans="1:72" x14ac:dyDescent="0.15">
      <c r="A141" t="s">
        <v>72</v>
      </c>
      <c r="B141" t="s">
        <v>3080</v>
      </c>
      <c r="C141" t="s">
        <v>74</v>
      </c>
      <c r="D141" t="s">
        <v>74</v>
      </c>
      <c r="E141" t="s">
        <v>74</v>
      </c>
      <c r="F141" t="s">
        <v>3081</v>
      </c>
      <c r="G141" t="s">
        <v>74</v>
      </c>
      <c r="H141" t="s">
        <v>74</v>
      </c>
      <c r="I141" t="s">
        <v>3082</v>
      </c>
      <c r="J141" t="s">
        <v>2926</v>
      </c>
      <c r="K141" t="s">
        <v>74</v>
      </c>
      <c r="L141" t="s">
        <v>74</v>
      </c>
      <c r="M141" t="s">
        <v>78</v>
      </c>
      <c r="N141" t="s">
        <v>79</v>
      </c>
      <c r="O141" t="s">
        <v>74</v>
      </c>
      <c r="P141" t="s">
        <v>74</v>
      </c>
      <c r="Q141" t="s">
        <v>74</v>
      </c>
      <c r="R141" t="s">
        <v>74</v>
      </c>
      <c r="S141" t="s">
        <v>74</v>
      </c>
      <c r="T141" t="s">
        <v>3083</v>
      </c>
      <c r="U141" t="s">
        <v>3084</v>
      </c>
      <c r="V141" t="s">
        <v>3085</v>
      </c>
      <c r="W141" t="s">
        <v>3086</v>
      </c>
      <c r="X141" t="s">
        <v>3087</v>
      </c>
      <c r="Y141" t="s">
        <v>3088</v>
      </c>
      <c r="Z141" t="s">
        <v>3089</v>
      </c>
      <c r="AA141" t="s">
        <v>3090</v>
      </c>
      <c r="AB141" t="s">
        <v>3091</v>
      </c>
      <c r="AC141" t="s">
        <v>3092</v>
      </c>
      <c r="AD141" t="s">
        <v>3093</v>
      </c>
      <c r="AE141" t="s">
        <v>3094</v>
      </c>
      <c r="AF141" t="s">
        <v>74</v>
      </c>
      <c r="AG141">
        <v>58</v>
      </c>
      <c r="AH141">
        <v>0</v>
      </c>
      <c r="AI141">
        <v>0</v>
      </c>
      <c r="AJ141">
        <v>0</v>
      </c>
      <c r="AK141">
        <v>5</v>
      </c>
      <c r="AL141" t="s">
        <v>847</v>
      </c>
      <c r="AM141" t="s">
        <v>848</v>
      </c>
      <c r="AN141" t="s">
        <v>849</v>
      </c>
      <c r="AO141" t="s">
        <v>2939</v>
      </c>
      <c r="AP141" t="s">
        <v>2940</v>
      </c>
      <c r="AQ141" t="s">
        <v>74</v>
      </c>
      <c r="AR141" t="s">
        <v>2941</v>
      </c>
      <c r="AS141" t="s">
        <v>2942</v>
      </c>
      <c r="AT141" t="s">
        <v>627</v>
      </c>
      <c r="AU141">
        <v>2021</v>
      </c>
      <c r="AV141">
        <v>29</v>
      </c>
      <c r="AW141" t="s">
        <v>74</v>
      </c>
      <c r="AX141" t="s">
        <v>74</v>
      </c>
      <c r="AY141" t="s">
        <v>74</v>
      </c>
      <c r="AZ141" t="s">
        <v>526</v>
      </c>
      <c r="BA141" t="s">
        <v>74</v>
      </c>
      <c r="BB141" t="s">
        <v>74</v>
      </c>
      <c r="BC141" t="s">
        <v>74</v>
      </c>
      <c r="BD141">
        <v>100725</v>
      </c>
      <c r="BE141" t="s">
        <v>3095</v>
      </c>
      <c r="BF141" t="str">
        <f>HYPERLINK("http://dx.doi.org/10.1016/j.polar.2021.100725","http://dx.doi.org/10.1016/j.polar.2021.100725")</f>
        <v>http://dx.doi.org/10.1016/j.polar.2021.100725</v>
      </c>
      <c r="BG141" t="s">
        <v>74</v>
      </c>
      <c r="BH141" t="s">
        <v>263</v>
      </c>
      <c r="BI141">
        <v>10</v>
      </c>
      <c r="BJ141" t="s">
        <v>1572</v>
      </c>
      <c r="BK141" t="s">
        <v>101</v>
      </c>
      <c r="BL141" t="s">
        <v>1573</v>
      </c>
      <c r="BM141" t="s">
        <v>3062</v>
      </c>
      <c r="BN141" t="s">
        <v>74</v>
      </c>
      <c r="BO141" t="s">
        <v>1471</v>
      </c>
      <c r="BP141" t="s">
        <v>74</v>
      </c>
      <c r="BQ141" t="s">
        <v>74</v>
      </c>
      <c r="BR141" t="s">
        <v>105</v>
      </c>
      <c r="BS141" t="s">
        <v>3096</v>
      </c>
      <c r="BT141" t="str">
        <f>HYPERLINK("https%3A%2F%2Fwww.webofscience.com%2Fwos%2Fwoscc%2Ffull-record%2FWOS:000718630000001","View Full Record in Web of Science")</f>
        <v>View Full Record in Web of Science</v>
      </c>
    </row>
    <row r="142" spans="1:72" x14ac:dyDescent="0.15">
      <c r="A142" t="s">
        <v>72</v>
      </c>
      <c r="B142" t="s">
        <v>3097</v>
      </c>
      <c r="C142" t="s">
        <v>74</v>
      </c>
      <c r="D142" t="s">
        <v>74</v>
      </c>
      <c r="E142" t="s">
        <v>74</v>
      </c>
      <c r="F142" t="s">
        <v>3098</v>
      </c>
      <c r="G142" t="s">
        <v>74</v>
      </c>
      <c r="H142" t="s">
        <v>74</v>
      </c>
      <c r="I142" t="s">
        <v>3099</v>
      </c>
      <c r="J142" t="s">
        <v>810</v>
      </c>
      <c r="K142" t="s">
        <v>74</v>
      </c>
      <c r="L142" t="s">
        <v>74</v>
      </c>
      <c r="M142" t="s">
        <v>78</v>
      </c>
      <c r="N142" t="s">
        <v>79</v>
      </c>
      <c r="O142" t="s">
        <v>74</v>
      </c>
      <c r="P142" t="s">
        <v>74</v>
      </c>
      <c r="Q142" t="s">
        <v>74</v>
      </c>
      <c r="R142" t="s">
        <v>74</v>
      </c>
      <c r="S142" t="s">
        <v>74</v>
      </c>
      <c r="T142" t="s">
        <v>3100</v>
      </c>
      <c r="U142" t="s">
        <v>3101</v>
      </c>
      <c r="V142" t="s">
        <v>3102</v>
      </c>
      <c r="W142" t="s">
        <v>3103</v>
      </c>
      <c r="X142" t="s">
        <v>3104</v>
      </c>
      <c r="Y142" t="s">
        <v>3105</v>
      </c>
      <c r="Z142" t="s">
        <v>3106</v>
      </c>
      <c r="AA142" t="s">
        <v>3107</v>
      </c>
      <c r="AB142" t="s">
        <v>3108</v>
      </c>
      <c r="AC142" t="s">
        <v>3109</v>
      </c>
      <c r="AD142" t="s">
        <v>3110</v>
      </c>
      <c r="AE142" t="s">
        <v>3111</v>
      </c>
      <c r="AF142" t="s">
        <v>74</v>
      </c>
      <c r="AG142">
        <v>63</v>
      </c>
      <c r="AH142">
        <v>2</v>
      </c>
      <c r="AI142">
        <v>4</v>
      </c>
      <c r="AJ142">
        <v>0</v>
      </c>
      <c r="AK142">
        <v>3</v>
      </c>
      <c r="AL142" t="s">
        <v>572</v>
      </c>
      <c r="AM142" t="s">
        <v>573</v>
      </c>
      <c r="AN142" t="s">
        <v>574</v>
      </c>
      <c r="AO142" t="s">
        <v>823</v>
      </c>
      <c r="AP142" t="s">
        <v>824</v>
      </c>
      <c r="AQ142" t="s">
        <v>74</v>
      </c>
      <c r="AR142" t="s">
        <v>825</v>
      </c>
      <c r="AS142" t="s">
        <v>826</v>
      </c>
      <c r="AT142" t="s">
        <v>698</v>
      </c>
      <c r="AU142">
        <v>2022</v>
      </c>
      <c r="AV142">
        <v>42</v>
      </c>
      <c r="AW142">
        <v>6</v>
      </c>
      <c r="AX142" t="s">
        <v>74</v>
      </c>
      <c r="AY142" t="s">
        <v>74</v>
      </c>
      <c r="AZ142" t="s">
        <v>74</v>
      </c>
      <c r="BA142" t="s">
        <v>74</v>
      </c>
      <c r="BB142">
        <v>3397</v>
      </c>
      <c r="BC142">
        <v>3407</v>
      </c>
      <c r="BD142" t="s">
        <v>74</v>
      </c>
      <c r="BE142" t="s">
        <v>3112</v>
      </c>
      <c r="BF142" t="str">
        <f>HYPERLINK("http://dx.doi.org/10.1002/joc.7422","http://dx.doi.org/10.1002/joc.7422")</f>
        <v>http://dx.doi.org/10.1002/joc.7422</v>
      </c>
      <c r="BG142" t="s">
        <v>74</v>
      </c>
      <c r="BH142" t="s">
        <v>263</v>
      </c>
      <c r="BI142">
        <v>11</v>
      </c>
      <c r="BJ142" t="s">
        <v>829</v>
      </c>
      <c r="BK142" t="s">
        <v>101</v>
      </c>
      <c r="BL142" t="s">
        <v>829</v>
      </c>
      <c r="BM142" t="s">
        <v>3113</v>
      </c>
      <c r="BN142" t="s">
        <v>74</v>
      </c>
      <c r="BO142" t="s">
        <v>74</v>
      </c>
      <c r="BP142" t="s">
        <v>74</v>
      </c>
      <c r="BQ142" t="s">
        <v>74</v>
      </c>
      <c r="BR142" t="s">
        <v>105</v>
      </c>
      <c r="BS142" t="s">
        <v>3114</v>
      </c>
      <c r="BT142" t="str">
        <f>HYPERLINK("https%3A%2F%2Fwww.webofscience.com%2Fwos%2Fwoscc%2Ffull-record%2FWOS:000716559400001","View Full Record in Web of Science")</f>
        <v>View Full Record in Web of Science</v>
      </c>
    </row>
    <row r="143" spans="1:72" x14ac:dyDescent="0.15">
      <c r="A143" t="s">
        <v>72</v>
      </c>
      <c r="B143" t="s">
        <v>3115</v>
      </c>
      <c r="C143" t="s">
        <v>74</v>
      </c>
      <c r="D143" t="s">
        <v>74</v>
      </c>
      <c r="E143" t="s">
        <v>74</v>
      </c>
      <c r="F143" t="s">
        <v>3116</v>
      </c>
      <c r="G143" t="s">
        <v>74</v>
      </c>
      <c r="H143" t="s">
        <v>74</v>
      </c>
      <c r="I143" t="s">
        <v>3117</v>
      </c>
      <c r="J143" t="s">
        <v>3118</v>
      </c>
      <c r="K143" t="s">
        <v>74</v>
      </c>
      <c r="L143" t="s">
        <v>74</v>
      </c>
      <c r="M143" t="s">
        <v>78</v>
      </c>
      <c r="N143" t="s">
        <v>3119</v>
      </c>
      <c r="O143" t="s">
        <v>74</v>
      </c>
      <c r="P143" t="s">
        <v>74</v>
      </c>
      <c r="Q143" t="s">
        <v>74</v>
      </c>
      <c r="R143" t="s">
        <v>74</v>
      </c>
      <c r="S143" t="s">
        <v>74</v>
      </c>
      <c r="T143" t="s">
        <v>74</v>
      </c>
      <c r="U143" t="s">
        <v>3120</v>
      </c>
      <c r="V143" t="s">
        <v>3121</v>
      </c>
      <c r="W143" t="s">
        <v>3122</v>
      </c>
      <c r="X143" t="s">
        <v>3123</v>
      </c>
      <c r="Y143" t="s">
        <v>3124</v>
      </c>
      <c r="Z143" t="s">
        <v>3125</v>
      </c>
      <c r="AA143" t="s">
        <v>3126</v>
      </c>
      <c r="AB143" t="s">
        <v>3127</v>
      </c>
      <c r="AC143" t="s">
        <v>3128</v>
      </c>
      <c r="AD143" t="s">
        <v>3129</v>
      </c>
      <c r="AE143" t="s">
        <v>3130</v>
      </c>
      <c r="AF143" t="s">
        <v>74</v>
      </c>
      <c r="AG143">
        <v>45</v>
      </c>
      <c r="AH143">
        <v>3</v>
      </c>
      <c r="AI143">
        <v>3</v>
      </c>
      <c r="AJ143">
        <v>4</v>
      </c>
      <c r="AK143">
        <v>20</v>
      </c>
      <c r="AL143" t="s">
        <v>572</v>
      </c>
      <c r="AM143" t="s">
        <v>573</v>
      </c>
      <c r="AN143" t="s">
        <v>574</v>
      </c>
      <c r="AO143" t="s">
        <v>74</v>
      </c>
      <c r="AP143" t="s">
        <v>3131</v>
      </c>
      <c r="AQ143" t="s">
        <v>74</v>
      </c>
      <c r="AR143" t="s">
        <v>3132</v>
      </c>
      <c r="AS143" t="s">
        <v>3133</v>
      </c>
      <c r="AT143" t="s">
        <v>1000</v>
      </c>
      <c r="AU143">
        <v>2022</v>
      </c>
      <c r="AV143">
        <v>7</v>
      </c>
      <c r="AW143">
        <v>2</v>
      </c>
      <c r="AX143" t="s">
        <v>74</v>
      </c>
      <c r="AY143" t="s">
        <v>74</v>
      </c>
      <c r="AZ143" t="s">
        <v>74</v>
      </c>
      <c r="BA143" t="s">
        <v>74</v>
      </c>
      <c r="BB143">
        <v>150</v>
      </c>
      <c r="BC143">
        <v>158</v>
      </c>
      <c r="BD143" t="s">
        <v>74</v>
      </c>
      <c r="BE143" t="s">
        <v>3134</v>
      </c>
      <c r="BF143" t="str">
        <f>HYPERLINK("http://dx.doi.org/10.1002/lol2.10223","http://dx.doi.org/10.1002/lol2.10223")</f>
        <v>http://dx.doi.org/10.1002/lol2.10223</v>
      </c>
      <c r="BG143" t="s">
        <v>74</v>
      </c>
      <c r="BH143" t="s">
        <v>263</v>
      </c>
      <c r="BI143">
        <v>9</v>
      </c>
      <c r="BJ143" t="s">
        <v>3135</v>
      </c>
      <c r="BK143" t="s">
        <v>101</v>
      </c>
      <c r="BL143" t="s">
        <v>3136</v>
      </c>
      <c r="BM143" t="s">
        <v>3137</v>
      </c>
      <c r="BN143" t="s">
        <v>74</v>
      </c>
      <c r="BO143" t="s">
        <v>394</v>
      </c>
      <c r="BP143" t="s">
        <v>74</v>
      </c>
      <c r="BQ143" t="s">
        <v>74</v>
      </c>
      <c r="BR143" t="s">
        <v>105</v>
      </c>
      <c r="BS143" t="s">
        <v>3138</v>
      </c>
      <c r="BT143" t="str">
        <f>HYPERLINK("https%3A%2F%2Fwww.webofscience.com%2Fwos%2Fwoscc%2Ffull-record%2FWOS:000716560100001","View Full Record in Web of Science")</f>
        <v>View Full Record in Web of Science</v>
      </c>
    </row>
    <row r="144" spans="1:72" x14ac:dyDescent="0.15">
      <c r="A144" t="s">
        <v>72</v>
      </c>
      <c r="B144" t="s">
        <v>3139</v>
      </c>
      <c r="C144" t="s">
        <v>74</v>
      </c>
      <c r="D144" t="s">
        <v>74</v>
      </c>
      <c r="E144" t="s">
        <v>74</v>
      </c>
      <c r="F144" t="s">
        <v>3140</v>
      </c>
      <c r="G144" t="s">
        <v>74</v>
      </c>
      <c r="H144" t="s">
        <v>74</v>
      </c>
      <c r="I144" t="s">
        <v>3141</v>
      </c>
      <c r="J144" t="s">
        <v>3142</v>
      </c>
      <c r="K144" t="s">
        <v>74</v>
      </c>
      <c r="L144" t="s">
        <v>74</v>
      </c>
      <c r="M144" t="s">
        <v>78</v>
      </c>
      <c r="N144" t="s">
        <v>79</v>
      </c>
      <c r="O144" t="s">
        <v>74</v>
      </c>
      <c r="P144" t="s">
        <v>74</v>
      </c>
      <c r="Q144" t="s">
        <v>74</v>
      </c>
      <c r="R144" t="s">
        <v>74</v>
      </c>
      <c r="S144" t="s">
        <v>74</v>
      </c>
      <c r="T144" t="s">
        <v>3143</v>
      </c>
      <c r="U144" t="s">
        <v>3144</v>
      </c>
      <c r="V144" t="s">
        <v>3145</v>
      </c>
      <c r="W144" t="s">
        <v>3146</v>
      </c>
      <c r="X144" t="s">
        <v>3147</v>
      </c>
      <c r="Y144" t="s">
        <v>3148</v>
      </c>
      <c r="Z144" t="s">
        <v>3149</v>
      </c>
      <c r="AA144" t="s">
        <v>3150</v>
      </c>
      <c r="AB144" t="s">
        <v>3151</v>
      </c>
      <c r="AC144" t="s">
        <v>74</v>
      </c>
      <c r="AD144" t="s">
        <v>74</v>
      </c>
      <c r="AE144" t="s">
        <v>74</v>
      </c>
      <c r="AF144" t="s">
        <v>74</v>
      </c>
      <c r="AG144">
        <v>19</v>
      </c>
      <c r="AH144">
        <v>0</v>
      </c>
      <c r="AI144">
        <v>0</v>
      </c>
      <c r="AJ144">
        <v>1</v>
      </c>
      <c r="AK144">
        <v>3</v>
      </c>
      <c r="AL144" t="s">
        <v>572</v>
      </c>
      <c r="AM144" t="s">
        <v>573</v>
      </c>
      <c r="AN144" t="s">
        <v>574</v>
      </c>
      <c r="AO144" t="s">
        <v>3152</v>
      </c>
      <c r="AP144" t="s">
        <v>3153</v>
      </c>
      <c r="AQ144" t="s">
        <v>74</v>
      </c>
      <c r="AR144" t="s">
        <v>3142</v>
      </c>
      <c r="AS144" t="s">
        <v>3154</v>
      </c>
      <c r="AT144" t="s">
        <v>338</v>
      </c>
      <c r="AU144">
        <v>2022</v>
      </c>
      <c r="AV144">
        <v>33</v>
      </c>
      <c r="AW144">
        <v>2</v>
      </c>
      <c r="AX144" t="s">
        <v>74</v>
      </c>
      <c r="AY144" t="s">
        <v>74</v>
      </c>
      <c r="AZ144" t="s">
        <v>74</v>
      </c>
      <c r="BA144" t="s">
        <v>74</v>
      </c>
      <c r="BB144" t="s">
        <v>74</v>
      </c>
      <c r="BC144" t="s">
        <v>74</v>
      </c>
      <c r="BD144" t="s">
        <v>3155</v>
      </c>
      <c r="BE144" t="s">
        <v>3156</v>
      </c>
      <c r="BF144" t="str">
        <f>HYPERLINK("http://dx.doi.org/10.1002/env.2708","http://dx.doi.org/10.1002/env.2708")</f>
        <v>http://dx.doi.org/10.1002/env.2708</v>
      </c>
      <c r="BG144" t="s">
        <v>74</v>
      </c>
      <c r="BH144" t="s">
        <v>263</v>
      </c>
      <c r="BI144">
        <v>17</v>
      </c>
      <c r="BJ144" t="s">
        <v>3157</v>
      </c>
      <c r="BK144" t="s">
        <v>101</v>
      </c>
      <c r="BL144" t="s">
        <v>3158</v>
      </c>
      <c r="BM144" t="s">
        <v>3159</v>
      </c>
      <c r="BN144" t="s">
        <v>74</v>
      </c>
      <c r="BO144" t="s">
        <v>314</v>
      </c>
      <c r="BP144" t="s">
        <v>74</v>
      </c>
      <c r="BQ144" t="s">
        <v>74</v>
      </c>
      <c r="BR144" t="s">
        <v>105</v>
      </c>
      <c r="BS144" t="s">
        <v>3160</v>
      </c>
      <c r="BT144" t="str">
        <f>HYPERLINK("https%3A%2F%2Fwww.webofscience.com%2Fwos%2Fwoscc%2Ffull-record%2FWOS:000716371700001","View Full Record in Web of Science")</f>
        <v>View Full Record in Web of Science</v>
      </c>
    </row>
    <row r="145" spans="1:72" x14ac:dyDescent="0.15">
      <c r="A145" t="s">
        <v>72</v>
      </c>
      <c r="B145" t="s">
        <v>3161</v>
      </c>
      <c r="C145" t="s">
        <v>74</v>
      </c>
      <c r="D145" t="s">
        <v>74</v>
      </c>
      <c r="E145" t="s">
        <v>74</v>
      </c>
      <c r="F145" t="s">
        <v>3162</v>
      </c>
      <c r="G145" t="s">
        <v>74</v>
      </c>
      <c r="H145" t="s">
        <v>74</v>
      </c>
      <c r="I145" t="s">
        <v>3163</v>
      </c>
      <c r="J145" t="s">
        <v>2926</v>
      </c>
      <c r="K145" t="s">
        <v>74</v>
      </c>
      <c r="L145" t="s">
        <v>74</v>
      </c>
      <c r="M145" t="s">
        <v>78</v>
      </c>
      <c r="N145" t="s">
        <v>79</v>
      </c>
      <c r="O145" t="s">
        <v>74</v>
      </c>
      <c r="P145" t="s">
        <v>74</v>
      </c>
      <c r="Q145" t="s">
        <v>74</v>
      </c>
      <c r="R145" t="s">
        <v>74</v>
      </c>
      <c r="S145" t="s">
        <v>74</v>
      </c>
      <c r="T145" t="s">
        <v>3164</v>
      </c>
      <c r="U145" t="s">
        <v>3165</v>
      </c>
      <c r="V145" t="s">
        <v>3166</v>
      </c>
      <c r="W145" t="s">
        <v>3167</v>
      </c>
      <c r="X145" t="s">
        <v>3168</v>
      </c>
      <c r="Y145" t="s">
        <v>3169</v>
      </c>
      <c r="Z145" t="s">
        <v>3170</v>
      </c>
      <c r="AA145" t="s">
        <v>3171</v>
      </c>
      <c r="AB145" t="s">
        <v>3172</v>
      </c>
      <c r="AC145" t="s">
        <v>3173</v>
      </c>
      <c r="AD145" t="s">
        <v>3174</v>
      </c>
      <c r="AE145" t="s">
        <v>3175</v>
      </c>
      <c r="AF145" t="s">
        <v>74</v>
      </c>
      <c r="AG145">
        <v>79</v>
      </c>
      <c r="AH145">
        <v>3</v>
      </c>
      <c r="AI145">
        <v>3</v>
      </c>
      <c r="AJ145">
        <v>3</v>
      </c>
      <c r="AK145">
        <v>28</v>
      </c>
      <c r="AL145" t="s">
        <v>847</v>
      </c>
      <c r="AM145" t="s">
        <v>848</v>
      </c>
      <c r="AN145" t="s">
        <v>849</v>
      </c>
      <c r="AO145" t="s">
        <v>2939</v>
      </c>
      <c r="AP145" t="s">
        <v>2940</v>
      </c>
      <c r="AQ145" t="s">
        <v>74</v>
      </c>
      <c r="AR145" t="s">
        <v>2941</v>
      </c>
      <c r="AS145" t="s">
        <v>2942</v>
      </c>
      <c r="AT145" t="s">
        <v>627</v>
      </c>
      <c r="AU145">
        <v>2021</v>
      </c>
      <c r="AV145">
        <v>29</v>
      </c>
      <c r="AW145" t="s">
        <v>74</v>
      </c>
      <c r="AX145" t="s">
        <v>74</v>
      </c>
      <c r="AY145" t="s">
        <v>74</v>
      </c>
      <c r="AZ145" t="s">
        <v>526</v>
      </c>
      <c r="BA145" t="s">
        <v>74</v>
      </c>
      <c r="BB145" t="s">
        <v>74</v>
      </c>
      <c r="BC145" t="s">
        <v>74</v>
      </c>
      <c r="BD145">
        <v>100716</v>
      </c>
      <c r="BE145" t="s">
        <v>3176</v>
      </c>
      <c r="BF145" t="str">
        <f>HYPERLINK("http://dx.doi.org/10.1016/j.polar.2021.100716","http://dx.doi.org/10.1016/j.polar.2021.100716")</f>
        <v>http://dx.doi.org/10.1016/j.polar.2021.100716</v>
      </c>
      <c r="BG145" t="s">
        <v>74</v>
      </c>
      <c r="BH145" t="s">
        <v>263</v>
      </c>
      <c r="BI145">
        <v>12</v>
      </c>
      <c r="BJ145" t="s">
        <v>1572</v>
      </c>
      <c r="BK145" t="s">
        <v>101</v>
      </c>
      <c r="BL145" t="s">
        <v>1573</v>
      </c>
      <c r="BM145" t="s">
        <v>3010</v>
      </c>
      <c r="BN145" t="s">
        <v>74</v>
      </c>
      <c r="BO145" t="s">
        <v>1471</v>
      </c>
      <c r="BP145" t="s">
        <v>74</v>
      </c>
      <c r="BQ145" t="s">
        <v>74</v>
      </c>
      <c r="BR145" t="s">
        <v>105</v>
      </c>
      <c r="BS145" t="s">
        <v>3177</v>
      </c>
      <c r="BT145" t="str">
        <f>HYPERLINK("https%3A%2F%2Fwww.webofscience.com%2Fwos%2Fwoscc%2Ffull-record%2FWOS:000718632500006","View Full Record in Web of Science")</f>
        <v>View Full Record in Web of Science</v>
      </c>
    </row>
    <row r="146" spans="1:72" x14ac:dyDescent="0.15">
      <c r="A146" t="s">
        <v>72</v>
      </c>
      <c r="B146" t="s">
        <v>3178</v>
      </c>
      <c r="C146" t="s">
        <v>74</v>
      </c>
      <c r="D146" t="s">
        <v>74</v>
      </c>
      <c r="E146" t="s">
        <v>74</v>
      </c>
      <c r="F146" t="s">
        <v>3179</v>
      </c>
      <c r="G146" t="s">
        <v>74</v>
      </c>
      <c r="H146" t="s">
        <v>3180</v>
      </c>
      <c r="I146" t="s">
        <v>3181</v>
      </c>
      <c r="J146" t="s">
        <v>1099</v>
      </c>
      <c r="K146" t="s">
        <v>74</v>
      </c>
      <c r="L146" t="s">
        <v>74</v>
      </c>
      <c r="M146" t="s">
        <v>78</v>
      </c>
      <c r="N146" t="s">
        <v>79</v>
      </c>
      <c r="O146" t="s">
        <v>74</v>
      </c>
      <c r="P146" t="s">
        <v>74</v>
      </c>
      <c r="Q146" t="s">
        <v>74</v>
      </c>
      <c r="R146" t="s">
        <v>74</v>
      </c>
      <c r="S146" t="s">
        <v>74</v>
      </c>
      <c r="T146" t="s">
        <v>3182</v>
      </c>
      <c r="U146" t="s">
        <v>3183</v>
      </c>
      <c r="V146" t="s">
        <v>3184</v>
      </c>
      <c r="W146" t="s">
        <v>3185</v>
      </c>
      <c r="X146" t="s">
        <v>3186</v>
      </c>
      <c r="Y146" t="s">
        <v>3187</v>
      </c>
      <c r="Z146" t="s">
        <v>3188</v>
      </c>
      <c r="AA146" t="s">
        <v>3189</v>
      </c>
      <c r="AB146" t="s">
        <v>3190</v>
      </c>
      <c r="AC146" t="s">
        <v>74</v>
      </c>
      <c r="AD146" t="s">
        <v>74</v>
      </c>
      <c r="AE146" t="s">
        <v>74</v>
      </c>
      <c r="AF146" t="s">
        <v>74</v>
      </c>
      <c r="AG146">
        <v>122</v>
      </c>
      <c r="AH146">
        <v>4</v>
      </c>
      <c r="AI146">
        <v>4</v>
      </c>
      <c r="AJ146">
        <v>1</v>
      </c>
      <c r="AK146">
        <v>6</v>
      </c>
      <c r="AL146" t="s">
        <v>383</v>
      </c>
      <c r="AM146" t="s">
        <v>384</v>
      </c>
      <c r="AN146" t="s">
        <v>385</v>
      </c>
      <c r="AO146" t="s">
        <v>74</v>
      </c>
      <c r="AP146" t="s">
        <v>1112</v>
      </c>
      <c r="AQ146" t="s">
        <v>74</v>
      </c>
      <c r="AR146" t="s">
        <v>1113</v>
      </c>
      <c r="AS146" t="s">
        <v>1114</v>
      </c>
      <c r="AT146" t="s">
        <v>3191</v>
      </c>
      <c r="AU146">
        <v>2021</v>
      </c>
      <c r="AV146">
        <v>9</v>
      </c>
      <c r="AW146" t="s">
        <v>74</v>
      </c>
      <c r="AX146" t="s">
        <v>74</v>
      </c>
      <c r="AY146" t="s">
        <v>74</v>
      </c>
      <c r="AZ146" t="s">
        <v>74</v>
      </c>
      <c r="BA146" t="s">
        <v>74</v>
      </c>
      <c r="BB146" t="s">
        <v>74</v>
      </c>
      <c r="BC146" t="s">
        <v>74</v>
      </c>
      <c r="BD146">
        <v>751987</v>
      </c>
      <c r="BE146" t="s">
        <v>3192</v>
      </c>
      <c r="BF146" t="str">
        <f>HYPERLINK("http://dx.doi.org/10.3389/feart.2021.751987","http://dx.doi.org/10.3389/feart.2021.751987")</f>
        <v>http://dx.doi.org/10.3389/feart.2021.751987</v>
      </c>
      <c r="BG146" t="s">
        <v>74</v>
      </c>
      <c r="BH146" t="s">
        <v>74</v>
      </c>
      <c r="BI146">
        <v>26</v>
      </c>
      <c r="BJ146" t="s">
        <v>236</v>
      </c>
      <c r="BK146" t="s">
        <v>101</v>
      </c>
      <c r="BL146" t="s">
        <v>237</v>
      </c>
      <c r="BM146" t="s">
        <v>3193</v>
      </c>
      <c r="BN146" t="s">
        <v>74</v>
      </c>
      <c r="BO146" t="s">
        <v>1094</v>
      </c>
      <c r="BP146" t="s">
        <v>74</v>
      </c>
      <c r="BQ146" t="s">
        <v>74</v>
      </c>
      <c r="BR146" t="s">
        <v>105</v>
      </c>
      <c r="BS146" t="s">
        <v>3194</v>
      </c>
      <c r="BT146" t="str">
        <f>HYPERLINK("https%3A%2F%2Fwww.webofscience.com%2Fwos%2Fwoscc%2Ffull-record%2FWOS:000733723600001","View Full Record in Web of Science")</f>
        <v>View Full Record in Web of Science</v>
      </c>
    </row>
    <row r="147" spans="1:72" x14ac:dyDescent="0.15">
      <c r="A147" t="s">
        <v>72</v>
      </c>
      <c r="B147" t="s">
        <v>3195</v>
      </c>
      <c r="C147" t="s">
        <v>74</v>
      </c>
      <c r="D147" t="s">
        <v>74</v>
      </c>
      <c r="E147" t="s">
        <v>74</v>
      </c>
      <c r="F147" t="s">
        <v>3196</v>
      </c>
      <c r="G147" t="s">
        <v>74</v>
      </c>
      <c r="H147" t="s">
        <v>74</v>
      </c>
      <c r="I147" t="s">
        <v>3197</v>
      </c>
      <c r="J147" t="s">
        <v>372</v>
      </c>
      <c r="K147" t="s">
        <v>74</v>
      </c>
      <c r="L147" t="s">
        <v>74</v>
      </c>
      <c r="M147" t="s">
        <v>78</v>
      </c>
      <c r="N147" t="s">
        <v>79</v>
      </c>
      <c r="O147" t="s">
        <v>74</v>
      </c>
      <c r="P147" t="s">
        <v>74</v>
      </c>
      <c r="Q147" t="s">
        <v>74</v>
      </c>
      <c r="R147" t="s">
        <v>74</v>
      </c>
      <c r="S147" t="s">
        <v>74</v>
      </c>
      <c r="T147" t="s">
        <v>3198</v>
      </c>
      <c r="U147" t="s">
        <v>3199</v>
      </c>
      <c r="V147" t="s">
        <v>3200</v>
      </c>
      <c r="W147" t="s">
        <v>3201</v>
      </c>
      <c r="X147" t="s">
        <v>3202</v>
      </c>
      <c r="Y147" t="s">
        <v>3203</v>
      </c>
      <c r="Z147" t="s">
        <v>3204</v>
      </c>
      <c r="AA147" t="s">
        <v>74</v>
      </c>
      <c r="AB147" t="s">
        <v>74</v>
      </c>
      <c r="AC147" t="s">
        <v>74</v>
      </c>
      <c r="AD147" t="s">
        <v>74</v>
      </c>
      <c r="AE147" t="s">
        <v>74</v>
      </c>
      <c r="AF147" t="s">
        <v>74</v>
      </c>
      <c r="AG147">
        <v>73</v>
      </c>
      <c r="AH147">
        <v>4</v>
      </c>
      <c r="AI147">
        <v>4</v>
      </c>
      <c r="AJ147">
        <v>4</v>
      </c>
      <c r="AK147">
        <v>13</v>
      </c>
      <c r="AL147" t="s">
        <v>383</v>
      </c>
      <c r="AM147" t="s">
        <v>384</v>
      </c>
      <c r="AN147" t="s">
        <v>385</v>
      </c>
      <c r="AO147" t="s">
        <v>74</v>
      </c>
      <c r="AP147" t="s">
        <v>386</v>
      </c>
      <c r="AQ147" t="s">
        <v>74</v>
      </c>
      <c r="AR147" t="s">
        <v>387</v>
      </c>
      <c r="AS147" t="s">
        <v>388</v>
      </c>
      <c r="AT147" t="s">
        <v>3191</v>
      </c>
      <c r="AU147">
        <v>2021</v>
      </c>
      <c r="AV147">
        <v>8</v>
      </c>
      <c r="AW147" t="s">
        <v>74</v>
      </c>
      <c r="AX147" t="s">
        <v>74</v>
      </c>
      <c r="AY147" t="s">
        <v>74</v>
      </c>
      <c r="AZ147" t="s">
        <v>74</v>
      </c>
      <c r="BA147" t="s">
        <v>74</v>
      </c>
      <c r="BB147" t="s">
        <v>74</v>
      </c>
      <c r="BC147" t="s">
        <v>74</v>
      </c>
      <c r="BD147">
        <v>710544</v>
      </c>
      <c r="BE147" t="s">
        <v>3205</v>
      </c>
      <c r="BF147" t="str">
        <f>HYPERLINK("http://dx.doi.org/10.3389/fmars.2021.710544","http://dx.doi.org/10.3389/fmars.2021.710544")</f>
        <v>http://dx.doi.org/10.3389/fmars.2021.710544</v>
      </c>
      <c r="BG147" t="s">
        <v>74</v>
      </c>
      <c r="BH147" t="s">
        <v>74</v>
      </c>
      <c r="BI147">
        <v>15</v>
      </c>
      <c r="BJ147" t="s">
        <v>391</v>
      </c>
      <c r="BK147" t="s">
        <v>101</v>
      </c>
      <c r="BL147" t="s">
        <v>392</v>
      </c>
      <c r="BM147" t="s">
        <v>3206</v>
      </c>
      <c r="BN147" t="s">
        <v>74</v>
      </c>
      <c r="BO147" t="s">
        <v>210</v>
      </c>
      <c r="BP147" t="s">
        <v>74</v>
      </c>
      <c r="BQ147" t="s">
        <v>74</v>
      </c>
      <c r="BR147" t="s">
        <v>105</v>
      </c>
      <c r="BS147" t="s">
        <v>3207</v>
      </c>
      <c r="BT147" t="str">
        <f>HYPERLINK("https%3A%2F%2Fwww.webofscience.com%2Fwos%2Fwoscc%2Ffull-record%2FWOS:000726250800001","View Full Record in Web of Science")</f>
        <v>View Full Record in Web of Science</v>
      </c>
    </row>
    <row r="148" spans="1:72" x14ac:dyDescent="0.15">
      <c r="A148" t="s">
        <v>72</v>
      </c>
      <c r="B148" t="s">
        <v>3208</v>
      </c>
      <c r="C148" t="s">
        <v>74</v>
      </c>
      <c r="D148" t="s">
        <v>74</v>
      </c>
      <c r="E148" t="s">
        <v>74</v>
      </c>
      <c r="F148" t="s">
        <v>3209</v>
      </c>
      <c r="G148" t="s">
        <v>74</v>
      </c>
      <c r="H148" t="s">
        <v>74</v>
      </c>
      <c r="I148" t="s">
        <v>3210</v>
      </c>
      <c r="J148" t="s">
        <v>1377</v>
      </c>
      <c r="K148" t="s">
        <v>74</v>
      </c>
      <c r="L148" t="s">
        <v>74</v>
      </c>
      <c r="M148" t="s">
        <v>78</v>
      </c>
      <c r="N148" t="s">
        <v>79</v>
      </c>
      <c r="O148" t="s">
        <v>74</v>
      </c>
      <c r="P148" t="s">
        <v>74</v>
      </c>
      <c r="Q148" t="s">
        <v>74</v>
      </c>
      <c r="R148" t="s">
        <v>74</v>
      </c>
      <c r="S148" t="s">
        <v>74</v>
      </c>
      <c r="T148" t="s">
        <v>3211</v>
      </c>
      <c r="U148" t="s">
        <v>3212</v>
      </c>
      <c r="V148" t="s">
        <v>3213</v>
      </c>
      <c r="W148" t="s">
        <v>3214</v>
      </c>
      <c r="X148" t="s">
        <v>3215</v>
      </c>
      <c r="Y148" t="s">
        <v>3216</v>
      </c>
      <c r="Z148" t="s">
        <v>3217</v>
      </c>
      <c r="AA148" t="s">
        <v>3218</v>
      </c>
      <c r="AB148" t="s">
        <v>3219</v>
      </c>
      <c r="AC148" t="s">
        <v>3220</v>
      </c>
      <c r="AD148" t="s">
        <v>3221</v>
      </c>
      <c r="AE148" t="s">
        <v>3222</v>
      </c>
      <c r="AF148" t="s">
        <v>74</v>
      </c>
      <c r="AG148">
        <v>58</v>
      </c>
      <c r="AH148">
        <v>3</v>
      </c>
      <c r="AI148">
        <v>3</v>
      </c>
      <c r="AJ148">
        <v>2</v>
      </c>
      <c r="AK148">
        <v>12</v>
      </c>
      <c r="AL148" t="s">
        <v>255</v>
      </c>
      <c r="AM148" t="s">
        <v>256</v>
      </c>
      <c r="AN148" t="s">
        <v>257</v>
      </c>
      <c r="AO148" t="s">
        <v>1390</v>
      </c>
      <c r="AP148" t="s">
        <v>1391</v>
      </c>
      <c r="AQ148" t="s">
        <v>74</v>
      </c>
      <c r="AR148" t="s">
        <v>1392</v>
      </c>
      <c r="AS148" t="s">
        <v>1393</v>
      </c>
      <c r="AT148" t="s">
        <v>2840</v>
      </c>
      <c r="AU148">
        <v>2021</v>
      </c>
      <c r="AV148">
        <v>274</v>
      </c>
      <c r="AW148" t="s">
        <v>74</v>
      </c>
      <c r="AX148" t="s">
        <v>74</v>
      </c>
      <c r="AY148" t="s">
        <v>74</v>
      </c>
      <c r="AZ148" t="s">
        <v>74</v>
      </c>
      <c r="BA148" t="s">
        <v>74</v>
      </c>
      <c r="BB148" t="s">
        <v>74</v>
      </c>
      <c r="BC148" t="s">
        <v>74</v>
      </c>
      <c r="BD148">
        <v>107273</v>
      </c>
      <c r="BE148" t="s">
        <v>3223</v>
      </c>
      <c r="BF148" t="str">
        <f>HYPERLINK("http://dx.doi.org/10.1016/j.quascirev.2021.107273","http://dx.doi.org/10.1016/j.quascirev.2021.107273")</f>
        <v>http://dx.doi.org/10.1016/j.quascirev.2021.107273</v>
      </c>
      <c r="BG148" t="s">
        <v>74</v>
      </c>
      <c r="BH148" t="s">
        <v>263</v>
      </c>
      <c r="BI148">
        <v>12</v>
      </c>
      <c r="BJ148" t="s">
        <v>340</v>
      </c>
      <c r="BK148" t="s">
        <v>101</v>
      </c>
      <c r="BL148" t="s">
        <v>341</v>
      </c>
      <c r="BM148" t="s">
        <v>2842</v>
      </c>
      <c r="BN148" t="s">
        <v>74</v>
      </c>
      <c r="BO148" t="s">
        <v>1471</v>
      </c>
      <c r="BP148" t="s">
        <v>74</v>
      </c>
      <c r="BQ148" t="s">
        <v>74</v>
      </c>
      <c r="BR148" t="s">
        <v>105</v>
      </c>
      <c r="BS148" t="s">
        <v>3224</v>
      </c>
      <c r="BT148" t="str">
        <f>HYPERLINK("https%3A%2F%2Fwww.webofscience.com%2Fwos%2Fwoscc%2Ffull-record%2FWOS:000723190100014","View Full Record in Web of Science")</f>
        <v>View Full Record in Web of Science</v>
      </c>
    </row>
    <row r="149" spans="1:72" x14ac:dyDescent="0.15">
      <c r="A149" t="s">
        <v>72</v>
      </c>
      <c r="B149" t="s">
        <v>3225</v>
      </c>
      <c r="C149" t="s">
        <v>74</v>
      </c>
      <c r="D149" t="s">
        <v>74</v>
      </c>
      <c r="E149" t="s">
        <v>74</v>
      </c>
      <c r="F149" t="s">
        <v>3226</v>
      </c>
      <c r="G149" t="s">
        <v>74</v>
      </c>
      <c r="H149" t="s">
        <v>74</v>
      </c>
      <c r="I149" t="s">
        <v>3227</v>
      </c>
      <c r="J149" t="s">
        <v>3228</v>
      </c>
      <c r="K149" t="s">
        <v>74</v>
      </c>
      <c r="L149" t="s">
        <v>74</v>
      </c>
      <c r="M149" t="s">
        <v>78</v>
      </c>
      <c r="N149" t="s">
        <v>79</v>
      </c>
      <c r="O149" t="s">
        <v>74</v>
      </c>
      <c r="P149" t="s">
        <v>74</v>
      </c>
      <c r="Q149" t="s">
        <v>74</v>
      </c>
      <c r="R149" t="s">
        <v>74</v>
      </c>
      <c r="S149" t="s">
        <v>74</v>
      </c>
      <c r="T149" t="s">
        <v>3229</v>
      </c>
      <c r="U149" t="s">
        <v>3230</v>
      </c>
      <c r="V149" t="s">
        <v>3231</v>
      </c>
      <c r="W149" t="s">
        <v>3232</v>
      </c>
      <c r="X149" t="s">
        <v>3233</v>
      </c>
      <c r="Y149" t="s">
        <v>3234</v>
      </c>
      <c r="Z149" t="s">
        <v>3235</v>
      </c>
      <c r="AA149" t="s">
        <v>3236</v>
      </c>
      <c r="AB149" t="s">
        <v>3237</v>
      </c>
      <c r="AC149" t="s">
        <v>74</v>
      </c>
      <c r="AD149" t="s">
        <v>74</v>
      </c>
      <c r="AE149" t="s">
        <v>74</v>
      </c>
      <c r="AF149" t="s">
        <v>74</v>
      </c>
      <c r="AG149">
        <v>129</v>
      </c>
      <c r="AH149">
        <v>3</v>
      </c>
      <c r="AI149">
        <v>3</v>
      </c>
      <c r="AJ149">
        <v>0</v>
      </c>
      <c r="AK149">
        <v>9</v>
      </c>
      <c r="AL149" t="s">
        <v>847</v>
      </c>
      <c r="AM149" t="s">
        <v>848</v>
      </c>
      <c r="AN149" t="s">
        <v>849</v>
      </c>
      <c r="AO149" t="s">
        <v>3238</v>
      </c>
      <c r="AP149" t="s">
        <v>3239</v>
      </c>
      <c r="AQ149" t="s">
        <v>74</v>
      </c>
      <c r="AR149" t="s">
        <v>3240</v>
      </c>
      <c r="AS149" t="s">
        <v>3241</v>
      </c>
      <c r="AT149" t="s">
        <v>416</v>
      </c>
      <c r="AU149">
        <v>2022</v>
      </c>
      <c r="AV149">
        <v>443</v>
      </c>
      <c r="AW149" t="s">
        <v>74</v>
      </c>
      <c r="AX149" t="s">
        <v>74</v>
      </c>
      <c r="AY149" t="s">
        <v>74</v>
      </c>
      <c r="AZ149" t="s">
        <v>74</v>
      </c>
      <c r="BA149" t="s">
        <v>74</v>
      </c>
      <c r="BB149" t="s">
        <v>74</v>
      </c>
      <c r="BC149" t="s">
        <v>74</v>
      </c>
      <c r="BD149">
        <v>106675</v>
      </c>
      <c r="BE149" t="s">
        <v>3242</v>
      </c>
      <c r="BF149" t="str">
        <f>HYPERLINK("http://dx.doi.org/10.1016/j.margeo.2021.106675","http://dx.doi.org/10.1016/j.margeo.2021.106675")</f>
        <v>http://dx.doi.org/10.1016/j.margeo.2021.106675</v>
      </c>
      <c r="BG149" t="s">
        <v>74</v>
      </c>
      <c r="BH149" t="s">
        <v>263</v>
      </c>
      <c r="BI149">
        <v>17</v>
      </c>
      <c r="BJ149" t="s">
        <v>177</v>
      </c>
      <c r="BK149" t="s">
        <v>101</v>
      </c>
      <c r="BL149" t="s">
        <v>178</v>
      </c>
      <c r="BM149" t="s">
        <v>3243</v>
      </c>
      <c r="BN149" t="s">
        <v>74</v>
      </c>
      <c r="BO149" t="s">
        <v>343</v>
      </c>
      <c r="BP149" t="s">
        <v>74</v>
      </c>
      <c r="BQ149" t="s">
        <v>74</v>
      </c>
      <c r="BR149" t="s">
        <v>105</v>
      </c>
      <c r="BS149" t="s">
        <v>3244</v>
      </c>
      <c r="BT149" t="str">
        <f>HYPERLINK("https%3A%2F%2Fwww.webofscience.com%2Fwos%2Fwoscc%2Ffull-record%2FWOS:000720828900003","View Full Record in Web of Science")</f>
        <v>View Full Record in Web of Science</v>
      </c>
    </row>
    <row r="150" spans="1:72" x14ac:dyDescent="0.15">
      <c r="A150" t="s">
        <v>72</v>
      </c>
      <c r="B150" t="s">
        <v>3245</v>
      </c>
      <c r="C150" t="s">
        <v>74</v>
      </c>
      <c r="D150" t="s">
        <v>74</v>
      </c>
      <c r="E150" t="s">
        <v>74</v>
      </c>
      <c r="F150" t="s">
        <v>3246</v>
      </c>
      <c r="G150" t="s">
        <v>74</v>
      </c>
      <c r="H150" t="s">
        <v>74</v>
      </c>
      <c r="I150" t="s">
        <v>3247</v>
      </c>
      <c r="J150" t="s">
        <v>3248</v>
      </c>
      <c r="K150" t="s">
        <v>74</v>
      </c>
      <c r="L150" t="s">
        <v>74</v>
      </c>
      <c r="M150" t="s">
        <v>78</v>
      </c>
      <c r="N150" t="s">
        <v>79</v>
      </c>
      <c r="O150" t="s">
        <v>74</v>
      </c>
      <c r="P150" t="s">
        <v>74</v>
      </c>
      <c r="Q150" t="s">
        <v>74</v>
      </c>
      <c r="R150" t="s">
        <v>74</v>
      </c>
      <c r="S150" t="s">
        <v>74</v>
      </c>
      <c r="T150" t="s">
        <v>3249</v>
      </c>
      <c r="U150" t="s">
        <v>3250</v>
      </c>
      <c r="V150" t="s">
        <v>3251</v>
      </c>
      <c r="W150" t="s">
        <v>3252</v>
      </c>
      <c r="X150" t="s">
        <v>3253</v>
      </c>
      <c r="Y150" t="s">
        <v>3254</v>
      </c>
      <c r="Z150" t="s">
        <v>3255</v>
      </c>
      <c r="AA150" t="s">
        <v>3256</v>
      </c>
      <c r="AB150" t="s">
        <v>3257</v>
      </c>
      <c r="AC150" t="s">
        <v>3258</v>
      </c>
      <c r="AD150" t="s">
        <v>3259</v>
      </c>
      <c r="AE150" t="s">
        <v>3260</v>
      </c>
      <c r="AF150" t="s">
        <v>74</v>
      </c>
      <c r="AG150">
        <v>116</v>
      </c>
      <c r="AH150">
        <v>52</v>
      </c>
      <c r="AI150">
        <v>55</v>
      </c>
      <c r="AJ150">
        <v>10</v>
      </c>
      <c r="AK150">
        <v>93</v>
      </c>
      <c r="AL150" t="s">
        <v>3261</v>
      </c>
      <c r="AM150" t="s">
        <v>438</v>
      </c>
      <c r="AN150" t="s">
        <v>3262</v>
      </c>
      <c r="AO150" t="s">
        <v>3263</v>
      </c>
      <c r="AP150" t="s">
        <v>74</v>
      </c>
      <c r="AQ150" t="s">
        <v>74</v>
      </c>
      <c r="AR150" t="s">
        <v>3264</v>
      </c>
      <c r="AS150" t="s">
        <v>3265</v>
      </c>
      <c r="AT150" t="s">
        <v>3191</v>
      </c>
      <c r="AU150">
        <v>2021</v>
      </c>
      <c r="AV150">
        <v>118</v>
      </c>
      <c r="AW150">
        <v>45</v>
      </c>
      <c r="AX150" t="s">
        <v>74</v>
      </c>
      <c r="AY150" t="s">
        <v>74</v>
      </c>
      <c r="AZ150" t="s">
        <v>74</v>
      </c>
      <c r="BA150" t="s">
        <v>74</v>
      </c>
      <c r="BB150" t="s">
        <v>74</v>
      </c>
      <c r="BC150" t="s">
        <v>74</v>
      </c>
      <c r="BD150" t="s">
        <v>3266</v>
      </c>
      <c r="BE150" t="s">
        <v>3267</v>
      </c>
      <c r="BF150" t="str">
        <f>HYPERLINK("http://dx.doi.org/10.1073/pnas.2025322118","http://dx.doi.org/10.1073/pnas.2025322118")</f>
        <v>http://dx.doi.org/10.1073/pnas.2025322118</v>
      </c>
      <c r="BG150" t="s">
        <v>74</v>
      </c>
      <c r="BH150" t="s">
        <v>74</v>
      </c>
      <c r="BI150">
        <v>10</v>
      </c>
      <c r="BJ150" t="s">
        <v>126</v>
      </c>
      <c r="BK150" t="s">
        <v>101</v>
      </c>
      <c r="BL150" t="s">
        <v>127</v>
      </c>
      <c r="BM150" t="s">
        <v>3268</v>
      </c>
      <c r="BN150">
        <v>34732568</v>
      </c>
      <c r="BO150" t="s">
        <v>1614</v>
      </c>
      <c r="BP150" t="s">
        <v>74</v>
      </c>
      <c r="BQ150" t="s">
        <v>74</v>
      </c>
      <c r="BR150" t="s">
        <v>105</v>
      </c>
      <c r="BS150" t="s">
        <v>3269</v>
      </c>
      <c r="BT150" t="str">
        <f>HYPERLINK("https%3A%2F%2Fwww.webofscience.com%2Fwos%2Fwoscc%2Ffull-record%2FWOS:000720926900016","View Full Record in Web of Science")</f>
        <v>View Full Record in Web of Science</v>
      </c>
    </row>
    <row r="151" spans="1:72" x14ac:dyDescent="0.15">
      <c r="A151" t="s">
        <v>72</v>
      </c>
      <c r="B151" t="s">
        <v>3270</v>
      </c>
      <c r="C151" t="s">
        <v>74</v>
      </c>
      <c r="D151" t="s">
        <v>74</v>
      </c>
      <c r="E151" t="s">
        <v>74</v>
      </c>
      <c r="F151" t="s">
        <v>3271</v>
      </c>
      <c r="G151" t="s">
        <v>74</v>
      </c>
      <c r="H151" t="s">
        <v>74</v>
      </c>
      <c r="I151" t="s">
        <v>3272</v>
      </c>
      <c r="J151" t="s">
        <v>3273</v>
      </c>
      <c r="K151" t="s">
        <v>74</v>
      </c>
      <c r="L151" t="s">
        <v>74</v>
      </c>
      <c r="M151" t="s">
        <v>78</v>
      </c>
      <c r="N151" t="s">
        <v>79</v>
      </c>
      <c r="O151" t="s">
        <v>74</v>
      </c>
      <c r="P151" t="s">
        <v>74</v>
      </c>
      <c r="Q151" t="s">
        <v>74</v>
      </c>
      <c r="R151" t="s">
        <v>74</v>
      </c>
      <c r="S151" t="s">
        <v>74</v>
      </c>
      <c r="T151" t="s">
        <v>3274</v>
      </c>
      <c r="U151" t="s">
        <v>3275</v>
      </c>
      <c r="V151" t="s">
        <v>3276</v>
      </c>
      <c r="W151" t="s">
        <v>3277</v>
      </c>
      <c r="X151" t="s">
        <v>3278</v>
      </c>
      <c r="Y151" t="s">
        <v>3279</v>
      </c>
      <c r="Z151" t="s">
        <v>3280</v>
      </c>
      <c r="AA151" t="s">
        <v>3281</v>
      </c>
      <c r="AB151" t="s">
        <v>74</v>
      </c>
      <c r="AC151" t="s">
        <v>3282</v>
      </c>
      <c r="AD151" t="s">
        <v>3283</v>
      </c>
      <c r="AE151" t="s">
        <v>3284</v>
      </c>
      <c r="AF151" t="s">
        <v>74</v>
      </c>
      <c r="AG151">
        <v>108</v>
      </c>
      <c r="AH151">
        <v>5</v>
      </c>
      <c r="AI151">
        <v>6</v>
      </c>
      <c r="AJ151">
        <v>0</v>
      </c>
      <c r="AK151">
        <v>28</v>
      </c>
      <c r="AL151" t="s">
        <v>3285</v>
      </c>
      <c r="AM151" t="s">
        <v>3286</v>
      </c>
      <c r="AN151" t="s">
        <v>3287</v>
      </c>
      <c r="AO151" t="s">
        <v>3288</v>
      </c>
      <c r="AP151" t="s">
        <v>3289</v>
      </c>
      <c r="AQ151" t="s">
        <v>74</v>
      </c>
      <c r="AR151" t="s">
        <v>3290</v>
      </c>
      <c r="AS151" t="s">
        <v>3291</v>
      </c>
      <c r="AT151" t="s">
        <v>416</v>
      </c>
      <c r="AU151">
        <v>2022</v>
      </c>
      <c r="AV151">
        <v>166</v>
      </c>
      <c r="AW151" t="s">
        <v>74</v>
      </c>
      <c r="AX151" t="s">
        <v>74</v>
      </c>
      <c r="AY151" t="s">
        <v>74</v>
      </c>
      <c r="AZ151" t="s">
        <v>74</v>
      </c>
      <c r="BA151" t="s">
        <v>74</v>
      </c>
      <c r="BB151" t="s">
        <v>74</v>
      </c>
      <c r="BC151" t="s">
        <v>74</v>
      </c>
      <c r="BD151">
        <v>107340</v>
      </c>
      <c r="BE151" t="s">
        <v>3292</v>
      </c>
      <c r="BF151" t="str">
        <f>HYPERLINK("http://dx.doi.org/10.1016/j.ympev.2021.107340","http://dx.doi.org/10.1016/j.ympev.2021.107340")</f>
        <v>http://dx.doi.org/10.1016/j.ympev.2021.107340</v>
      </c>
      <c r="BG151" t="s">
        <v>74</v>
      </c>
      <c r="BH151" t="s">
        <v>263</v>
      </c>
      <c r="BI151">
        <v>15</v>
      </c>
      <c r="BJ151" t="s">
        <v>3293</v>
      </c>
      <c r="BK151" t="s">
        <v>101</v>
      </c>
      <c r="BL151" t="s">
        <v>3293</v>
      </c>
      <c r="BM151" t="s">
        <v>3294</v>
      </c>
      <c r="BN151">
        <v>34737000</v>
      </c>
      <c r="BO151" t="s">
        <v>74</v>
      </c>
      <c r="BP151" t="s">
        <v>74</v>
      </c>
      <c r="BQ151" t="s">
        <v>74</v>
      </c>
      <c r="BR151" t="s">
        <v>105</v>
      </c>
      <c r="BS151" t="s">
        <v>3295</v>
      </c>
      <c r="BT151" t="str">
        <f>HYPERLINK("https%3A%2F%2Fwww.webofscience.com%2Fwos%2Fwoscc%2Ffull-record%2FWOS:000719791000001","View Full Record in Web of Science")</f>
        <v>View Full Record in Web of Science</v>
      </c>
    </row>
    <row r="152" spans="1:72" x14ac:dyDescent="0.15">
      <c r="A152" t="s">
        <v>72</v>
      </c>
      <c r="B152" t="s">
        <v>3296</v>
      </c>
      <c r="C152" t="s">
        <v>74</v>
      </c>
      <c r="D152" t="s">
        <v>74</v>
      </c>
      <c r="E152" t="s">
        <v>74</v>
      </c>
      <c r="F152" t="s">
        <v>3297</v>
      </c>
      <c r="G152" t="s">
        <v>74</v>
      </c>
      <c r="H152" t="s">
        <v>74</v>
      </c>
      <c r="I152" t="s">
        <v>3298</v>
      </c>
      <c r="J152" t="s">
        <v>3299</v>
      </c>
      <c r="K152" t="s">
        <v>74</v>
      </c>
      <c r="L152" t="s">
        <v>74</v>
      </c>
      <c r="M152" t="s">
        <v>78</v>
      </c>
      <c r="N152" t="s">
        <v>79</v>
      </c>
      <c r="O152" t="s">
        <v>74</v>
      </c>
      <c r="P152" t="s">
        <v>74</v>
      </c>
      <c r="Q152" t="s">
        <v>74</v>
      </c>
      <c r="R152" t="s">
        <v>74</v>
      </c>
      <c r="S152" t="s">
        <v>74</v>
      </c>
      <c r="T152" t="s">
        <v>3300</v>
      </c>
      <c r="U152" t="s">
        <v>74</v>
      </c>
      <c r="V152" t="s">
        <v>3301</v>
      </c>
      <c r="W152" t="s">
        <v>3302</v>
      </c>
      <c r="X152" t="s">
        <v>3303</v>
      </c>
      <c r="Y152" t="s">
        <v>3304</v>
      </c>
      <c r="Z152" t="s">
        <v>3305</v>
      </c>
      <c r="AA152" t="s">
        <v>74</v>
      </c>
      <c r="AB152" t="s">
        <v>3306</v>
      </c>
      <c r="AC152" t="s">
        <v>3307</v>
      </c>
      <c r="AD152" t="s">
        <v>3308</v>
      </c>
      <c r="AE152" t="s">
        <v>3309</v>
      </c>
      <c r="AF152" t="s">
        <v>74</v>
      </c>
      <c r="AG152">
        <v>20</v>
      </c>
      <c r="AH152">
        <v>0</v>
      </c>
      <c r="AI152">
        <v>0</v>
      </c>
      <c r="AJ152">
        <v>0</v>
      </c>
      <c r="AK152">
        <v>1</v>
      </c>
      <c r="AL152" t="s">
        <v>3310</v>
      </c>
      <c r="AM152" t="s">
        <v>3311</v>
      </c>
      <c r="AN152" t="s">
        <v>3312</v>
      </c>
      <c r="AO152" t="s">
        <v>3313</v>
      </c>
      <c r="AP152" t="s">
        <v>3314</v>
      </c>
      <c r="AQ152" t="s">
        <v>74</v>
      </c>
      <c r="AR152" t="s">
        <v>3299</v>
      </c>
      <c r="AS152" t="s">
        <v>3315</v>
      </c>
      <c r="AT152" t="s">
        <v>3191</v>
      </c>
      <c r="AU152">
        <v>2021</v>
      </c>
      <c r="AV152">
        <v>5067</v>
      </c>
      <c r="AW152">
        <v>1</v>
      </c>
      <c r="AX152" t="s">
        <v>74</v>
      </c>
      <c r="AY152" t="s">
        <v>74</v>
      </c>
      <c r="AZ152" t="s">
        <v>74</v>
      </c>
      <c r="BA152" t="s">
        <v>74</v>
      </c>
      <c r="BB152">
        <v>106</v>
      </c>
      <c r="BC152">
        <v>114</v>
      </c>
      <c r="BD152" t="s">
        <v>74</v>
      </c>
      <c r="BE152" t="s">
        <v>3316</v>
      </c>
      <c r="BF152" t="str">
        <f>HYPERLINK("http://dx.doi.org/10.11646/zootaxa.5067.1.6","http://dx.doi.org/10.11646/zootaxa.5067.1.6")</f>
        <v>http://dx.doi.org/10.11646/zootaxa.5067.1.6</v>
      </c>
      <c r="BG152" t="s">
        <v>74</v>
      </c>
      <c r="BH152" t="s">
        <v>74</v>
      </c>
      <c r="BI152">
        <v>9</v>
      </c>
      <c r="BJ152" t="s">
        <v>1612</v>
      </c>
      <c r="BK152" t="s">
        <v>101</v>
      </c>
      <c r="BL152" t="s">
        <v>1612</v>
      </c>
      <c r="BM152" t="s">
        <v>3317</v>
      </c>
      <c r="BN152">
        <v>34810758</v>
      </c>
      <c r="BO152" t="s">
        <v>74</v>
      </c>
      <c r="BP152" t="s">
        <v>74</v>
      </c>
      <c r="BQ152" t="s">
        <v>74</v>
      </c>
      <c r="BR152" t="s">
        <v>105</v>
      </c>
      <c r="BS152" t="s">
        <v>3318</v>
      </c>
      <c r="BT152" t="str">
        <f>HYPERLINK("https%3A%2F%2Fwww.webofscience.com%2Fwos%2Fwoscc%2Ffull-record%2FWOS:000718364400002","View Full Record in Web of Science")</f>
        <v>View Full Record in Web of Science</v>
      </c>
    </row>
    <row r="153" spans="1:72" x14ac:dyDescent="0.15">
      <c r="A153" t="s">
        <v>72</v>
      </c>
      <c r="B153" t="s">
        <v>3319</v>
      </c>
      <c r="C153" t="s">
        <v>74</v>
      </c>
      <c r="D153" t="s">
        <v>74</v>
      </c>
      <c r="E153" t="s">
        <v>74</v>
      </c>
      <c r="F153" t="s">
        <v>3320</v>
      </c>
      <c r="G153" t="s">
        <v>74</v>
      </c>
      <c r="H153" t="s">
        <v>74</v>
      </c>
      <c r="I153" t="s">
        <v>3321</v>
      </c>
      <c r="J153" t="s">
        <v>3322</v>
      </c>
      <c r="K153" t="s">
        <v>74</v>
      </c>
      <c r="L153" t="s">
        <v>74</v>
      </c>
      <c r="M153" t="s">
        <v>78</v>
      </c>
      <c r="N153" t="s">
        <v>79</v>
      </c>
      <c r="O153" t="s">
        <v>74</v>
      </c>
      <c r="P153" t="s">
        <v>74</v>
      </c>
      <c r="Q153" t="s">
        <v>74</v>
      </c>
      <c r="R153" t="s">
        <v>74</v>
      </c>
      <c r="S153" t="s">
        <v>74</v>
      </c>
      <c r="T153" t="s">
        <v>3323</v>
      </c>
      <c r="U153" t="s">
        <v>3324</v>
      </c>
      <c r="V153" t="s">
        <v>3325</v>
      </c>
      <c r="W153" t="s">
        <v>3326</v>
      </c>
      <c r="X153" t="s">
        <v>3327</v>
      </c>
      <c r="Y153" t="s">
        <v>3328</v>
      </c>
      <c r="Z153" t="s">
        <v>3329</v>
      </c>
      <c r="AA153" t="s">
        <v>3330</v>
      </c>
      <c r="AB153" t="s">
        <v>3331</v>
      </c>
      <c r="AC153" t="s">
        <v>3332</v>
      </c>
      <c r="AD153" t="s">
        <v>3333</v>
      </c>
      <c r="AE153" t="s">
        <v>3334</v>
      </c>
      <c r="AF153" t="s">
        <v>74</v>
      </c>
      <c r="AG153">
        <v>130</v>
      </c>
      <c r="AH153">
        <v>0</v>
      </c>
      <c r="AI153">
        <v>0</v>
      </c>
      <c r="AJ153">
        <v>1</v>
      </c>
      <c r="AK153">
        <v>13</v>
      </c>
      <c r="AL153" t="s">
        <v>3335</v>
      </c>
      <c r="AM153" t="s">
        <v>3336</v>
      </c>
      <c r="AN153" t="s">
        <v>3337</v>
      </c>
      <c r="AO153" t="s">
        <v>3338</v>
      </c>
      <c r="AP153" t="s">
        <v>74</v>
      </c>
      <c r="AQ153" t="s">
        <v>74</v>
      </c>
      <c r="AR153" t="s">
        <v>3339</v>
      </c>
      <c r="AS153" t="s">
        <v>3340</v>
      </c>
      <c r="AT153" t="s">
        <v>3191</v>
      </c>
      <c r="AU153">
        <v>2021</v>
      </c>
      <c r="AV153">
        <v>9</v>
      </c>
      <c r="AW153">
        <v>1</v>
      </c>
      <c r="AX153" t="s">
        <v>74</v>
      </c>
      <c r="AY153" t="s">
        <v>74</v>
      </c>
      <c r="AZ153" t="s">
        <v>74</v>
      </c>
      <c r="BA153" t="s">
        <v>74</v>
      </c>
      <c r="BB153" t="s">
        <v>74</v>
      </c>
      <c r="BC153" t="s">
        <v>74</v>
      </c>
      <c r="BD153">
        <v>1</v>
      </c>
      <c r="BE153" t="s">
        <v>3341</v>
      </c>
      <c r="BF153" t="str">
        <f>HYPERLINK("http://dx.doi.org/10.1525/elementa.2021.00032","http://dx.doi.org/10.1525/elementa.2021.00032")</f>
        <v>http://dx.doi.org/10.1525/elementa.2021.00032</v>
      </c>
      <c r="BG153" t="s">
        <v>74</v>
      </c>
      <c r="BH153" t="s">
        <v>74</v>
      </c>
      <c r="BI153">
        <v>24</v>
      </c>
      <c r="BJ153" t="s">
        <v>100</v>
      </c>
      <c r="BK153" t="s">
        <v>101</v>
      </c>
      <c r="BL153" t="s">
        <v>102</v>
      </c>
      <c r="BM153" t="s">
        <v>3342</v>
      </c>
      <c r="BN153" t="s">
        <v>74</v>
      </c>
      <c r="BO153" t="s">
        <v>1094</v>
      </c>
      <c r="BP153" t="s">
        <v>74</v>
      </c>
      <c r="BQ153" t="s">
        <v>74</v>
      </c>
      <c r="BR153" t="s">
        <v>105</v>
      </c>
      <c r="BS153" t="s">
        <v>3343</v>
      </c>
      <c r="BT153" t="str">
        <f>HYPERLINK("https%3A%2F%2Fwww.webofscience.com%2Fwos%2Fwoscc%2Ffull-record%2FWOS:000716544400001","View Full Record in Web of Science")</f>
        <v>View Full Record in Web of Science</v>
      </c>
    </row>
    <row r="154" spans="1:72" x14ac:dyDescent="0.15">
      <c r="A154" t="s">
        <v>72</v>
      </c>
      <c r="B154" t="s">
        <v>3344</v>
      </c>
      <c r="C154" t="s">
        <v>74</v>
      </c>
      <c r="D154" t="s">
        <v>74</v>
      </c>
      <c r="E154" t="s">
        <v>74</v>
      </c>
      <c r="F154" t="s">
        <v>3345</v>
      </c>
      <c r="G154" t="s">
        <v>74</v>
      </c>
      <c r="H154" t="s">
        <v>74</v>
      </c>
      <c r="I154" t="s">
        <v>3346</v>
      </c>
      <c r="J154" t="s">
        <v>1279</v>
      </c>
      <c r="K154" t="s">
        <v>74</v>
      </c>
      <c r="L154" t="s">
        <v>74</v>
      </c>
      <c r="M154" t="s">
        <v>78</v>
      </c>
      <c r="N154" t="s">
        <v>79</v>
      </c>
      <c r="O154" t="s">
        <v>74</v>
      </c>
      <c r="P154" t="s">
        <v>74</v>
      </c>
      <c r="Q154" t="s">
        <v>74</v>
      </c>
      <c r="R154" t="s">
        <v>74</v>
      </c>
      <c r="S154" t="s">
        <v>74</v>
      </c>
      <c r="T154" t="s">
        <v>74</v>
      </c>
      <c r="U154" t="s">
        <v>3347</v>
      </c>
      <c r="V154" t="s">
        <v>3348</v>
      </c>
      <c r="W154" t="s">
        <v>3349</v>
      </c>
      <c r="X154" t="s">
        <v>3350</v>
      </c>
      <c r="Y154" t="s">
        <v>3351</v>
      </c>
      <c r="Z154" t="s">
        <v>3352</v>
      </c>
      <c r="AA154" t="s">
        <v>3353</v>
      </c>
      <c r="AB154" t="s">
        <v>3354</v>
      </c>
      <c r="AC154" t="s">
        <v>3355</v>
      </c>
      <c r="AD154" t="s">
        <v>3356</v>
      </c>
      <c r="AE154" t="s">
        <v>3357</v>
      </c>
      <c r="AF154" t="s">
        <v>74</v>
      </c>
      <c r="AG154">
        <v>73</v>
      </c>
      <c r="AH154">
        <v>31</v>
      </c>
      <c r="AI154">
        <v>31</v>
      </c>
      <c r="AJ154">
        <v>1</v>
      </c>
      <c r="AK154">
        <v>21</v>
      </c>
      <c r="AL154" t="s">
        <v>492</v>
      </c>
      <c r="AM154" t="s">
        <v>493</v>
      </c>
      <c r="AN154" t="s">
        <v>494</v>
      </c>
      <c r="AO154" t="s">
        <v>74</v>
      </c>
      <c r="AP154" t="s">
        <v>1291</v>
      </c>
      <c r="AQ154" t="s">
        <v>74</v>
      </c>
      <c r="AR154" t="s">
        <v>1292</v>
      </c>
      <c r="AS154" t="s">
        <v>1293</v>
      </c>
      <c r="AT154" t="s">
        <v>3191</v>
      </c>
      <c r="AU154">
        <v>2021</v>
      </c>
      <c r="AV154">
        <v>12</v>
      </c>
      <c r="AW154">
        <v>1</v>
      </c>
      <c r="AX154" t="s">
        <v>74</v>
      </c>
      <c r="AY154" t="s">
        <v>74</v>
      </c>
      <c r="AZ154" t="s">
        <v>74</v>
      </c>
      <c r="BA154" t="s">
        <v>74</v>
      </c>
      <c r="BB154" t="s">
        <v>74</v>
      </c>
      <c r="BC154" t="s">
        <v>74</v>
      </c>
      <c r="BD154">
        <v>6465</v>
      </c>
      <c r="BE154" t="s">
        <v>3358</v>
      </c>
      <c r="BF154" t="str">
        <f>HYPERLINK("http://dx.doi.org/10.1038/s41467-021-26658-1","http://dx.doi.org/10.1038/s41467-021-26658-1")</f>
        <v>http://dx.doi.org/10.1038/s41467-021-26658-1</v>
      </c>
      <c r="BG154" t="s">
        <v>74</v>
      </c>
      <c r="BH154" t="s">
        <v>74</v>
      </c>
      <c r="BI154">
        <v>8</v>
      </c>
      <c r="BJ154" t="s">
        <v>126</v>
      </c>
      <c r="BK154" t="s">
        <v>101</v>
      </c>
      <c r="BL154" t="s">
        <v>127</v>
      </c>
      <c r="BM154" t="s">
        <v>3359</v>
      </c>
      <c r="BN154">
        <v>34753912</v>
      </c>
      <c r="BO154" t="s">
        <v>1248</v>
      </c>
      <c r="BP154" t="s">
        <v>74</v>
      </c>
      <c r="BQ154" t="s">
        <v>74</v>
      </c>
      <c r="BR154" t="s">
        <v>105</v>
      </c>
      <c r="BS154" t="s">
        <v>3360</v>
      </c>
      <c r="BT154" t="str">
        <f>HYPERLINK("https%3A%2F%2Fwww.webofscience.com%2Fwos%2Fwoscc%2Ffull-record%2FWOS:000716589100009","View Full Record in Web of Science")</f>
        <v>View Full Record in Web of Science</v>
      </c>
    </row>
    <row r="155" spans="1:72" x14ac:dyDescent="0.15">
      <c r="A155" t="s">
        <v>72</v>
      </c>
      <c r="B155" t="s">
        <v>3361</v>
      </c>
      <c r="C155" t="s">
        <v>74</v>
      </c>
      <c r="D155" t="s">
        <v>74</v>
      </c>
      <c r="E155" t="s">
        <v>74</v>
      </c>
      <c r="F155" t="s">
        <v>3362</v>
      </c>
      <c r="G155" t="s">
        <v>74</v>
      </c>
      <c r="H155" t="s">
        <v>74</v>
      </c>
      <c r="I155" t="s">
        <v>3363</v>
      </c>
      <c r="J155" t="s">
        <v>1075</v>
      </c>
      <c r="K155" t="s">
        <v>74</v>
      </c>
      <c r="L155" t="s">
        <v>74</v>
      </c>
      <c r="M155" t="s">
        <v>78</v>
      </c>
      <c r="N155" t="s">
        <v>111</v>
      </c>
      <c r="O155" t="s">
        <v>74</v>
      </c>
      <c r="P155" t="s">
        <v>74</v>
      </c>
      <c r="Q155" t="s">
        <v>74</v>
      </c>
      <c r="R155" t="s">
        <v>74</v>
      </c>
      <c r="S155" t="s">
        <v>74</v>
      </c>
      <c r="T155" t="s">
        <v>74</v>
      </c>
      <c r="U155" t="s">
        <v>74</v>
      </c>
      <c r="V155" t="s">
        <v>74</v>
      </c>
      <c r="W155" t="s">
        <v>3364</v>
      </c>
      <c r="X155" t="s">
        <v>3365</v>
      </c>
      <c r="Y155" t="s">
        <v>3366</v>
      </c>
      <c r="Z155" t="s">
        <v>3367</v>
      </c>
      <c r="AA155" t="s">
        <v>3368</v>
      </c>
      <c r="AB155" t="s">
        <v>3369</v>
      </c>
      <c r="AC155" t="s">
        <v>74</v>
      </c>
      <c r="AD155" t="s">
        <v>74</v>
      </c>
      <c r="AE155" t="s">
        <v>74</v>
      </c>
      <c r="AF155" t="s">
        <v>74</v>
      </c>
      <c r="AG155">
        <v>1</v>
      </c>
      <c r="AH155">
        <v>1</v>
      </c>
      <c r="AI155">
        <v>1</v>
      </c>
      <c r="AJ155">
        <v>5</v>
      </c>
      <c r="AK155">
        <v>28</v>
      </c>
      <c r="AL155" t="s">
        <v>1088</v>
      </c>
      <c r="AM155" t="s">
        <v>333</v>
      </c>
      <c r="AN155" t="s">
        <v>1089</v>
      </c>
      <c r="AO155" t="s">
        <v>1090</v>
      </c>
      <c r="AP155" t="s">
        <v>74</v>
      </c>
      <c r="AQ155" t="s">
        <v>74</v>
      </c>
      <c r="AR155" t="s">
        <v>1075</v>
      </c>
      <c r="AS155" t="s">
        <v>1091</v>
      </c>
      <c r="AT155" t="s">
        <v>3191</v>
      </c>
      <c r="AU155">
        <v>2021</v>
      </c>
      <c r="AV155">
        <v>9</v>
      </c>
      <c r="AW155">
        <v>1</v>
      </c>
      <c r="AX155" t="s">
        <v>74</v>
      </c>
      <c r="AY155" t="s">
        <v>74</v>
      </c>
      <c r="AZ155" t="s">
        <v>74</v>
      </c>
      <c r="BA155" t="s">
        <v>74</v>
      </c>
      <c r="BB155" t="s">
        <v>74</v>
      </c>
      <c r="BC155" t="s">
        <v>74</v>
      </c>
      <c r="BD155">
        <v>221</v>
      </c>
      <c r="BE155" t="s">
        <v>3370</v>
      </c>
      <c r="BF155" t="str">
        <f>HYPERLINK("http://dx.doi.org/10.1186/s40168-021-01182-y","http://dx.doi.org/10.1186/s40168-021-01182-y")</f>
        <v>http://dx.doi.org/10.1186/s40168-021-01182-y</v>
      </c>
      <c r="BG155" t="s">
        <v>74</v>
      </c>
      <c r="BH155" t="s">
        <v>74</v>
      </c>
      <c r="BI155">
        <v>1</v>
      </c>
      <c r="BJ155" t="s">
        <v>975</v>
      </c>
      <c r="BK155" t="s">
        <v>101</v>
      </c>
      <c r="BL155" t="s">
        <v>975</v>
      </c>
      <c r="BM155" t="s">
        <v>3371</v>
      </c>
      <c r="BN155">
        <v>34753519</v>
      </c>
      <c r="BO155" t="s">
        <v>1094</v>
      </c>
      <c r="BP155" t="s">
        <v>74</v>
      </c>
      <c r="BQ155" t="s">
        <v>74</v>
      </c>
      <c r="BR155" t="s">
        <v>105</v>
      </c>
      <c r="BS155" t="s">
        <v>3372</v>
      </c>
      <c r="BT155" t="str">
        <f>HYPERLINK("https%3A%2F%2Fwww.webofscience.com%2Fwos%2Fwoscc%2Ffull-record%2FWOS:000716468400001","View Full Record in Web of Science")</f>
        <v>View Full Record in Web of Science</v>
      </c>
    </row>
    <row r="156" spans="1:72" x14ac:dyDescent="0.15">
      <c r="A156" t="s">
        <v>72</v>
      </c>
      <c r="B156" t="s">
        <v>3373</v>
      </c>
      <c r="C156" t="s">
        <v>74</v>
      </c>
      <c r="D156" t="s">
        <v>74</v>
      </c>
      <c r="E156" t="s">
        <v>74</v>
      </c>
      <c r="F156" t="s">
        <v>3374</v>
      </c>
      <c r="G156" t="s">
        <v>74</v>
      </c>
      <c r="H156" t="s">
        <v>74</v>
      </c>
      <c r="I156" t="s">
        <v>3375</v>
      </c>
      <c r="J156" t="s">
        <v>1058</v>
      </c>
      <c r="K156" t="s">
        <v>74</v>
      </c>
      <c r="L156" t="s">
        <v>74</v>
      </c>
      <c r="M156" t="s">
        <v>78</v>
      </c>
      <c r="N156" t="s">
        <v>79</v>
      </c>
      <c r="O156" t="s">
        <v>74</v>
      </c>
      <c r="P156" t="s">
        <v>74</v>
      </c>
      <c r="Q156" t="s">
        <v>74</v>
      </c>
      <c r="R156" t="s">
        <v>74</v>
      </c>
      <c r="S156" t="s">
        <v>74</v>
      </c>
      <c r="T156" t="s">
        <v>74</v>
      </c>
      <c r="U156" t="s">
        <v>3376</v>
      </c>
      <c r="V156" t="s">
        <v>3377</v>
      </c>
      <c r="W156" t="s">
        <v>3378</v>
      </c>
      <c r="X156" t="s">
        <v>3379</v>
      </c>
      <c r="Y156" t="s">
        <v>3380</v>
      </c>
      <c r="Z156" t="s">
        <v>3381</v>
      </c>
      <c r="AA156" t="s">
        <v>74</v>
      </c>
      <c r="AB156" t="s">
        <v>3382</v>
      </c>
      <c r="AC156" t="s">
        <v>3383</v>
      </c>
      <c r="AD156" t="s">
        <v>3384</v>
      </c>
      <c r="AE156" t="s">
        <v>3385</v>
      </c>
      <c r="AF156" t="s">
        <v>74</v>
      </c>
      <c r="AG156">
        <v>64</v>
      </c>
      <c r="AH156">
        <v>4</v>
      </c>
      <c r="AI156">
        <v>4</v>
      </c>
      <c r="AJ156">
        <v>0</v>
      </c>
      <c r="AK156">
        <v>6</v>
      </c>
      <c r="AL156" t="s">
        <v>227</v>
      </c>
      <c r="AM156" t="s">
        <v>228</v>
      </c>
      <c r="AN156" t="s">
        <v>229</v>
      </c>
      <c r="AO156" t="s">
        <v>1065</v>
      </c>
      <c r="AP156" t="s">
        <v>1066</v>
      </c>
      <c r="AQ156" t="s">
        <v>74</v>
      </c>
      <c r="AR156" t="s">
        <v>1058</v>
      </c>
      <c r="AS156" t="s">
        <v>1067</v>
      </c>
      <c r="AT156" t="s">
        <v>3191</v>
      </c>
      <c r="AU156">
        <v>2021</v>
      </c>
      <c r="AV156">
        <v>15</v>
      </c>
      <c r="AW156">
        <v>11</v>
      </c>
      <c r="AX156" t="s">
        <v>74</v>
      </c>
      <c r="AY156" t="s">
        <v>74</v>
      </c>
      <c r="AZ156" t="s">
        <v>74</v>
      </c>
      <c r="BA156" t="s">
        <v>74</v>
      </c>
      <c r="BB156">
        <v>5099</v>
      </c>
      <c r="BC156">
        <v>5114</v>
      </c>
      <c r="BD156" t="s">
        <v>74</v>
      </c>
      <c r="BE156" t="s">
        <v>3386</v>
      </c>
      <c r="BF156" t="str">
        <f>HYPERLINK("http://dx.doi.org/10.5194/tc-15-5099-2021","http://dx.doi.org/10.5194/tc-15-5099-2021")</f>
        <v>http://dx.doi.org/10.5194/tc-15-5099-2021</v>
      </c>
      <c r="BG156" t="s">
        <v>74</v>
      </c>
      <c r="BH156" t="s">
        <v>74</v>
      </c>
      <c r="BI156">
        <v>16</v>
      </c>
      <c r="BJ156" t="s">
        <v>340</v>
      </c>
      <c r="BK156" t="s">
        <v>101</v>
      </c>
      <c r="BL156" t="s">
        <v>341</v>
      </c>
      <c r="BM156" t="s">
        <v>3387</v>
      </c>
      <c r="BN156" t="s">
        <v>74</v>
      </c>
      <c r="BO156" t="s">
        <v>1797</v>
      </c>
      <c r="BP156" t="s">
        <v>74</v>
      </c>
      <c r="BQ156" t="s">
        <v>74</v>
      </c>
      <c r="BR156" t="s">
        <v>105</v>
      </c>
      <c r="BS156" t="s">
        <v>3388</v>
      </c>
      <c r="BT156" t="str">
        <f>HYPERLINK("https%3A%2F%2Fwww.webofscience.com%2Fwos%2Fwoscc%2Ffull-record%2FWOS:000716458100001","View Full Record in Web of Science")</f>
        <v>View Full Record in Web of Science</v>
      </c>
    </row>
    <row r="157" spans="1:72" x14ac:dyDescent="0.15">
      <c r="A157" t="s">
        <v>72</v>
      </c>
      <c r="B157" t="s">
        <v>3389</v>
      </c>
      <c r="C157" t="s">
        <v>74</v>
      </c>
      <c r="D157" t="s">
        <v>74</v>
      </c>
      <c r="E157" t="s">
        <v>74</v>
      </c>
      <c r="F157" t="s">
        <v>3390</v>
      </c>
      <c r="G157" t="s">
        <v>74</v>
      </c>
      <c r="H157" t="s">
        <v>74</v>
      </c>
      <c r="I157" t="s">
        <v>3391</v>
      </c>
      <c r="J157" t="s">
        <v>3392</v>
      </c>
      <c r="K157" t="s">
        <v>74</v>
      </c>
      <c r="L157" t="s">
        <v>74</v>
      </c>
      <c r="M157" t="s">
        <v>78</v>
      </c>
      <c r="N157" t="s">
        <v>79</v>
      </c>
      <c r="O157" t="s">
        <v>74</v>
      </c>
      <c r="P157" t="s">
        <v>74</v>
      </c>
      <c r="Q157" t="s">
        <v>74</v>
      </c>
      <c r="R157" t="s">
        <v>74</v>
      </c>
      <c r="S157" t="s">
        <v>74</v>
      </c>
      <c r="T157" t="s">
        <v>3393</v>
      </c>
      <c r="U157" t="s">
        <v>3394</v>
      </c>
      <c r="V157" t="s">
        <v>3395</v>
      </c>
      <c r="W157" t="s">
        <v>3396</v>
      </c>
      <c r="X157" t="s">
        <v>3397</v>
      </c>
      <c r="Y157" t="s">
        <v>3398</v>
      </c>
      <c r="Z157" t="s">
        <v>3399</v>
      </c>
      <c r="AA157" t="s">
        <v>3400</v>
      </c>
      <c r="AB157" t="s">
        <v>3401</v>
      </c>
      <c r="AC157" t="s">
        <v>3402</v>
      </c>
      <c r="AD157" t="s">
        <v>3403</v>
      </c>
      <c r="AE157" t="s">
        <v>3404</v>
      </c>
      <c r="AF157" t="s">
        <v>74</v>
      </c>
      <c r="AG157">
        <v>101</v>
      </c>
      <c r="AH157">
        <v>4</v>
      </c>
      <c r="AI157">
        <v>4</v>
      </c>
      <c r="AJ157">
        <v>0</v>
      </c>
      <c r="AK157">
        <v>15</v>
      </c>
      <c r="AL157" t="s">
        <v>118</v>
      </c>
      <c r="AM157" t="s">
        <v>119</v>
      </c>
      <c r="AN157" t="s">
        <v>120</v>
      </c>
      <c r="AO157" t="s">
        <v>3405</v>
      </c>
      <c r="AP157" t="s">
        <v>3406</v>
      </c>
      <c r="AQ157" t="s">
        <v>74</v>
      </c>
      <c r="AR157" t="s">
        <v>3407</v>
      </c>
      <c r="AS157" t="s">
        <v>3408</v>
      </c>
      <c r="AT157" t="s">
        <v>525</v>
      </c>
      <c r="AU157">
        <v>2022</v>
      </c>
      <c r="AV157">
        <v>22</v>
      </c>
      <c r="AW157">
        <v>1</v>
      </c>
      <c r="AX157" t="s">
        <v>74</v>
      </c>
      <c r="AY157" t="s">
        <v>74</v>
      </c>
      <c r="AZ157" t="s">
        <v>74</v>
      </c>
      <c r="BA157" t="s">
        <v>74</v>
      </c>
      <c r="BB157">
        <v>35</v>
      </c>
      <c r="BC157">
        <v>53</v>
      </c>
      <c r="BD157" t="s">
        <v>74</v>
      </c>
      <c r="BE157" t="s">
        <v>3409</v>
      </c>
      <c r="BF157" t="str">
        <f>HYPERLINK("http://dx.doi.org/10.1007/s10142-021-00815-7","http://dx.doi.org/10.1007/s10142-021-00815-7")</f>
        <v>http://dx.doi.org/10.1007/s10142-021-00815-7</v>
      </c>
      <c r="BG157" t="s">
        <v>74</v>
      </c>
      <c r="BH157" t="s">
        <v>263</v>
      </c>
      <c r="BI157">
        <v>19</v>
      </c>
      <c r="BJ157" t="s">
        <v>3410</v>
      </c>
      <c r="BK157" t="s">
        <v>101</v>
      </c>
      <c r="BL157" t="s">
        <v>3410</v>
      </c>
      <c r="BM157" t="s">
        <v>3411</v>
      </c>
      <c r="BN157">
        <v>34751851</v>
      </c>
      <c r="BO157" t="s">
        <v>74</v>
      </c>
      <c r="BP157" t="s">
        <v>74</v>
      </c>
      <c r="BQ157" t="s">
        <v>74</v>
      </c>
      <c r="BR157" t="s">
        <v>105</v>
      </c>
      <c r="BS157" t="s">
        <v>3412</v>
      </c>
      <c r="BT157" t="str">
        <f>HYPERLINK("https%3A%2F%2Fwww.webofscience.com%2Fwos%2Fwoscc%2Ffull-record%2FWOS:000716373400001","View Full Record in Web of Science")</f>
        <v>View Full Record in Web of Science</v>
      </c>
    </row>
    <row r="158" spans="1:72" x14ac:dyDescent="0.15">
      <c r="A158" t="s">
        <v>72</v>
      </c>
      <c r="B158" t="s">
        <v>3413</v>
      </c>
      <c r="C158" t="s">
        <v>74</v>
      </c>
      <c r="D158" t="s">
        <v>74</v>
      </c>
      <c r="E158" t="s">
        <v>74</v>
      </c>
      <c r="F158" t="s">
        <v>3414</v>
      </c>
      <c r="G158" t="s">
        <v>74</v>
      </c>
      <c r="H158" t="s">
        <v>74</v>
      </c>
      <c r="I158" t="s">
        <v>3415</v>
      </c>
      <c r="J158" t="s">
        <v>3416</v>
      </c>
      <c r="K158" t="s">
        <v>74</v>
      </c>
      <c r="L158" t="s">
        <v>74</v>
      </c>
      <c r="M158" t="s">
        <v>78</v>
      </c>
      <c r="N158" t="s">
        <v>79</v>
      </c>
      <c r="O158" t="s">
        <v>74</v>
      </c>
      <c r="P158" t="s">
        <v>74</v>
      </c>
      <c r="Q158" t="s">
        <v>74</v>
      </c>
      <c r="R158" t="s">
        <v>74</v>
      </c>
      <c r="S158" t="s">
        <v>74</v>
      </c>
      <c r="T158" t="s">
        <v>3417</v>
      </c>
      <c r="U158" t="s">
        <v>3418</v>
      </c>
      <c r="V158" t="s">
        <v>3419</v>
      </c>
      <c r="W158" t="s">
        <v>3420</v>
      </c>
      <c r="X158" t="s">
        <v>3421</v>
      </c>
      <c r="Y158" t="s">
        <v>3422</v>
      </c>
      <c r="Z158" t="s">
        <v>3423</v>
      </c>
      <c r="AA158" t="s">
        <v>3424</v>
      </c>
      <c r="AB158" t="s">
        <v>3425</v>
      </c>
      <c r="AC158" t="s">
        <v>3426</v>
      </c>
      <c r="AD158" t="s">
        <v>3427</v>
      </c>
      <c r="AE158" t="s">
        <v>3428</v>
      </c>
      <c r="AF158" t="s">
        <v>74</v>
      </c>
      <c r="AG158">
        <v>28</v>
      </c>
      <c r="AH158">
        <v>1</v>
      </c>
      <c r="AI158">
        <v>1</v>
      </c>
      <c r="AJ158">
        <v>1</v>
      </c>
      <c r="AK158">
        <v>21</v>
      </c>
      <c r="AL158" t="s">
        <v>169</v>
      </c>
      <c r="AM158" t="s">
        <v>520</v>
      </c>
      <c r="AN158" t="s">
        <v>521</v>
      </c>
      <c r="AO158" t="s">
        <v>3429</v>
      </c>
      <c r="AP158" t="s">
        <v>3430</v>
      </c>
      <c r="AQ158" t="s">
        <v>74</v>
      </c>
      <c r="AR158" t="s">
        <v>3431</v>
      </c>
      <c r="AS158" t="s">
        <v>3432</v>
      </c>
      <c r="AT158" t="s">
        <v>338</v>
      </c>
      <c r="AU158">
        <v>2022</v>
      </c>
      <c r="AV158">
        <v>14</v>
      </c>
      <c r="AW158">
        <v>1</v>
      </c>
      <c r="AX158" t="s">
        <v>74</v>
      </c>
      <c r="AY158" t="s">
        <v>74</v>
      </c>
      <c r="AZ158" t="s">
        <v>74</v>
      </c>
      <c r="BA158" t="s">
        <v>74</v>
      </c>
      <c r="BB158">
        <v>85</v>
      </c>
      <c r="BC158">
        <v>97</v>
      </c>
      <c r="BD158" t="s">
        <v>74</v>
      </c>
      <c r="BE158" t="s">
        <v>3433</v>
      </c>
      <c r="BF158" t="str">
        <f>HYPERLINK("http://dx.doi.org/10.1007/s12686-021-01241-4","http://dx.doi.org/10.1007/s12686-021-01241-4")</f>
        <v>http://dx.doi.org/10.1007/s12686-021-01241-4</v>
      </c>
      <c r="BG158" t="s">
        <v>74</v>
      </c>
      <c r="BH158" t="s">
        <v>263</v>
      </c>
      <c r="BI158">
        <v>13</v>
      </c>
      <c r="BJ158" t="s">
        <v>3434</v>
      </c>
      <c r="BK158" t="s">
        <v>101</v>
      </c>
      <c r="BL158" t="s">
        <v>3435</v>
      </c>
      <c r="BM158" t="s">
        <v>3436</v>
      </c>
      <c r="BN158" t="s">
        <v>74</v>
      </c>
      <c r="BO158" t="s">
        <v>419</v>
      </c>
      <c r="BP158" t="s">
        <v>74</v>
      </c>
      <c r="BQ158" t="s">
        <v>74</v>
      </c>
      <c r="BR158" t="s">
        <v>105</v>
      </c>
      <c r="BS158" t="s">
        <v>3437</v>
      </c>
      <c r="BT158" t="str">
        <f>HYPERLINK("https%3A%2F%2Fwww.webofscience.com%2Fwos%2Fwoscc%2Ffull-record%2FWOS:000716226500001","View Full Record in Web of Science")</f>
        <v>View Full Record in Web of Science</v>
      </c>
    </row>
    <row r="159" spans="1:72" x14ac:dyDescent="0.15">
      <c r="A159" t="s">
        <v>72</v>
      </c>
      <c r="B159" t="s">
        <v>3438</v>
      </c>
      <c r="C159" t="s">
        <v>74</v>
      </c>
      <c r="D159" t="s">
        <v>74</v>
      </c>
      <c r="E159" t="s">
        <v>74</v>
      </c>
      <c r="F159" t="s">
        <v>3439</v>
      </c>
      <c r="G159" t="s">
        <v>74</v>
      </c>
      <c r="H159" t="s">
        <v>74</v>
      </c>
      <c r="I159" t="s">
        <v>3440</v>
      </c>
      <c r="J159" t="s">
        <v>507</v>
      </c>
      <c r="K159" t="s">
        <v>74</v>
      </c>
      <c r="L159" t="s">
        <v>74</v>
      </c>
      <c r="M159" t="s">
        <v>78</v>
      </c>
      <c r="N159" t="s">
        <v>79</v>
      </c>
      <c r="O159" t="s">
        <v>74</v>
      </c>
      <c r="P159" t="s">
        <v>74</v>
      </c>
      <c r="Q159" t="s">
        <v>74</v>
      </c>
      <c r="R159" t="s">
        <v>74</v>
      </c>
      <c r="S159" t="s">
        <v>74</v>
      </c>
      <c r="T159" t="s">
        <v>3441</v>
      </c>
      <c r="U159" t="s">
        <v>3442</v>
      </c>
      <c r="V159" t="s">
        <v>3443</v>
      </c>
      <c r="W159" t="s">
        <v>3444</v>
      </c>
      <c r="X159" t="s">
        <v>3445</v>
      </c>
      <c r="Y159" t="s">
        <v>3446</v>
      </c>
      <c r="Z159" t="s">
        <v>3447</v>
      </c>
      <c r="AA159" t="s">
        <v>3448</v>
      </c>
      <c r="AB159" t="s">
        <v>3449</v>
      </c>
      <c r="AC159" t="s">
        <v>3450</v>
      </c>
      <c r="AD159" t="s">
        <v>3451</v>
      </c>
      <c r="AE159" t="s">
        <v>3452</v>
      </c>
      <c r="AF159" t="s">
        <v>74</v>
      </c>
      <c r="AG159">
        <v>45</v>
      </c>
      <c r="AH159">
        <v>4</v>
      </c>
      <c r="AI159">
        <v>5</v>
      </c>
      <c r="AJ159">
        <v>2</v>
      </c>
      <c r="AK159">
        <v>13</v>
      </c>
      <c r="AL159" t="s">
        <v>169</v>
      </c>
      <c r="AM159" t="s">
        <v>520</v>
      </c>
      <c r="AN159" t="s">
        <v>521</v>
      </c>
      <c r="AO159" t="s">
        <v>522</v>
      </c>
      <c r="AP159" t="s">
        <v>523</v>
      </c>
      <c r="AQ159" t="s">
        <v>74</v>
      </c>
      <c r="AR159" t="s">
        <v>507</v>
      </c>
      <c r="AS159" t="s">
        <v>524</v>
      </c>
      <c r="AT159" t="s">
        <v>525</v>
      </c>
      <c r="AU159">
        <v>2022</v>
      </c>
      <c r="AV159">
        <v>51</v>
      </c>
      <c r="AW159">
        <v>2</v>
      </c>
      <c r="AX159" t="s">
        <v>74</v>
      </c>
      <c r="AY159" t="s">
        <v>74</v>
      </c>
      <c r="AZ159" t="s">
        <v>526</v>
      </c>
      <c r="BA159" t="s">
        <v>74</v>
      </c>
      <c r="BB159">
        <v>345</v>
      </c>
      <c r="BC159">
        <v>354</v>
      </c>
      <c r="BD159" t="s">
        <v>74</v>
      </c>
      <c r="BE159" t="s">
        <v>3453</v>
      </c>
      <c r="BF159" t="str">
        <f>HYPERLINK("http://dx.doi.org/10.1007/s13280-021-01650-7","http://dx.doi.org/10.1007/s13280-021-01650-7")</f>
        <v>http://dx.doi.org/10.1007/s13280-021-01650-7</v>
      </c>
      <c r="BG159" t="s">
        <v>74</v>
      </c>
      <c r="BH159" t="s">
        <v>263</v>
      </c>
      <c r="BI159">
        <v>10</v>
      </c>
      <c r="BJ159" t="s">
        <v>528</v>
      </c>
      <c r="BK159" t="s">
        <v>101</v>
      </c>
      <c r="BL159" t="s">
        <v>529</v>
      </c>
      <c r="BM159" t="s">
        <v>530</v>
      </c>
      <c r="BN159">
        <v>34751933</v>
      </c>
      <c r="BO159" t="s">
        <v>1511</v>
      </c>
      <c r="BP159" t="s">
        <v>74</v>
      </c>
      <c r="BQ159" t="s">
        <v>74</v>
      </c>
      <c r="BR159" t="s">
        <v>105</v>
      </c>
      <c r="BS159" t="s">
        <v>3454</v>
      </c>
      <c r="BT159" t="str">
        <f>HYPERLINK("https%3A%2F%2Fwww.webofscience.com%2Fwos%2Fwoscc%2Ffull-record%2FWOS:000716244300002","View Full Record in Web of Science")</f>
        <v>View Full Record in Web of Science</v>
      </c>
    </row>
    <row r="160" spans="1:72" x14ac:dyDescent="0.15">
      <c r="A160" t="s">
        <v>72</v>
      </c>
      <c r="B160" t="s">
        <v>3455</v>
      </c>
      <c r="C160" t="s">
        <v>74</v>
      </c>
      <c r="D160" t="s">
        <v>74</v>
      </c>
      <c r="E160" t="s">
        <v>74</v>
      </c>
      <c r="F160" t="s">
        <v>3456</v>
      </c>
      <c r="G160" t="s">
        <v>74</v>
      </c>
      <c r="H160" t="s">
        <v>74</v>
      </c>
      <c r="I160" t="s">
        <v>3457</v>
      </c>
      <c r="J160" t="s">
        <v>3458</v>
      </c>
      <c r="K160" t="s">
        <v>74</v>
      </c>
      <c r="L160" t="s">
        <v>74</v>
      </c>
      <c r="M160" t="s">
        <v>78</v>
      </c>
      <c r="N160" t="s">
        <v>79</v>
      </c>
      <c r="O160" t="s">
        <v>74</v>
      </c>
      <c r="P160" t="s">
        <v>74</v>
      </c>
      <c r="Q160" t="s">
        <v>74</v>
      </c>
      <c r="R160" t="s">
        <v>74</v>
      </c>
      <c r="S160" t="s">
        <v>74</v>
      </c>
      <c r="T160" t="s">
        <v>3459</v>
      </c>
      <c r="U160" t="s">
        <v>3460</v>
      </c>
      <c r="V160" t="s">
        <v>3461</v>
      </c>
      <c r="W160" t="s">
        <v>3462</v>
      </c>
      <c r="X160" t="s">
        <v>3463</v>
      </c>
      <c r="Y160" t="s">
        <v>3464</v>
      </c>
      <c r="Z160" t="s">
        <v>3465</v>
      </c>
      <c r="AA160" t="s">
        <v>3466</v>
      </c>
      <c r="AB160" t="s">
        <v>74</v>
      </c>
      <c r="AC160" t="s">
        <v>3467</v>
      </c>
      <c r="AD160" t="s">
        <v>3468</v>
      </c>
      <c r="AE160" t="s">
        <v>3469</v>
      </c>
      <c r="AF160" t="s">
        <v>74</v>
      </c>
      <c r="AG160">
        <v>57</v>
      </c>
      <c r="AH160">
        <v>2</v>
      </c>
      <c r="AI160">
        <v>2</v>
      </c>
      <c r="AJ160">
        <v>4</v>
      </c>
      <c r="AK160">
        <v>29</v>
      </c>
      <c r="AL160" t="s">
        <v>1714</v>
      </c>
      <c r="AM160" t="s">
        <v>256</v>
      </c>
      <c r="AN160" t="s">
        <v>1715</v>
      </c>
      <c r="AO160" t="s">
        <v>3470</v>
      </c>
      <c r="AP160" t="s">
        <v>3471</v>
      </c>
      <c r="AQ160" t="s">
        <v>74</v>
      </c>
      <c r="AR160" t="s">
        <v>3472</v>
      </c>
      <c r="AS160" t="s">
        <v>3473</v>
      </c>
      <c r="AT160" t="s">
        <v>416</v>
      </c>
      <c r="AU160">
        <v>2022</v>
      </c>
      <c r="AV160">
        <v>49</v>
      </c>
      <c r="AW160">
        <v>1</v>
      </c>
      <c r="AX160" t="s">
        <v>74</v>
      </c>
      <c r="AY160" t="s">
        <v>74</v>
      </c>
      <c r="AZ160" t="s">
        <v>74</v>
      </c>
      <c r="BA160" t="s">
        <v>74</v>
      </c>
      <c r="BB160" t="s">
        <v>74</v>
      </c>
      <c r="BC160" t="s">
        <v>74</v>
      </c>
      <c r="BD160" t="s">
        <v>3474</v>
      </c>
      <c r="BE160" t="s">
        <v>3475</v>
      </c>
      <c r="BF160" t="str">
        <f>HYPERLINK("http://dx.doi.org/10.1093/jimb/kuab073","http://dx.doi.org/10.1093/jimb/kuab073")</f>
        <v>http://dx.doi.org/10.1093/jimb/kuab073</v>
      </c>
      <c r="BG160" t="s">
        <v>74</v>
      </c>
      <c r="BH160" t="s">
        <v>263</v>
      </c>
      <c r="BI160">
        <v>11</v>
      </c>
      <c r="BJ160" t="s">
        <v>3476</v>
      </c>
      <c r="BK160" t="s">
        <v>101</v>
      </c>
      <c r="BL160" t="s">
        <v>3476</v>
      </c>
      <c r="BM160" t="s">
        <v>3477</v>
      </c>
      <c r="BN160">
        <v>34661657</v>
      </c>
      <c r="BO160" t="s">
        <v>343</v>
      </c>
      <c r="BP160" t="s">
        <v>74</v>
      </c>
      <c r="BQ160" t="s">
        <v>74</v>
      </c>
      <c r="BR160" t="s">
        <v>105</v>
      </c>
      <c r="BS160" t="s">
        <v>3478</v>
      </c>
      <c r="BT160" t="str">
        <f>HYPERLINK("https%3A%2F%2Fwww.webofscience.com%2Fwos%2Fwoscc%2Ffull-record%2FWOS:000744668300006","View Full Record in Web of Science")</f>
        <v>View Full Record in Web of Science</v>
      </c>
    </row>
    <row r="161" spans="1:72" x14ac:dyDescent="0.15">
      <c r="A161" t="s">
        <v>72</v>
      </c>
      <c r="B161" t="s">
        <v>3479</v>
      </c>
      <c r="C161" t="s">
        <v>74</v>
      </c>
      <c r="D161" t="s">
        <v>74</v>
      </c>
      <c r="E161" t="s">
        <v>74</v>
      </c>
      <c r="F161" t="s">
        <v>3480</v>
      </c>
      <c r="G161" t="s">
        <v>74</v>
      </c>
      <c r="H161" t="s">
        <v>74</v>
      </c>
      <c r="I161" t="s">
        <v>3481</v>
      </c>
      <c r="J161" t="s">
        <v>981</v>
      </c>
      <c r="K161" t="s">
        <v>74</v>
      </c>
      <c r="L161" t="s">
        <v>74</v>
      </c>
      <c r="M161" t="s">
        <v>78</v>
      </c>
      <c r="N161" t="s">
        <v>79</v>
      </c>
      <c r="O161" t="s">
        <v>74</v>
      </c>
      <c r="P161" t="s">
        <v>74</v>
      </c>
      <c r="Q161" t="s">
        <v>74</v>
      </c>
      <c r="R161" t="s">
        <v>74</v>
      </c>
      <c r="S161" t="s">
        <v>74</v>
      </c>
      <c r="T161" t="s">
        <v>74</v>
      </c>
      <c r="U161" t="s">
        <v>3482</v>
      </c>
      <c r="V161" t="s">
        <v>3483</v>
      </c>
      <c r="W161" t="s">
        <v>3484</v>
      </c>
      <c r="X161" t="s">
        <v>3485</v>
      </c>
      <c r="Y161" t="s">
        <v>3486</v>
      </c>
      <c r="Z161" t="s">
        <v>3487</v>
      </c>
      <c r="AA161" t="s">
        <v>3488</v>
      </c>
      <c r="AB161" t="s">
        <v>3489</v>
      </c>
      <c r="AC161" t="s">
        <v>3490</v>
      </c>
      <c r="AD161" t="s">
        <v>1586</v>
      </c>
      <c r="AE161" t="s">
        <v>3491</v>
      </c>
      <c r="AF161" t="s">
        <v>74</v>
      </c>
      <c r="AG161">
        <v>53</v>
      </c>
      <c r="AH161">
        <v>17</v>
      </c>
      <c r="AI161">
        <v>18</v>
      </c>
      <c r="AJ161">
        <v>2</v>
      </c>
      <c r="AK161">
        <v>5</v>
      </c>
      <c r="AL161" t="s">
        <v>666</v>
      </c>
      <c r="AM161" t="s">
        <v>994</v>
      </c>
      <c r="AN161" t="s">
        <v>995</v>
      </c>
      <c r="AO161" t="s">
        <v>996</v>
      </c>
      <c r="AP161" t="s">
        <v>997</v>
      </c>
      <c r="AQ161" t="s">
        <v>74</v>
      </c>
      <c r="AR161" t="s">
        <v>998</v>
      </c>
      <c r="AS161" t="s">
        <v>999</v>
      </c>
      <c r="AT161" t="s">
        <v>1978</v>
      </c>
      <c r="AU161">
        <v>2022</v>
      </c>
      <c r="AV161">
        <v>68</v>
      </c>
      <c r="AW161">
        <v>269</v>
      </c>
      <c r="AX161" t="s">
        <v>74</v>
      </c>
      <c r="AY161" t="s">
        <v>74</v>
      </c>
      <c r="AZ161" t="s">
        <v>74</v>
      </c>
      <c r="BA161" t="s">
        <v>74</v>
      </c>
      <c r="BB161">
        <v>533</v>
      </c>
      <c r="BC161">
        <v>546</v>
      </c>
      <c r="BD161" t="s">
        <v>3492</v>
      </c>
      <c r="BE161" t="s">
        <v>3493</v>
      </c>
      <c r="BF161" t="str">
        <f>HYPERLINK("http://dx.doi.org/10.1017/jog.2021.112","http://dx.doi.org/10.1017/jog.2021.112")</f>
        <v>http://dx.doi.org/10.1017/jog.2021.112</v>
      </c>
      <c r="BG161" t="s">
        <v>74</v>
      </c>
      <c r="BH161" t="s">
        <v>263</v>
      </c>
      <c r="BI161">
        <v>14</v>
      </c>
      <c r="BJ161" t="s">
        <v>340</v>
      </c>
      <c r="BK161" t="s">
        <v>101</v>
      </c>
      <c r="BL161" t="s">
        <v>341</v>
      </c>
      <c r="BM161" t="s">
        <v>1981</v>
      </c>
      <c r="BN161" t="s">
        <v>74</v>
      </c>
      <c r="BO161" t="s">
        <v>394</v>
      </c>
      <c r="BP161" t="s">
        <v>74</v>
      </c>
      <c r="BQ161" t="s">
        <v>74</v>
      </c>
      <c r="BR161" t="s">
        <v>105</v>
      </c>
      <c r="BS161" t="s">
        <v>3494</v>
      </c>
      <c r="BT161" t="str">
        <f>HYPERLINK("https%3A%2F%2Fwww.webofscience.com%2Fwos%2Fwoscc%2Ffull-record%2FWOS:000774806700001","View Full Record in Web of Science")</f>
        <v>View Full Record in Web of Science</v>
      </c>
    </row>
    <row r="162" spans="1:72" x14ac:dyDescent="0.15">
      <c r="A162" t="s">
        <v>72</v>
      </c>
      <c r="B162" t="s">
        <v>3495</v>
      </c>
      <c r="C162" t="s">
        <v>74</v>
      </c>
      <c r="D162" t="s">
        <v>74</v>
      </c>
      <c r="E162" t="s">
        <v>74</v>
      </c>
      <c r="F162" t="s">
        <v>3496</v>
      </c>
      <c r="G162" t="s">
        <v>74</v>
      </c>
      <c r="H162" t="s">
        <v>74</v>
      </c>
      <c r="I162" t="s">
        <v>3497</v>
      </c>
      <c r="J162" t="s">
        <v>3498</v>
      </c>
      <c r="K162" t="s">
        <v>74</v>
      </c>
      <c r="L162" t="s">
        <v>74</v>
      </c>
      <c r="M162" t="s">
        <v>78</v>
      </c>
      <c r="N162" t="s">
        <v>1764</v>
      </c>
      <c r="O162" t="s">
        <v>74</v>
      </c>
      <c r="P162" t="s">
        <v>74</v>
      </c>
      <c r="Q162" t="s">
        <v>74</v>
      </c>
      <c r="R162" t="s">
        <v>74</v>
      </c>
      <c r="S162" t="s">
        <v>74</v>
      </c>
      <c r="T162" t="s">
        <v>74</v>
      </c>
      <c r="U162" t="s">
        <v>3499</v>
      </c>
      <c r="V162" t="s">
        <v>3500</v>
      </c>
      <c r="W162" t="s">
        <v>3501</v>
      </c>
      <c r="X162" t="s">
        <v>1768</v>
      </c>
      <c r="Y162" t="s">
        <v>3502</v>
      </c>
      <c r="Z162" t="s">
        <v>3503</v>
      </c>
      <c r="AA162" t="s">
        <v>3504</v>
      </c>
      <c r="AB162" t="s">
        <v>3505</v>
      </c>
      <c r="AC162" t="s">
        <v>74</v>
      </c>
      <c r="AD162" t="s">
        <v>74</v>
      </c>
      <c r="AE162" t="s">
        <v>74</v>
      </c>
      <c r="AF162" t="s">
        <v>74</v>
      </c>
      <c r="AG162">
        <v>20</v>
      </c>
      <c r="AH162">
        <v>8</v>
      </c>
      <c r="AI162">
        <v>8</v>
      </c>
      <c r="AJ162">
        <v>0</v>
      </c>
      <c r="AK162">
        <v>12</v>
      </c>
      <c r="AL162" t="s">
        <v>3506</v>
      </c>
      <c r="AM162" t="s">
        <v>994</v>
      </c>
      <c r="AN162" t="s">
        <v>3507</v>
      </c>
      <c r="AO162" t="s">
        <v>3508</v>
      </c>
      <c r="AP162" t="s">
        <v>3509</v>
      </c>
      <c r="AQ162" t="s">
        <v>74</v>
      </c>
      <c r="AR162" t="s">
        <v>3510</v>
      </c>
      <c r="AS162" t="s">
        <v>3511</v>
      </c>
      <c r="AT162" t="s">
        <v>3512</v>
      </c>
      <c r="AU162">
        <v>2021</v>
      </c>
      <c r="AV162">
        <v>31</v>
      </c>
      <c r="AW162">
        <v>21</v>
      </c>
      <c r="AX162" t="s">
        <v>74</v>
      </c>
      <c r="AY162" t="s">
        <v>74</v>
      </c>
      <c r="AZ162" t="s">
        <v>74</v>
      </c>
      <c r="BA162" t="s">
        <v>74</v>
      </c>
      <c r="BB162" t="s">
        <v>3513</v>
      </c>
      <c r="BC162" t="s">
        <v>3514</v>
      </c>
      <c r="BD162" t="s">
        <v>74</v>
      </c>
      <c r="BE162" t="s">
        <v>3515</v>
      </c>
      <c r="BF162" t="str">
        <f>HYPERLINK("http://dx.doi.org/10.1016/j.cub.2021.09.063","http://dx.doi.org/10.1016/j.cub.2021.09.063")</f>
        <v>http://dx.doi.org/10.1016/j.cub.2021.09.063</v>
      </c>
      <c r="BG162" t="s">
        <v>74</v>
      </c>
      <c r="BH162" t="s">
        <v>263</v>
      </c>
      <c r="BI162">
        <v>3</v>
      </c>
      <c r="BJ162" t="s">
        <v>3516</v>
      </c>
      <c r="BK162" t="s">
        <v>101</v>
      </c>
      <c r="BL162" t="s">
        <v>3517</v>
      </c>
      <c r="BM162" t="s">
        <v>3518</v>
      </c>
      <c r="BN162">
        <v>34752774</v>
      </c>
      <c r="BO162" t="s">
        <v>1471</v>
      </c>
      <c r="BP162" t="s">
        <v>74</v>
      </c>
      <c r="BQ162" t="s">
        <v>74</v>
      </c>
      <c r="BR162" t="s">
        <v>105</v>
      </c>
      <c r="BS162" t="s">
        <v>3519</v>
      </c>
      <c r="BT162" t="str">
        <f>HYPERLINK("https%3A%2F%2Fwww.webofscience.com%2Fwos%2Fwoscc%2Ffull-record%2FWOS:000718144700016","View Full Record in Web of Science")</f>
        <v>View Full Record in Web of Science</v>
      </c>
    </row>
    <row r="163" spans="1:72" x14ac:dyDescent="0.15">
      <c r="A163" t="s">
        <v>72</v>
      </c>
      <c r="B163" t="s">
        <v>3520</v>
      </c>
      <c r="C163" t="s">
        <v>74</v>
      </c>
      <c r="D163" t="s">
        <v>74</v>
      </c>
      <c r="E163" t="s">
        <v>74</v>
      </c>
      <c r="F163" t="s">
        <v>3521</v>
      </c>
      <c r="G163" t="s">
        <v>74</v>
      </c>
      <c r="H163" t="s">
        <v>74</v>
      </c>
      <c r="I163" t="s">
        <v>3522</v>
      </c>
      <c r="J163" t="s">
        <v>1338</v>
      </c>
      <c r="K163" t="s">
        <v>74</v>
      </c>
      <c r="L163" t="s">
        <v>74</v>
      </c>
      <c r="M163" t="s">
        <v>78</v>
      </c>
      <c r="N163" t="s">
        <v>79</v>
      </c>
      <c r="O163" t="s">
        <v>74</v>
      </c>
      <c r="P163" t="s">
        <v>74</v>
      </c>
      <c r="Q163" t="s">
        <v>74</v>
      </c>
      <c r="R163" t="s">
        <v>74</v>
      </c>
      <c r="S163" t="s">
        <v>74</v>
      </c>
      <c r="T163" t="s">
        <v>74</v>
      </c>
      <c r="U163" t="s">
        <v>3523</v>
      </c>
      <c r="V163" t="s">
        <v>3524</v>
      </c>
      <c r="W163" t="s">
        <v>3525</v>
      </c>
      <c r="X163" t="s">
        <v>3526</v>
      </c>
      <c r="Y163" t="s">
        <v>3527</v>
      </c>
      <c r="Z163" t="s">
        <v>3528</v>
      </c>
      <c r="AA163" t="s">
        <v>3529</v>
      </c>
      <c r="AB163" t="s">
        <v>3530</v>
      </c>
      <c r="AC163" t="s">
        <v>3531</v>
      </c>
      <c r="AD163" t="s">
        <v>3532</v>
      </c>
      <c r="AE163" t="s">
        <v>3533</v>
      </c>
      <c r="AF163" t="s">
        <v>74</v>
      </c>
      <c r="AG163">
        <v>92</v>
      </c>
      <c r="AH163">
        <v>14</v>
      </c>
      <c r="AI163">
        <v>16</v>
      </c>
      <c r="AJ163">
        <v>8</v>
      </c>
      <c r="AK163">
        <v>39</v>
      </c>
      <c r="AL163" t="s">
        <v>1347</v>
      </c>
      <c r="AM163" t="s">
        <v>333</v>
      </c>
      <c r="AN163" t="s">
        <v>1348</v>
      </c>
      <c r="AO163" t="s">
        <v>74</v>
      </c>
      <c r="AP163" t="s">
        <v>1349</v>
      </c>
      <c r="AQ163" t="s">
        <v>74</v>
      </c>
      <c r="AR163" t="s">
        <v>1350</v>
      </c>
      <c r="AS163" t="s">
        <v>1351</v>
      </c>
      <c r="AT163" t="s">
        <v>3512</v>
      </c>
      <c r="AU163">
        <v>2021</v>
      </c>
      <c r="AV163">
        <v>2</v>
      </c>
      <c r="AW163">
        <v>1</v>
      </c>
      <c r="AX163" t="s">
        <v>74</v>
      </c>
      <c r="AY163" t="s">
        <v>74</v>
      </c>
      <c r="AZ163" t="s">
        <v>74</v>
      </c>
      <c r="BA163" t="s">
        <v>74</v>
      </c>
      <c r="BB163" t="s">
        <v>74</v>
      </c>
      <c r="BC163" t="s">
        <v>74</v>
      </c>
      <c r="BD163">
        <v>230</v>
      </c>
      <c r="BE163" t="s">
        <v>3534</v>
      </c>
      <c r="BF163" t="str">
        <f>HYPERLINK("http://dx.doi.org/10.1038/s43247-021-00304-6","http://dx.doi.org/10.1038/s43247-021-00304-6")</f>
        <v>http://dx.doi.org/10.1038/s43247-021-00304-6</v>
      </c>
      <c r="BG163" t="s">
        <v>74</v>
      </c>
      <c r="BH163" t="s">
        <v>74</v>
      </c>
      <c r="BI163">
        <v>11</v>
      </c>
      <c r="BJ163" t="s">
        <v>1353</v>
      </c>
      <c r="BK163" t="s">
        <v>101</v>
      </c>
      <c r="BL163" t="s">
        <v>1354</v>
      </c>
      <c r="BM163" t="s">
        <v>3535</v>
      </c>
      <c r="BN163" t="s">
        <v>74</v>
      </c>
      <c r="BO163" t="s">
        <v>210</v>
      </c>
      <c r="BP163" t="s">
        <v>74</v>
      </c>
      <c r="BQ163" t="s">
        <v>74</v>
      </c>
      <c r="BR163" t="s">
        <v>105</v>
      </c>
      <c r="BS163" t="s">
        <v>3536</v>
      </c>
      <c r="BT163" t="str">
        <f>HYPERLINK("https%3A%2F%2Fwww.webofscience.com%2Fwos%2Fwoscc%2Ffull-record%2FWOS:000715793800001","View Full Record in Web of Science")</f>
        <v>View Full Record in Web of Science</v>
      </c>
    </row>
    <row r="164" spans="1:72" x14ac:dyDescent="0.15">
      <c r="A164" t="s">
        <v>72</v>
      </c>
      <c r="B164" t="s">
        <v>3537</v>
      </c>
      <c r="C164" t="s">
        <v>74</v>
      </c>
      <c r="D164" t="s">
        <v>74</v>
      </c>
      <c r="E164" t="s">
        <v>74</v>
      </c>
      <c r="F164" t="s">
        <v>3538</v>
      </c>
      <c r="G164" t="s">
        <v>74</v>
      </c>
      <c r="H164" t="s">
        <v>74</v>
      </c>
      <c r="I164" t="s">
        <v>3539</v>
      </c>
      <c r="J164" t="s">
        <v>1188</v>
      </c>
      <c r="K164" t="s">
        <v>74</v>
      </c>
      <c r="L164" t="s">
        <v>74</v>
      </c>
      <c r="M164" t="s">
        <v>78</v>
      </c>
      <c r="N164" t="s">
        <v>79</v>
      </c>
      <c r="O164" t="s">
        <v>74</v>
      </c>
      <c r="P164" t="s">
        <v>74</v>
      </c>
      <c r="Q164" t="s">
        <v>74</v>
      </c>
      <c r="R164" t="s">
        <v>74</v>
      </c>
      <c r="S164" t="s">
        <v>74</v>
      </c>
      <c r="T164" t="s">
        <v>3540</v>
      </c>
      <c r="U164" t="s">
        <v>3541</v>
      </c>
      <c r="V164" t="s">
        <v>3542</v>
      </c>
      <c r="W164" t="s">
        <v>3543</v>
      </c>
      <c r="X164" t="s">
        <v>3544</v>
      </c>
      <c r="Y164" t="s">
        <v>3545</v>
      </c>
      <c r="Z164" t="s">
        <v>3546</v>
      </c>
      <c r="AA164" t="s">
        <v>3547</v>
      </c>
      <c r="AB164" t="s">
        <v>3548</v>
      </c>
      <c r="AC164" t="s">
        <v>3549</v>
      </c>
      <c r="AD164" t="s">
        <v>3550</v>
      </c>
      <c r="AE164" t="s">
        <v>3551</v>
      </c>
      <c r="AF164" t="s">
        <v>74</v>
      </c>
      <c r="AG164">
        <v>47</v>
      </c>
      <c r="AH164">
        <v>49</v>
      </c>
      <c r="AI164">
        <v>50</v>
      </c>
      <c r="AJ164">
        <v>30</v>
      </c>
      <c r="AK164">
        <v>155</v>
      </c>
      <c r="AL164" t="s">
        <v>847</v>
      </c>
      <c r="AM164" t="s">
        <v>848</v>
      </c>
      <c r="AN164" t="s">
        <v>849</v>
      </c>
      <c r="AO164" t="s">
        <v>1201</v>
      </c>
      <c r="AP164" t="s">
        <v>1202</v>
      </c>
      <c r="AQ164" t="s">
        <v>74</v>
      </c>
      <c r="AR164" t="s">
        <v>1203</v>
      </c>
      <c r="AS164" t="s">
        <v>1204</v>
      </c>
      <c r="AT164" t="s">
        <v>363</v>
      </c>
      <c r="AU164">
        <v>2022</v>
      </c>
      <c r="AV164">
        <v>154</v>
      </c>
      <c r="AW164" t="s">
        <v>74</v>
      </c>
      <c r="AX164" t="s">
        <v>74</v>
      </c>
      <c r="AY164" t="s">
        <v>74</v>
      </c>
      <c r="AZ164" t="s">
        <v>74</v>
      </c>
      <c r="BA164" t="s">
        <v>74</v>
      </c>
      <c r="BB164" t="s">
        <v>74</v>
      </c>
      <c r="BC164" t="s">
        <v>74</v>
      </c>
      <c r="BD164">
        <v>112756</v>
      </c>
      <c r="BE164" t="s">
        <v>3552</v>
      </c>
      <c r="BF164" t="str">
        <f>HYPERLINK("http://dx.doi.org/10.1016/j.lwt.2021.112756","http://dx.doi.org/10.1016/j.lwt.2021.112756")</f>
        <v>http://dx.doi.org/10.1016/j.lwt.2021.112756</v>
      </c>
      <c r="BG164" t="s">
        <v>74</v>
      </c>
      <c r="BH164" t="s">
        <v>263</v>
      </c>
      <c r="BI164">
        <v>9</v>
      </c>
      <c r="BJ164" t="s">
        <v>1206</v>
      </c>
      <c r="BK164" t="s">
        <v>101</v>
      </c>
      <c r="BL164" t="s">
        <v>1206</v>
      </c>
      <c r="BM164" t="s">
        <v>3553</v>
      </c>
      <c r="BN164" t="s">
        <v>74</v>
      </c>
      <c r="BO164" t="s">
        <v>210</v>
      </c>
      <c r="BP164" t="s">
        <v>74</v>
      </c>
      <c r="BQ164" t="s">
        <v>74</v>
      </c>
      <c r="BR164" t="s">
        <v>105</v>
      </c>
      <c r="BS164" t="s">
        <v>3554</v>
      </c>
      <c r="BT164" t="str">
        <f>HYPERLINK("https%3A%2F%2Fwww.webofscience.com%2Fwos%2Fwoscc%2Ffull-record%2FWOS:000718931800005","View Full Record in Web of Science")</f>
        <v>View Full Record in Web of Science</v>
      </c>
    </row>
    <row r="165" spans="1:72" x14ac:dyDescent="0.15">
      <c r="A165" t="s">
        <v>72</v>
      </c>
      <c r="B165" t="s">
        <v>3555</v>
      </c>
      <c r="C165" t="s">
        <v>74</v>
      </c>
      <c r="D165" t="s">
        <v>74</v>
      </c>
      <c r="E165" t="s">
        <v>74</v>
      </c>
      <c r="F165" t="s">
        <v>3556</v>
      </c>
      <c r="G165" t="s">
        <v>74</v>
      </c>
      <c r="H165" t="s">
        <v>74</v>
      </c>
      <c r="I165" t="s">
        <v>3557</v>
      </c>
      <c r="J165" t="s">
        <v>3558</v>
      </c>
      <c r="K165" t="s">
        <v>74</v>
      </c>
      <c r="L165" t="s">
        <v>74</v>
      </c>
      <c r="M165" t="s">
        <v>78</v>
      </c>
      <c r="N165" t="s">
        <v>79</v>
      </c>
      <c r="O165" t="s">
        <v>74</v>
      </c>
      <c r="P165" t="s">
        <v>74</v>
      </c>
      <c r="Q165" t="s">
        <v>74</v>
      </c>
      <c r="R165" t="s">
        <v>74</v>
      </c>
      <c r="S165" t="s">
        <v>74</v>
      </c>
      <c r="T165" t="s">
        <v>74</v>
      </c>
      <c r="U165" t="s">
        <v>3559</v>
      </c>
      <c r="V165" t="s">
        <v>3560</v>
      </c>
      <c r="W165" t="s">
        <v>3561</v>
      </c>
      <c r="X165" t="s">
        <v>3562</v>
      </c>
      <c r="Y165" t="s">
        <v>3563</v>
      </c>
      <c r="Z165" t="s">
        <v>3564</v>
      </c>
      <c r="AA165" t="s">
        <v>3565</v>
      </c>
      <c r="AB165" t="s">
        <v>3566</v>
      </c>
      <c r="AC165" t="s">
        <v>3567</v>
      </c>
      <c r="AD165" t="s">
        <v>3568</v>
      </c>
      <c r="AE165" t="s">
        <v>3569</v>
      </c>
      <c r="AF165" t="s">
        <v>74</v>
      </c>
      <c r="AG165">
        <v>62</v>
      </c>
      <c r="AH165">
        <v>11</v>
      </c>
      <c r="AI165">
        <v>13</v>
      </c>
      <c r="AJ165">
        <v>7</v>
      </c>
      <c r="AK165">
        <v>35</v>
      </c>
      <c r="AL165" t="s">
        <v>572</v>
      </c>
      <c r="AM165" t="s">
        <v>573</v>
      </c>
      <c r="AN165" t="s">
        <v>574</v>
      </c>
      <c r="AO165" t="s">
        <v>3570</v>
      </c>
      <c r="AP165" t="s">
        <v>3571</v>
      </c>
      <c r="AQ165" t="s">
        <v>74</v>
      </c>
      <c r="AR165" t="s">
        <v>3572</v>
      </c>
      <c r="AS165" t="s">
        <v>3573</v>
      </c>
      <c r="AT165" t="s">
        <v>416</v>
      </c>
      <c r="AU165">
        <v>2022</v>
      </c>
      <c r="AV165">
        <v>67</v>
      </c>
      <c r="AW165">
        <v>1</v>
      </c>
      <c r="AX165" t="s">
        <v>74</v>
      </c>
      <c r="AY165" t="s">
        <v>74</v>
      </c>
      <c r="AZ165" t="s">
        <v>74</v>
      </c>
      <c r="BA165" t="s">
        <v>74</v>
      </c>
      <c r="BB165">
        <v>13</v>
      </c>
      <c r="BC165">
        <v>25</v>
      </c>
      <c r="BD165" t="s">
        <v>74</v>
      </c>
      <c r="BE165" t="s">
        <v>3574</v>
      </c>
      <c r="BF165" t="str">
        <f>HYPERLINK("http://dx.doi.org/10.1002/lno.11971","http://dx.doi.org/10.1002/lno.11971")</f>
        <v>http://dx.doi.org/10.1002/lno.11971</v>
      </c>
      <c r="BG165" t="s">
        <v>74</v>
      </c>
      <c r="BH165" t="s">
        <v>263</v>
      </c>
      <c r="BI165">
        <v>13</v>
      </c>
      <c r="BJ165" t="s">
        <v>3575</v>
      </c>
      <c r="BK165" t="s">
        <v>101</v>
      </c>
      <c r="BL165" t="s">
        <v>3136</v>
      </c>
      <c r="BM165" t="s">
        <v>3576</v>
      </c>
      <c r="BN165" t="s">
        <v>74</v>
      </c>
      <c r="BO165" t="s">
        <v>74</v>
      </c>
      <c r="BP165" t="s">
        <v>74</v>
      </c>
      <c r="BQ165" t="s">
        <v>74</v>
      </c>
      <c r="BR165" t="s">
        <v>105</v>
      </c>
      <c r="BS165" t="s">
        <v>3577</v>
      </c>
      <c r="BT165" t="str">
        <f>HYPERLINK("https%3A%2F%2Fwww.webofscience.com%2Fwos%2Fwoscc%2Ffull-record%2FWOS:000715220000001","View Full Record in Web of Science")</f>
        <v>View Full Record in Web of Science</v>
      </c>
    </row>
    <row r="166" spans="1:72" x14ac:dyDescent="0.15">
      <c r="A166" t="s">
        <v>72</v>
      </c>
      <c r="B166" t="s">
        <v>3578</v>
      </c>
      <c r="C166" t="s">
        <v>74</v>
      </c>
      <c r="D166" t="s">
        <v>74</v>
      </c>
      <c r="E166" t="s">
        <v>74</v>
      </c>
      <c r="F166" t="s">
        <v>3579</v>
      </c>
      <c r="G166" t="s">
        <v>74</v>
      </c>
      <c r="H166" t="s">
        <v>74</v>
      </c>
      <c r="I166" t="s">
        <v>3580</v>
      </c>
      <c r="J166" t="s">
        <v>3581</v>
      </c>
      <c r="K166" t="s">
        <v>74</v>
      </c>
      <c r="L166" t="s">
        <v>74</v>
      </c>
      <c r="M166" t="s">
        <v>78</v>
      </c>
      <c r="N166" t="s">
        <v>79</v>
      </c>
      <c r="O166" t="s">
        <v>74</v>
      </c>
      <c r="P166" t="s">
        <v>74</v>
      </c>
      <c r="Q166" t="s">
        <v>74</v>
      </c>
      <c r="R166" t="s">
        <v>74</v>
      </c>
      <c r="S166" t="s">
        <v>74</v>
      </c>
      <c r="T166" t="s">
        <v>3582</v>
      </c>
      <c r="U166" t="s">
        <v>3583</v>
      </c>
      <c r="V166" t="s">
        <v>3584</v>
      </c>
      <c r="W166" t="s">
        <v>3585</v>
      </c>
      <c r="X166" t="s">
        <v>3586</v>
      </c>
      <c r="Y166" t="s">
        <v>3587</v>
      </c>
      <c r="Z166" t="s">
        <v>3588</v>
      </c>
      <c r="AA166" t="s">
        <v>3589</v>
      </c>
      <c r="AB166" t="s">
        <v>3590</v>
      </c>
      <c r="AC166" t="s">
        <v>3591</v>
      </c>
      <c r="AD166" t="s">
        <v>3592</v>
      </c>
      <c r="AE166" t="s">
        <v>3593</v>
      </c>
      <c r="AF166" t="s">
        <v>74</v>
      </c>
      <c r="AG166">
        <v>89</v>
      </c>
      <c r="AH166">
        <v>0</v>
      </c>
      <c r="AI166">
        <v>0</v>
      </c>
      <c r="AJ166">
        <v>3</v>
      </c>
      <c r="AK166">
        <v>15</v>
      </c>
      <c r="AL166" t="s">
        <v>572</v>
      </c>
      <c r="AM166" t="s">
        <v>573</v>
      </c>
      <c r="AN166" t="s">
        <v>574</v>
      </c>
      <c r="AO166" t="s">
        <v>3594</v>
      </c>
      <c r="AP166" t="s">
        <v>3595</v>
      </c>
      <c r="AQ166" t="s">
        <v>74</v>
      </c>
      <c r="AR166" t="s">
        <v>3596</v>
      </c>
      <c r="AS166" t="s">
        <v>3597</v>
      </c>
      <c r="AT166" t="s">
        <v>416</v>
      </c>
      <c r="AU166">
        <v>2022</v>
      </c>
      <c r="AV166">
        <v>33</v>
      </c>
      <c r="AW166">
        <v>1</v>
      </c>
      <c r="AX166" t="s">
        <v>74</v>
      </c>
      <c r="AY166" t="s">
        <v>74</v>
      </c>
      <c r="AZ166" t="s">
        <v>74</v>
      </c>
      <c r="BA166" t="s">
        <v>74</v>
      </c>
      <c r="BB166">
        <v>63</v>
      </c>
      <c r="BC166">
        <v>77</v>
      </c>
      <c r="BD166" t="s">
        <v>74</v>
      </c>
      <c r="BE166" t="s">
        <v>3598</v>
      </c>
      <c r="BF166" t="str">
        <f>HYPERLINK("http://dx.doi.org/10.1002/ppp.2133","http://dx.doi.org/10.1002/ppp.2133")</f>
        <v>http://dx.doi.org/10.1002/ppp.2133</v>
      </c>
      <c r="BG166" t="s">
        <v>74</v>
      </c>
      <c r="BH166" t="s">
        <v>263</v>
      </c>
      <c r="BI166">
        <v>15</v>
      </c>
      <c r="BJ166" t="s">
        <v>3599</v>
      </c>
      <c r="BK166" t="s">
        <v>101</v>
      </c>
      <c r="BL166" t="s">
        <v>341</v>
      </c>
      <c r="BM166" t="s">
        <v>3600</v>
      </c>
      <c r="BN166" t="s">
        <v>74</v>
      </c>
      <c r="BO166" t="s">
        <v>419</v>
      </c>
      <c r="BP166" t="s">
        <v>74</v>
      </c>
      <c r="BQ166" t="s">
        <v>74</v>
      </c>
      <c r="BR166" t="s">
        <v>105</v>
      </c>
      <c r="BS166" t="s">
        <v>3601</v>
      </c>
      <c r="BT166" t="str">
        <f>HYPERLINK("https%3A%2F%2Fwww.webofscience.com%2Fwos%2Fwoscc%2Ffull-record%2FWOS:000715072100001","View Full Record in Web of Science")</f>
        <v>View Full Record in Web of Science</v>
      </c>
    </row>
    <row r="167" spans="1:72" x14ac:dyDescent="0.15">
      <c r="A167" t="s">
        <v>72</v>
      </c>
      <c r="B167" t="s">
        <v>3602</v>
      </c>
      <c r="C167" t="s">
        <v>74</v>
      </c>
      <c r="D167" t="s">
        <v>74</v>
      </c>
      <c r="E167" t="s">
        <v>74</v>
      </c>
      <c r="F167" t="s">
        <v>3603</v>
      </c>
      <c r="G167" t="s">
        <v>74</v>
      </c>
      <c r="H167" t="s">
        <v>74</v>
      </c>
      <c r="I167" t="s">
        <v>3604</v>
      </c>
      <c r="J167" t="s">
        <v>1377</v>
      </c>
      <c r="K167" t="s">
        <v>74</v>
      </c>
      <c r="L167" t="s">
        <v>74</v>
      </c>
      <c r="M167" t="s">
        <v>78</v>
      </c>
      <c r="N167" t="s">
        <v>79</v>
      </c>
      <c r="O167" t="s">
        <v>74</v>
      </c>
      <c r="P167" t="s">
        <v>74</v>
      </c>
      <c r="Q167" t="s">
        <v>74</v>
      </c>
      <c r="R167" t="s">
        <v>74</v>
      </c>
      <c r="S167" t="s">
        <v>74</v>
      </c>
      <c r="T167" t="s">
        <v>3605</v>
      </c>
      <c r="U167" t="s">
        <v>3606</v>
      </c>
      <c r="V167" t="s">
        <v>3607</v>
      </c>
      <c r="W167" t="s">
        <v>3608</v>
      </c>
      <c r="X167" t="s">
        <v>3609</v>
      </c>
      <c r="Y167" t="s">
        <v>3610</v>
      </c>
      <c r="Z167" t="s">
        <v>3611</v>
      </c>
      <c r="AA167" t="s">
        <v>3612</v>
      </c>
      <c r="AB167" t="s">
        <v>3613</v>
      </c>
      <c r="AC167" t="s">
        <v>3614</v>
      </c>
      <c r="AD167" t="s">
        <v>3615</v>
      </c>
      <c r="AE167" t="s">
        <v>3616</v>
      </c>
      <c r="AF167" t="s">
        <v>74</v>
      </c>
      <c r="AG167">
        <v>74</v>
      </c>
      <c r="AH167">
        <v>10</v>
      </c>
      <c r="AI167">
        <v>10</v>
      </c>
      <c r="AJ167">
        <v>4</v>
      </c>
      <c r="AK167">
        <v>20</v>
      </c>
      <c r="AL167" t="s">
        <v>255</v>
      </c>
      <c r="AM167" t="s">
        <v>256</v>
      </c>
      <c r="AN167" t="s">
        <v>257</v>
      </c>
      <c r="AO167" t="s">
        <v>1390</v>
      </c>
      <c r="AP167" t="s">
        <v>1391</v>
      </c>
      <c r="AQ167" t="s">
        <v>74</v>
      </c>
      <c r="AR167" t="s">
        <v>1392</v>
      </c>
      <c r="AS167" t="s">
        <v>1393</v>
      </c>
      <c r="AT167" t="s">
        <v>2840</v>
      </c>
      <c r="AU167">
        <v>2021</v>
      </c>
      <c r="AV167">
        <v>274</v>
      </c>
      <c r="AW167" t="s">
        <v>74</v>
      </c>
      <c r="AX167" t="s">
        <v>74</v>
      </c>
      <c r="AY167" t="s">
        <v>74</v>
      </c>
      <c r="AZ167" t="s">
        <v>74</v>
      </c>
      <c r="BA167" t="s">
        <v>74</v>
      </c>
      <c r="BB167" t="s">
        <v>74</v>
      </c>
      <c r="BC167" t="s">
        <v>74</v>
      </c>
      <c r="BD167">
        <v>107260</v>
      </c>
      <c r="BE167" t="s">
        <v>3617</v>
      </c>
      <c r="BF167" t="str">
        <f>HYPERLINK("http://dx.doi.org/10.1016/j.quascirev.2021.107260","http://dx.doi.org/10.1016/j.quascirev.2021.107260")</f>
        <v>http://dx.doi.org/10.1016/j.quascirev.2021.107260</v>
      </c>
      <c r="BG167" t="s">
        <v>74</v>
      </c>
      <c r="BH167" t="s">
        <v>263</v>
      </c>
      <c r="BI167">
        <v>9</v>
      </c>
      <c r="BJ167" t="s">
        <v>340</v>
      </c>
      <c r="BK167" t="s">
        <v>101</v>
      </c>
      <c r="BL167" t="s">
        <v>341</v>
      </c>
      <c r="BM167" t="s">
        <v>2842</v>
      </c>
      <c r="BN167" t="s">
        <v>74</v>
      </c>
      <c r="BO167" t="s">
        <v>180</v>
      </c>
      <c r="BP167" t="s">
        <v>74</v>
      </c>
      <c r="BQ167" t="s">
        <v>74</v>
      </c>
      <c r="BR167" t="s">
        <v>105</v>
      </c>
      <c r="BS167" t="s">
        <v>3618</v>
      </c>
      <c r="BT167" t="str">
        <f>HYPERLINK("https%3A%2F%2Fwww.webofscience.com%2Fwos%2Fwoscc%2Ffull-record%2FWOS:000723190100005","View Full Record in Web of Science")</f>
        <v>View Full Record in Web of Science</v>
      </c>
    </row>
    <row r="168" spans="1:72" x14ac:dyDescent="0.15">
      <c r="A168" t="s">
        <v>72</v>
      </c>
      <c r="B168" t="s">
        <v>3619</v>
      </c>
      <c r="C168" t="s">
        <v>74</v>
      </c>
      <c r="D168" t="s">
        <v>74</v>
      </c>
      <c r="E168" t="s">
        <v>74</v>
      </c>
      <c r="F168" t="s">
        <v>3620</v>
      </c>
      <c r="G168" t="s">
        <v>74</v>
      </c>
      <c r="H168" t="s">
        <v>74</v>
      </c>
      <c r="I168" t="s">
        <v>3621</v>
      </c>
      <c r="J168" t="s">
        <v>3622</v>
      </c>
      <c r="K168" t="s">
        <v>74</v>
      </c>
      <c r="L168" t="s">
        <v>74</v>
      </c>
      <c r="M168" t="s">
        <v>78</v>
      </c>
      <c r="N168" t="s">
        <v>79</v>
      </c>
      <c r="O168" t="s">
        <v>74</v>
      </c>
      <c r="P168" t="s">
        <v>74</v>
      </c>
      <c r="Q168" t="s">
        <v>74</v>
      </c>
      <c r="R168" t="s">
        <v>74</v>
      </c>
      <c r="S168" t="s">
        <v>74</v>
      </c>
      <c r="T168" t="s">
        <v>74</v>
      </c>
      <c r="U168" t="s">
        <v>3623</v>
      </c>
      <c r="V168" t="s">
        <v>3624</v>
      </c>
      <c r="W168" t="s">
        <v>3625</v>
      </c>
      <c r="X168" t="s">
        <v>3626</v>
      </c>
      <c r="Y168" t="s">
        <v>3627</v>
      </c>
      <c r="Z168" t="s">
        <v>3628</v>
      </c>
      <c r="AA168" t="s">
        <v>74</v>
      </c>
      <c r="AB168" t="s">
        <v>74</v>
      </c>
      <c r="AC168" t="s">
        <v>3629</v>
      </c>
      <c r="AD168" t="s">
        <v>3630</v>
      </c>
      <c r="AE168" t="s">
        <v>3631</v>
      </c>
      <c r="AF168" t="s">
        <v>74</v>
      </c>
      <c r="AG168">
        <v>64</v>
      </c>
      <c r="AH168">
        <v>2</v>
      </c>
      <c r="AI168">
        <v>2</v>
      </c>
      <c r="AJ168">
        <v>0</v>
      </c>
      <c r="AK168">
        <v>0</v>
      </c>
      <c r="AL168" t="s">
        <v>572</v>
      </c>
      <c r="AM168" t="s">
        <v>573</v>
      </c>
      <c r="AN168" t="s">
        <v>574</v>
      </c>
      <c r="AO168" t="s">
        <v>3632</v>
      </c>
      <c r="AP168" t="s">
        <v>3633</v>
      </c>
      <c r="AQ168" t="s">
        <v>74</v>
      </c>
      <c r="AR168" t="s">
        <v>3634</v>
      </c>
      <c r="AS168" t="s">
        <v>3635</v>
      </c>
      <c r="AT168" t="s">
        <v>3636</v>
      </c>
      <c r="AU168">
        <v>2023</v>
      </c>
      <c r="AV168">
        <v>40</v>
      </c>
      <c r="AW168">
        <v>4</v>
      </c>
      <c r="AX168" t="s">
        <v>74</v>
      </c>
      <c r="AY168" t="s">
        <v>74</v>
      </c>
      <c r="AZ168" t="s">
        <v>526</v>
      </c>
      <c r="BA168" t="s">
        <v>74</v>
      </c>
      <c r="BB168">
        <v>608</v>
      </c>
      <c r="BC168">
        <v>623</v>
      </c>
      <c r="BD168" t="s">
        <v>74</v>
      </c>
      <c r="BE168" t="s">
        <v>3637</v>
      </c>
      <c r="BF168" t="str">
        <f>HYPERLINK("http://dx.doi.org/10.1111/japp.12561","http://dx.doi.org/10.1111/japp.12561")</f>
        <v>http://dx.doi.org/10.1111/japp.12561</v>
      </c>
      <c r="BG168" t="s">
        <v>74</v>
      </c>
      <c r="BH168" t="s">
        <v>263</v>
      </c>
      <c r="BI168">
        <v>16</v>
      </c>
      <c r="BJ168" t="s">
        <v>3638</v>
      </c>
      <c r="BK168" t="s">
        <v>3639</v>
      </c>
      <c r="BL168" t="s">
        <v>3640</v>
      </c>
      <c r="BM168" t="s">
        <v>3641</v>
      </c>
      <c r="BN168" t="s">
        <v>74</v>
      </c>
      <c r="BO168" t="s">
        <v>343</v>
      </c>
      <c r="BP168" t="s">
        <v>74</v>
      </c>
      <c r="BQ168" t="s">
        <v>74</v>
      </c>
      <c r="BR168" t="s">
        <v>105</v>
      </c>
      <c r="BS168" t="s">
        <v>3642</v>
      </c>
      <c r="BT168" t="str">
        <f>HYPERLINK("https%3A%2F%2Fwww.webofscience.com%2Fwos%2Fwoscc%2Ffull-record%2FWOS:000714943500001","View Full Record in Web of Science")</f>
        <v>View Full Record in Web of Science</v>
      </c>
    </row>
    <row r="169" spans="1:72" x14ac:dyDescent="0.15">
      <c r="A169" t="s">
        <v>72</v>
      </c>
      <c r="B169" t="s">
        <v>3643</v>
      </c>
      <c r="C169" t="s">
        <v>74</v>
      </c>
      <c r="D169" t="s">
        <v>74</v>
      </c>
      <c r="E169" t="s">
        <v>74</v>
      </c>
      <c r="F169" t="s">
        <v>3644</v>
      </c>
      <c r="G169" t="s">
        <v>74</v>
      </c>
      <c r="H169" t="s">
        <v>74</v>
      </c>
      <c r="I169" t="s">
        <v>3645</v>
      </c>
      <c r="J169" t="s">
        <v>348</v>
      </c>
      <c r="K169" t="s">
        <v>74</v>
      </c>
      <c r="L169" t="s">
        <v>74</v>
      </c>
      <c r="M169" t="s">
        <v>78</v>
      </c>
      <c r="N169" t="s">
        <v>79</v>
      </c>
      <c r="O169" t="s">
        <v>74</v>
      </c>
      <c r="P169" t="s">
        <v>74</v>
      </c>
      <c r="Q169" t="s">
        <v>74</v>
      </c>
      <c r="R169" t="s">
        <v>74</v>
      </c>
      <c r="S169" t="s">
        <v>74</v>
      </c>
      <c r="T169" t="s">
        <v>3646</v>
      </c>
      <c r="U169" t="s">
        <v>3647</v>
      </c>
      <c r="V169" t="s">
        <v>3648</v>
      </c>
      <c r="W169" t="s">
        <v>3649</v>
      </c>
      <c r="X169" t="s">
        <v>3650</v>
      </c>
      <c r="Y169" t="s">
        <v>3651</v>
      </c>
      <c r="Z169" t="s">
        <v>3652</v>
      </c>
      <c r="AA169" t="s">
        <v>3653</v>
      </c>
      <c r="AB169" t="s">
        <v>3654</v>
      </c>
      <c r="AC169" t="s">
        <v>3655</v>
      </c>
      <c r="AD169" t="s">
        <v>3656</v>
      </c>
      <c r="AE169" t="s">
        <v>3657</v>
      </c>
      <c r="AF169" t="s">
        <v>74</v>
      </c>
      <c r="AG169">
        <v>46</v>
      </c>
      <c r="AH169">
        <v>3</v>
      </c>
      <c r="AI169">
        <v>3</v>
      </c>
      <c r="AJ169">
        <v>1</v>
      </c>
      <c r="AK169">
        <v>10</v>
      </c>
      <c r="AL169" t="s">
        <v>255</v>
      </c>
      <c r="AM169" t="s">
        <v>256</v>
      </c>
      <c r="AN169" t="s">
        <v>257</v>
      </c>
      <c r="AO169" t="s">
        <v>359</v>
      </c>
      <c r="AP169" t="s">
        <v>360</v>
      </c>
      <c r="AQ169" t="s">
        <v>74</v>
      </c>
      <c r="AR169" t="s">
        <v>361</v>
      </c>
      <c r="AS169" t="s">
        <v>362</v>
      </c>
      <c r="AT169" t="s">
        <v>1394</v>
      </c>
      <c r="AU169">
        <v>2022</v>
      </c>
      <c r="AV169">
        <v>316</v>
      </c>
      <c r="AW169" t="s">
        <v>74</v>
      </c>
      <c r="AX169" t="s">
        <v>74</v>
      </c>
      <c r="AY169" t="s">
        <v>74</v>
      </c>
      <c r="AZ169" t="s">
        <v>74</v>
      </c>
      <c r="BA169" t="s">
        <v>74</v>
      </c>
      <c r="BB169">
        <v>135</v>
      </c>
      <c r="BC169">
        <v>149</v>
      </c>
      <c r="BD169" t="s">
        <v>74</v>
      </c>
      <c r="BE169" t="s">
        <v>3658</v>
      </c>
      <c r="BF169" t="str">
        <f>HYPERLINK("http://dx.doi.org/10.1016/j.gca.2021.10.007","http://dx.doi.org/10.1016/j.gca.2021.10.007")</f>
        <v>http://dx.doi.org/10.1016/j.gca.2021.10.007</v>
      </c>
      <c r="BG169" t="s">
        <v>74</v>
      </c>
      <c r="BH169" t="s">
        <v>263</v>
      </c>
      <c r="BI169">
        <v>15</v>
      </c>
      <c r="BJ169" t="s">
        <v>365</v>
      </c>
      <c r="BK169" t="s">
        <v>101</v>
      </c>
      <c r="BL169" t="s">
        <v>365</v>
      </c>
      <c r="BM169" t="s">
        <v>3659</v>
      </c>
      <c r="BN169" t="s">
        <v>74</v>
      </c>
      <c r="BO169" t="s">
        <v>1471</v>
      </c>
      <c r="BP169" t="s">
        <v>74</v>
      </c>
      <c r="BQ169" t="s">
        <v>74</v>
      </c>
      <c r="BR169" t="s">
        <v>105</v>
      </c>
      <c r="BS169" t="s">
        <v>3660</v>
      </c>
      <c r="BT169" t="str">
        <f>HYPERLINK("https%3A%2F%2Fwww.webofscience.com%2Fwos%2Fwoscc%2Ffull-record%2FWOS:000718563300009","View Full Record in Web of Science")</f>
        <v>View Full Record in Web of Science</v>
      </c>
    </row>
    <row r="170" spans="1:72" x14ac:dyDescent="0.15">
      <c r="A170" t="s">
        <v>72</v>
      </c>
      <c r="B170" t="s">
        <v>3661</v>
      </c>
      <c r="C170" t="s">
        <v>74</v>
      </c>
      <c r="D170" t="s">
        <v>74</v>
      </c>
      <c r="E170" t="s">
        <v>74</v>
      </c>
      <c r="F170" t="s">
        <v>3662</v>
      </c>
      <c r="G170" t="s">
        <v>74</v>
      </c>
      <c r="H170" t="s">
        <v>74</v>
      </c>
      <c r="I170" t="s">
        <v>3663</v>
      </c>
      <c r="J170" t="s">
        <v>3664</v>
      </c>
      <c r="K170" t="s">
        <v>74</v>
      </c>
      <c r="L170" t="s">
        <v>74</v>
      </c>
      <c r="M170" t="s">
        <v>78</v>
      </c>
      <c r="N170" t="s">
        <v>79</v>
      </c>
      <c r="O170" t="s">
        <v>74</v>
      </c>
      <c r="P170" t="s">
        <v>74</v>
      </c>
      <c r="Q170" t="s">
        <v>74</v>
      </c>
      <c r="R170" t="s">
        <v>74</v>
      </c>
      <c r="S170" t="s">
        <v>74</v>
      </c>
      <c r="T170" t="s">
        <v>3665</v>
      </c>
      <c r="U170" t="s">
        <v>3666</v>
      </c>
      <c r="V170" t="s">
        <v>3667</v>
      </c>
      <c r="W170" t="s">
        <v>3668</v>
      </c>
      <c r="X170" t="s">
        <v>3669</v>
      </c>
      <c r="Y170" t="s">
        <v>3670</v>
      </c>
      <c r="Z170" t="s">
        <v>3671</v>
      </c>
      <c r="AA170" t="s">
        <v>3672</v>
      </c>
      <c r="AB170" t="s">
        <v>3673</v>
      </c>
      <c r="AC170" t="s">
        <v>3674</v>
      </c>
      <c r="AD170" t="s">
        <v>3675</v>
      </c>
      <c r="AE170" t="s">
        <v>3676</v>
      </c>
      <c r="AF170" t="s">
        <v>74</v>
      </c>
      <c r="AG170">
        <v>82</v>
      </c>
      <c r="AH170">
        <v>6</v>
      </c>
      <c r="AI170">
        <v>6</v>
      </c>
      <c r="AJ170">
        <v>8</v>
      </c>
      <c r="AK170">
        <v>48</v>
      </c>
      <c r="AL170" t="s">
        <v>169</v>
      </c>
      <c r="AM170" t="s">
        <v>170</v>
      </c>
      <c r="AN170" t="s">
        <v>171</v>
      </c>
      <c r="AO170" t="s">
        <v>3677</v>
      </c>
      <c r="AP170" t="s">
        <v>3678</v>
      </c>
      <c r="AQ170" t="s">
        <v>74</v>
      </c>
      <c r="AR170" t="s">
        <v>3679</v>
      </c>
      <c r="AS170" t="s">
        <v>3680</v>
      </c>
      <c r="AT170" t="s">
        <v>310</v>
      </c>
      <c r="AU170">
        <v>2022</v>
      </c>
      <c r="AV170">
        <v>84</v>
      </c>
      <c r="AW170">
        <v>4</v>
      </c>
      <c r="AX170" t="s">
        <v>74</v>
      </c>
      <c r="AY170" t="s">
        <v>74</v>
      </c>
      <c r="AZ170" t="s">
        <v>74</v>
      </c>
      <c r="BA170" t="s">
        <v>74</v>
      </c>
      <c r="BB170">
        <v>958</v>
      </c>
      <c r="BC170">
        <v>973</v>
      </c>
      <c r="BD170" t="s">
        <v>74</v>
      </c>
      <c r="BE170" t="s">
        <v>3681</v>
      </c>
      <c r="BF170" t="str">
        <f>HYPERLINK("http://dx.doi.org/10.1007/s00248-021-01912-7","http://dx.doi.org/10.1007/s00248-021-01912-7")</f>
        <v>http://dx.doi.org/10.1007/s00248-021-01912-7</v>
      </c>
      <c r="BG170" t="s">
        <v>74</v>
      </c>
      <c r="BH170" t="s">
        <v>263</v>
      </c>
      <c r="BI170">
        <v>16</v>
      </c>
      <c r="BJ170" t="s">
        <v>3682</v>
      </c>
      <c r="BK170" t="s">
        <v>101</v>
      </c>
      <c r="BL170" t="s">
        <v>3683</v>
      </c>
      <c r="BM170" t="s">
        <v>3684</v>
      </c>
      <c r="BN170">
        <v>34741646</v>
      </c>
      <c r="BO170" t="s">
        <v>419</v>
      </c>
      <c r="BP170" t="s">
        <v>74</v>
      </c>
      <c r="BQ170" t="s">
        <v>74</v>
      </c>
      <c r="BR170" t="s">
        <v>105</v>
      </c>
      <c r="BS170" t="s">
        <v>3685</v>
      </c>
      <c r="BT170" t="str">
        <f>HYPERLINK("https%3A%2F%2Fwww.webofscience.com%2Fwos%2Fwoscc%2Ffull-record%2FWOS:000714999300001","View Full Record in Web of Science")</f>
        <v>View Full Record in Web of Science</v>
      </c>
    </row>
    <row r="171" spans="1:72" x14ac:dyDescent="0.15">
      <c r="A171" t="s">
        <v>72</v>
      </c>
      <c r="B171" t="s">
        <v>3686</v>
      </c>
      <c r="C171" t="s">
        <v>74</v>
      </c>
      <c r="D171" t="s">
        <v>74</v>
      </c>
      <c r="E171" t="s">
        <v>74</v>
      </c>
      <c r="F171" t="s">
        <v>3687</v>
      </c>
      <c r="G171" t="s">
        <v>74</v>
      </c>
      <c r="H171" t="s">
        <v>74</v>
      </c>
      <c r="I171" t="s">
        <v>3688</v>
      </c>
      <c r="J171" t="s">
        <v>1212</v>
      </c>
      <c r="K171" t="s">
        <v>74</v>
      </c>
      <c r="L171" t="s">
        <v>74</v>
      </c>
      <c r="M171" t="s">
        <v>78</v>
      </c>
      <c r="N171" t="s">
        <v>79</v>
      </c>
      <c r="O171" t="s">
        <v>74</v>
      </c>
      <c r="P171" t="s">
        <v>74</v>
      </c>
      <c r="Q171" t="s">
        <v>74</v>
      </c>
      <c r="R171" t="s">
        <v>74</v>
      </c>
      <c r="S171" t="s">
        <v>74</v>
      </c>
      <c r="T171" t="s">
        <v>74</v>
      </c>
      <c r="U171" t="s">
        <v>3689</v>
      </c>
      <c r="V171" t="s">
        <v>3690</v>
      </c>
      <c r="W171" t="s">
        <v>3691</v>
      </c>
      <c r="X171" t="s">
        <v>3692</v>
      </c>
      <c r="Y171" t="s">
        <v>3693</v>
      </c>
      <c r="Z171" t="s">
        <v>3694</v>
      </c>
      <c r="AA171" t="s">
        <v>3695</v>
      </c>
      <c r="AB171" t="s">
        <v>3696</v>
      </c>
      <c r="AC171" t="s">
        <v>3697</v>
      </c>
      <c r="AD171" t="s">
        <v>3698</v>
      </c>
      <c r="AE171" t="s">
        <v>3699</v>
      </c>
      <c r="AF171" t="s">
        <v>74</v>
      </c>
      <c r="AG171">
        <v>31</v>
      </c>
      <c r="AH171">
        <v>16</v>
      </c>
      <c r="AI171">
        <v>16</v>
      </c>
      <c r="AJ171">
        <v>2</v>
      </c>
      <c r="AK171">
        <v>7</v>
      </c>
      <c r="AL171" t="s">
        <v>492</v>
      </c>
      <c r="AM171" t="s">
        <v>493</v>
      </c>
      <c r="AN171" t="s">
        <v>494</v>
      </c>
      <c r="AO171" t="s">
        <v>1224</v>
      </c>
      <c r="AP171" t="s">
        <v>74</v>
      </c>
      <c r="AQ171" t="s">
        <v>74</v>
      </c>
      <c r="AR171" t="s">
        <v>1225</v>
      </c>
      <c r="AS171" t="s">
        <v>1226</v>
      </c>
      <c r="AT171" t="s">
        <v>3700</v>
      </c>
      <c r="AU171">
        <v>2021</v>
      </c>
      <c r="AV171">
        <v>11</v>
      </c>
      <c r="AW171">
        <v>1</v>
      </c>
      <c r="AX171" t="s">
        <v>74</v>
      </c>
      <c r="AY171" t="s">
        <v>74</v>
      </c>
      <c r="AZ171" t="s">
        <v>74</v>
      </c>
      <c r="BA171" t="s">
        <v>74</v>
      </c>
      <c r="BB171" t="s">
        <v>74</v>
      </c>
      <c r="BC171" t="s">
        <v>74</v>
      </c>
      <c r="BD171">
        <v>21717</v>
      </c>
      <c r="BE171" t="s">
        <v>3701</v>
      </c>
      <c r="BF171" t="str">
        <f>HYPERLINK("http://dx.doi.org/10.1038/s41598-021-01228-z","http://dx.doi.org/10.1038/s41598-021-01228-z")</f>
        <v>http://dx.doi.org/10.1038/s41598-021-01228-z</v>
      </c>
      <c r="BG171" t="s">
        <v>74</v>
      </c>
      <c r="BH171" t="s">
        <v>74</v>
      </c>
      <c r="BI171">
        <v>8</v>
      </c>
      <c r="BJ171" t="s">
        <v>126</v>
      </c>
      <c r="BK171" t="s">
        <v>101</v>
      </c>
      <c r="BL171" t="s">
        <v>127</v>
      </c>
      <c r="BM171" t="s">
        <v>3702</v>
      </c>
      <c r="BN171">
        <v>34741078</v>
      </c>
      <c r="BO171" t="s">
        <v>1094</v>
      </c>
      <c r="BP171" t="s">
        <v>74</v>
      </c>
      <c r="BQ171" t="s">
        <v>74</v>
      </c>
      <c r="BR171" t="s">
        <v>105</v>
      </c>
      <c r="BS171" t="s">
        <v>3703</v>
      </c>
      <c r="BT171" t="str">
        <f>HYPERLINK("https%3A%2F%2Fwww.webofscience.com%2Fwos%2Fwoscc%2Ffull-record%2FWOS:000714977900020","View Full Record in Web of Science")</f>
        <v>View Full Record in Web of Science</v>
      </c>
    </row>
    <row r="172" spans="1:72" x14ac:dyDescent="0.15">
      <c r="A172" t="s">
        <v>72</v>
      </c>
      <c r="B172" t="s">
        <v>3704</v>
      </c>
      <c r="C172" t="s">
        <v>74</v>
      </c>
      <c r="D172" t="s">
        <v>74</v>
      </c>
      <c r="E172" t="s">
        <v>74</v>
      </c>
      <c r="F172" t="s">
        <v>3705</v>
      </c>
      <c r="G172" t="s">
        <v>74</v>
      </c>
      <c r="H172" t="s">
        <v>74</v>
      </c>
      <c r="I172" t="s">
        <v>3706</v>
      </c>
      <c r="J172" t="s">
        <v>372</v>
      </c>
      <c r="K172" t="s">
        <v>74</v>
      </c>
      <c r="L172" t="s">
        <v>74</v>
      </c>
      <c r="M172" t="s">
        <v>78</v>
      </c>
      <c r="N172" t="s">
        <v>373</v>
      </c>
      <c r="O172" t="s">
        <v>74</v>
      </c>
      <c r="P172" t="s">
        <v>74</v>
      </c>
      <c r="Q172" t="s">
        <v>74</v>
      </c>
      <c r="R172" t="s">
        <v>74</v>
      </c>
      <c r="S172" t="s">
        <v>74</v>
      </c>
      <c r="T172" t="s">
        <v>3707</v>
      </c>
      <c r="U172" t="s">
        <v>3708</v>
      </c>
      <c r="V172" t="s">
        <v>3709</v>
      </c>
      <c r="W172" t="s">
        <v>3710</v>
      </c>
      <c r="X172" t="s">
        <v>3711</v>
      </c>
      <c r="Y172" t="s">
        <v>3712</v>
      </c>
      <c r="Z172" t="s">
        <v>3713</v>
      </c>
      <c r="AA172" t="s">
        <v>3714</v>
      </c>
      <c r="AB172" t="s">
        <v>3715</v>
      </c>
      <c r="AC172" t="s">
        <v>3716</v>
      </c>
      <c r="AD172" t="s">
        <v>1020</v>
      </c>
      <c r="AE172" t="s">
        <v>74</v>
      </c>
      <c r="AF172" t="s">
        <v>74</v>
      </c>
      <c r="AG172">
        <v>191</v>
      </c>
      <c r="AH172">
        <v>27</v>
      </c>
      <c r="AI172">
        <v>28</v>
      </c>
      <c r="AJ172">
        <v>2</v>
      </c>
      <c r="AK172">
        <v>29</v>
      </c>
      <c r="AL172" t="s">
        <v>383</v>
      </c>
      <c r="AM172" t="s">
        <v>384</v>
      </c>
      <c r="AN172" t="s">
        <v>385</v>
      </c>
      <c r="AO172" t="s">
        <v>74</v>
      </c>
      <c r="AP172" t="s">
        <v>386</v>
      </c>
      <c r="AQ172" t="s">
        <v>74</v>
      </c>
      <c r="AR172" t="s">
        <v>387</v>
      </c>
      <c r="AS172" t="s">
        <v>388</v>
      </c>
      <c r="AT172" t="s">
        <v>3700</v>
      </c>
      <c r="AU172">
        <v>2021</v>
      </c>
      <c r="AV172">
        <v>8</v>
      </c>
      <c r="AW172" t="s">
        <v>74</v>
      </c>
      <c r="AX172" t="s">
        <v>74</v>
      </c>
      <c r="AY172" t="s">
        <v>74</v>
      </c>
      <c r="AZ172" t="s">
        <v>74</v>
      </c>
      <c r="BA172" t="s">
        <v>74</v>
      </c>
      <c r="BB172" t="s">
        <v>74</v>
      </c>
      <c r="BC172" t="s">
        <v>74</v>
      </c>
      <c r="BD172">
        <v>751840</v>
      </c>
      <c r="BE172" t="s">
        <v>3717</v>
      </c>
      <c r="BF172" t="str">
        <f>HYPERLINK("http://dx.doi.org/10.3389/fmars.2021.751840","http://dx.doi.org/10.3389/fmars.2021.751840")</f>
        <v>http://dx.doi.org/10.3389/fmars.2021.751840</v>
      </c>
      <c r="BG172" t="s">
        <v>74</v>
      </c>
      <c r="BH172" t="s">
        <v>74</v>
      </c>
      <c r="BI172">
        <v>21</v>
      </c>
      <c r="BJ172" t="s">
        <v>391</v>
      </c>
      <c r="BK172" t="s">
        <v>101</v>
      </c>
      <c r="BL172" t="s">
        <v>392</v>
      </c>
      <c r="BM172" t="s">
        <v>3718</v>
      </c>
      <c r="BN172" t="s">
        <v>74</v>
      </c>
      <c r="BO172" t="s">
        <v>1248</v>
      </c>
      <c r="BP172" t="s">
        <v>74</v>
      </c>
      <c r="BQ172" t="s">
        <v>74</v>
      </c>
      <c r="BR172" t="s">
        <v>105</v>
      </c>
      <c r="BS172" t="s">
        <v>3719</v>
      </c>
      <c r="BT172" t="str">
        <f>HYPERLINK("https%3A%2F%2Fwww.webofscience.com%2Fwos%2Fwoscc%2Ffull-record%2FWOS:000721730600001","View Full Record in Web of Science")</f>
        <v>View Full Record in Web of Science</v>
      </c>
    </row>
    <row r="173" spans="1:72" x14ac:dyDescent="0.15">
      <c r="A173" t="s">
        <v>72</v>
      </c>
      <c r="B173" t="s">
        <v>3720</v>
      </c>
      <c r="C173" t="s">
        <v>74</v>
      </c>
      <c r="D173" t="s">
        <v>74</v>
      </c>
      <c r="E173" t="s">
        <v>74</v>
      </c>
      <c r="F173" t="s">
        <v>3721</v>
      </c>
      <c r="G173" t="s">
        <v>74</v>
      </c>
      <c r="H173" t="s">
        <v>74</v>
      </c>
      <c r="I173" t="s">
        <v>3722</v>
      </c>
      <c r="J173" t="s">
        <v>1099</v>
      </c>
      <c r="K173" t="s">
        <v>74</v>
      </c>
      <c r="L173" t="s">
        <v>74</v>
      </c>
      <c r="M173" t="s">
        <v>78</v>
      </c>
      <c r="N173" t="s">
        <v>79</v>
      </c>
      <c r="O173" t="s">
        <v>74</v>
      </c>
      <c r="P173" t="s">
        <v>74</v>
      </c>
      <c r="Q173" t="s">
        <v>74</v>
      </c>
      <c r="R173" t="s">
        <v>74</v>
      </c>
      <c r="S173" t="s">
        <v>74</v>
      </c>
      <c r="T173" t="s">
        <v>3723</v>
      </c>
      <c r="U173" t="s">
        <v>3724</v>
      </c>
      <c r="V173" t="s">
        <v>3725</v>
      </c>
      <c r="W173" t="s">
        <v>3726</v>
      </c>
      <c r="X173" t="s">
        <v>3727</v>
      </c>
      <c r="Y173" t="s">
        <v>3728</v>
      </c>
      <c r="Z173" t="s">
        <v>3729</v>
      </c>
      <c r="AA173" t="s">
        <v>3730</v>
      </c>
      <c r="AB173" t="s">
        <v>3731</v>
      </c>
      <c r="AC173" t="s">
        <v>74</v>
      </c>
      <c r="AD173" t="s">
        <v>74</v>
      </c>
      <c r="AE173" t="s">
        <v>74</v>
      </c>
      <c r="AF173" t="s">
        <v>74</v>
      </c>
      <c r="AG173">
        <v>131</v>
      </c>
      <c r="AH173">
        <v>2</v>
      </c>
      <c r="AI173">
        <v>2</v>
      </c>
      <c r="AJ173">
        <v>3</v>
      </c>
      <c r="AK173">
        <v>21</v>
      </c>
      <c r="AL173" t="s">
        <v>383</v>
      </c>
      <c r="AM173" t="s">
        <v>384</v>
      </c>
      <c r="AN173" t="s">
        <v>385</v>
      </c>
      <c r="AO173" t="s">
        <v>74</v>
      </c>
      <c r="AP173" t="s">
        <v>1112</v>
      </c>
      <c r="AQ173" t="s">
        <v>74</v>
      </c>
      <c r="AR173" t="s">
        <v>1113</v>
      </c>
      <c r="AS173" t="s">
        <v>1114</v>
      </c>
      <c r="AT173" t="s">
        <v>3700</v>
      </c>
      <c r="AU173">
        <v>2021</v>
      </c>
      <c r="AV173">
        <v>9</v>
      </c>
      <c r="AW173" t="s">
        <v>74</v>
      </c>
      <c r="AX173" t="s">
        <v>74</v>
      </c>
      <c r="AY173" t="s">
        <v>74</v>
      </c>
      <c r="AZ173" t="s">
        <v>74</v>
      </c>
      <c r="BA173" t="s">
        <v>74</v>
      </c>
      <c r="BB173" t="s">
        <v>74</v>
      </c>
      <c r="BC173" t="s">
        <v>74</v>
      </c>
      <c r="BD173">
        <v>739365</v>
      </c>
      <c r="BE173" t="s">
        <v>3732</v>
      </c>
      <c r="BF173" t="str">
        <f>HYPERLINK("http://dx.doi.org/10.3389/feart.2021.739365","http://dx.doi.org/10.3389/feart.2021.739365")</f>
        <v>http://dx.doi.org/10.3389/feart.2021.739365</v>
      </c>
      <c r="BG173" t="s">
        <v>74</v>
      </c>
      <c r="BH173" t="s">
        <v>74</v>
      </c>
      <c r="BI173">
        <v>20</v>
      </c>
      <c r="BJ173" t="s">
        <v>236</v>
      </c>
      <c r="BK173" t="s">
        <v>101</v>
      </c>
      <c r="BL173" t="s">
        <v>237</v>
      </c>
      <c r="BM173" t="s">
        <v>3733</v>
      </c>
      <c r="BN173" t="s">
        <v>74</v>
      </c>
      <c r="BO173" t="s">
        <v>394</v>
      </c>
      <c r="BP173" t="s">
        <v>74</v>
      </c>
      <c r="BQ173" t="s">
        <v>74</v>
      </c>
      <c r="BR173" t="s">
        <v>105</v>
      </c>
      <c r="BS173" t="s">
        <v>3734</v>
      </c>
      <c r="BT173" t="str">
        <f>HYPERLINK("https%3A%2F%2Fwww.webofscience.com%2Fwos%2Fwoscc%2Ffull-record%2FWOS:000721054200001","View Full Record in Web of Science")</f>
        <v>View Full Record in Web of Science</v>
      </c>
    </row>
    <row r="174" spans="1:72" x14ac:dyDescent="0.15">
      <c r="A174" t="s">
        <v>72</v>
      </c>
      <c r="B174" t="s">
        <v>3735</v>
      </c>
      <c r="C174" t="s">
        <v>74</v>
      </c>
      <c r="D174" t="s">
        <v>74</v>
      </c>
      <c r="E174" t="s">
        <v>74</v>
      </c>
      <c r="F174" t="s">
        <v>3736</v>
      </c>
      <c r="G174" t="s">
        <v>74</v>
      </c>
      <c r="H174" t="s">
        <v>74</v>
      </c>
      <c r="I174" t="s">
        <v>3737</v>
      </c>
      <c r="J174" t="s">
        <v>3738</v>
      </c>
      <c r="K174" t="s">
        <v>74</v>
      </c>
      <c r="L174" t="s">
        <v>74</v>
      </c>
      <c r="M174" t="s">
        <v>78</v>
      </c>
      <c r="N174" t="s">
        <v>79</v>
      </c>
      <c r="O174" t="s">
        <v>74</v>
      </c>
      <c r="P174" t="s">
        <v>74</v>
      </c>
      <c r="Q174" t="s">
        <v>74</v>
      </c>
      <c r="R174" t="s">
        <v>74</v>
      </c>
      <c r="S174" t="s">
        <v>74</v>
      </c>
      <c r="T174" t="s">
        <v>3739</v>
      </c>
      <c r="U174" t="s">
        <v>3740</v>
      </c>
      <c r="V174" t="s">
        <v>3741</v>
      </c>
      <c r="W174" t="s">
        <v>3742</v>
      </c>
      <c r="X174" t="s">
        <v>3743</v>
      </c>
      <c r="Y174" t="s">
        <v>3744</v>
      </c>
      <c r="Z174" t="s">
        <v>3745</v>
      </c>
      <c r="AA174" t="s">
        <v>3746</v>
      </c>
      <c r="AB174" t="s">
        <v>74</v>
      </c>
      <c r="AC174" t="s">
        <v>3747</v>
      </c>
      <c r="AD174" t="s">
        <v>3748</v>
      </c>
      <c r="AE174" t="s">
        <v>3749</v>
      </c>
      <c r="AF174" t="s">
        <v>74</v>
      </c>
      <c r="AG174">
        <v>72</v>
      </c>
      <c r="AH174">
        <v>12</v>
      </c>
      <c r="AI174">
        <v>14</v>
      </c>
      <c r="AJ174">
        <v>5</v>
      </c>
      <c r="AK174">
        <v>51</v>
      </c>
      <c r="AL174" t="s">
        <v>847</v>
      </c>
      <c r="AM174" t="s">
        <v>848</v>
      </c>
      <c r="AN174" t="s">
        <v>849</v>
      </c>
      <c r="AO174" t="s">
        <v>3750</v>
      </c>
      <c r="AP174" t="s">
        <v>3751</v>
      </c>
      <c r="AQ174" t="s">
        <v>74</v>
      </c>
      <c r="AR174" t="s">
        <v>3752</v>
      </c>
      <c r="AS174" t="s">
        <v>3753</v>
      </c>
      <c r="AT174" t="s">
        <v>2840</v>
      </c>
      <c r="AU174">
        <v>2021</v>
      </c>
      <c r="AV174">
        <v>66</v>
      </c>
      <c r="AW174">
        <v>23</v>
      </c>
      <c r="AX174" t="s">
        <v>74</v>
      </c>
      <c r="AY174" t="s">
        <v>74</v>
      </c>
      <c r="AZ174" t="s">
        <v>74</v>
      </c>
      <c r="BA174" t="s">
        <v>74</v>
      </c>
      <c r="BB174">
        <v>2394</v>
      </c>
      <c r="BC174">
        <v>2404</v>
      </c>
      <c r="BD174" t="s">
        <v>74</v>
      </c>
      <c r="BE174" t="s">
        <v>3754</v>
      </c>
      <c r="BF174" t="str">
        <f>HYPERLINK("http://dx.doi.org/10.1016/j.scib.2021.07.028","http://dx.doi.org/10.1016/j.scib.2021.07.028")</f>
        <v>http://dx.doi.org/10.1016/j.scib.2021.07.028</v>
      </c>
      <c r="BG174" t="s">
        <v>74</v>
      </c>
      <c r="BH174" t="s">
        <v>263</v>
      </c>
      <c r="BI174">
        <v>11</v>
      </c>
      <c r="BJ174" t="s">
        <v>126</v>
      </c>
      <c r="BK174" t="s">
        <v>101</v>
      </c>
      <c r="BL174" t="s">
        <v>127</v>
      </c>
      <c r="BM174" t="s">
        <v>3755</v>
      </c>
      <c r="BN174">
        <v>36654125</v>
      </c>
      <c r="BO174" t="s">
        <v>74</v>
      </c>
      <c r="BP174" t="s">
        <v>74</v>
      </c>
      <c r="BQ174" t="s">
        <v>74</v>
      </c>
      <c r="BR174" t="s">
        <v>105</v>
      </c>
      <c r="BS174" t="s">
        <v>3756</v>
      </c>
      <c r="BT174" t="str">
        <f>HYPERLINK("https%3A%2F%2Fwww.webofscience.com%2Fwos%2Fwoscc%2Ffull-record%2FWOS:000717907700010","View Full Record in Web of Science")</f>
        <v>View Full Record in Web of Science</v>
      </c>
    </row>
    <row r="175" spans="1:72" x14ac:dyDescent="0.15">
      <c r="A175" t="s">
        <v>72</v>
      </c>
      <c r="B175" t="s">
        <v>3757</v>
      </c>
      <c r="C175" t="s">
        <v>74</v>
      </c>
      <c r="D175" t="s">
        <v>74</v>
      </c>
      <c r="E175" t="s">
        <v>74</v>
      </c>
      <c r="F175" t="s">
        <v>3758</v>
      </c>
      <c r="G175" t="s">
        <v>74</v>
      </c>
      <c r="H175" t="s">
        <v>74</v>
      </c>
      <c r="I175" t="s">
        <v>3759</v>
      </c>
      <c r="J175" t="s">
        <v>3760</v>
      </c>
      <c r="K175" t="s">
        <v>74</v>
      </c>
      <c r="L175" t="s">
        <v>74</v>
      </c>
      <c r="M175" t="s">
        <v>78</v>
      </c>
      <c r="N175" t="s">
        <v>79</v>
      </c>
      <c r="O175" t="s">
        <v>74</v>
      </c>
      <c r="P175" t="s">
        <v>74</v>
      </c>
      <c r="Q175" t="s">
        <v>74</v>
      </c>
      <c r="R175" t="s">
        <v>74</v>
      </c>
      <c r="S175" t="s">
        <v>74</v>
      </c>
      <c r="T175" t="s">
        <v>74</v>
      </c>
      <c r="U175" t="s">
        <v>3761</v>
      </c>
      <c r="V175" t="s">
        <v>3762</v>
      </c>
      <c r="W175" t="s">
        <v>3763</v>
      </c>
      <c r="X175" t="s">
        <v>3764</v>
      </c>
      <c r="Y175" t="s">
        <v>3765</v>
      </c>
      <c r="Z175" t="s">
        <v>3766</v>
      </c>
      <c r="AA175" t="s">
        <v>3767</v>
      </c>
      <c r="AB175" t="s">
        <v>3768</v>
      </c>
      <c r="AC175" t="s">
        <v>3769</v>
      </c>
      <c r="AD175" t="s">
        <v>3770</v>
      </c>
      <c r="AE175" t="s">
        <v>3771</v>
      </c>
      <c r="AF175" t="s">
        <v>74</v>
      </c>
      <c r="AG175">
        <v>34</v>
      </c>
      <c r="AH175">
        <v>4</v>
      </c>
      <c r="AI175">
        <v>5</v>
      </c>
      <c r="AJ175">
        <v>1</v>
      </c>
      <c r="AK175">
        <v>15</v>
      </c>
      <c r="AL175" t="s">
        <v>464</v>
      </c>
      <c r="AM175" t="s">
        <v>465</v>
      </c>
      <c r="AN175" t="s">
        <v>466</v>
      </c>
      <c r="AO175" t="s">
        <v>3772</v>
      </c>
      <c r="AP175" t="s">
        <v>74</v>
      </c>
      <c r="AQ175" t="s">
        <v>74</v>
      </c>
      <c r="AR175" t="s">
        <v>3773</v>
      </c>
      <c r="AS175" t="s">
        <v>3774</v>
      </c>
      <c r="AT175" t="s">
        <v>3700</v>
      </c>
      <c r="AU175">
        <v>2021</v>
      </c>
      <c r="AV175">
        <v>6</v>
      </c>
      <c r="AW175">
        <v>11</v>
      </c>
      <c r="AX175" t="s">
        <v>74</v>
      </c>
      <c r="AY175" t="s">
        <v>74</v>
      </c>
      <c r="AZ175" t="s">
        <v>74</v>
      </c>
      <c r="BA175" t="s">
        <v>74</v>
      </c>
      <c r="BB175" t="s">
        <v>74</v>
      </c>
      <c r="BC175" t="s">
        <v>74</v>
      </c>
      <c r="BD175">
        <v>114003</v>
      </c>
      <c r="BE175" t="s">
        <v>3775</v>
      </c>
      <c r="BF175" t="str">
        <f>HYPERLINK("http://dx.doi.org/10.1103/PhysRevFluids.6.114003","http://dx.doi.org/10.1103/PhysRevFluids.6.114003")</f>
        <v>http://dx.doi.org/10.1103/PhysRevFluids.6.114003</v>
      </c>
      <c r="BG175" t="s">
        <v>74</v>
      </c>
      <c r="BH175" t="s">
        <v>74</v>
      </c>
      <c r="BI175">
        <v>26</v>
      </c>
      <c r="BJ175" t="s">
        <v>3776</v>
      </c>
      <c r="BK175" t="s">
        <v>101</v>
      </c>
      <c r="BL175" t="s">
        <v>3777</v>
      </c>
      <c r="BM175" t="s">
        <v>3778</v>
      </c>
      <c r="BN175" t="s">
        <v>74</v>
      </c>
      <c r="BO175" t="s">
        <v>3779</v>
      </c>
      <c r="BP175" t="s">
        <v>74</v>
      </c>
      <c r="BQ175" t="s">
        <v>74</v>
      </c>
      <c r="BR175" t="s">
        <v>105</v>
      </c>
      <c r="BS175" t="s">
        <v>3780</v>
      </c>
      <c r="BT175" t="str">
        <f>HYPERLINK("https%3A%2F%2Fwww.webofscience.com%2Fwos%2Fwoscc%2Ffull-record%2FWOS:000718124000001","View Full Record in Web of Science")</f>
        <v>View Full Record in Web of Science</v>
      </c>
    </row>
    <row r="176" spans="1:72" x14ac:dyDescent="0.15">
      <c r="A176" t="s">
        <v>72</v>
      </c>
      <c r="B176" t="s">
        <v>3781</v>
      </c>
      <c r="C176" t="s">
        <v>74</v>
      </c>
      <c r="D176" t="s">
        <v>74</v>
      </c>
      <c r="E176" t="s">
        <v>74</v>
      </c>
      <c r="F176" t="s">
        <v>3782</v>
      </c>
      <c r="G176" t="s">
        <v>74</v>
      </c>
      <c r="H176" t="s">
        <v>74</v>
      </c>
      <c r="I176" t="s">
        <v>3783</v>
      </c>
      <c r="J176" t="s">
        <v>3784</v>
      </c>
      <c r="K176" t="s">
        <v>74</v>
      </c>
      <c r="L176" t="s">
        <v>74</v>
      </c>
      <c r="M176" t="s">
        <v>78</v>
      </c>
      <c r="N176" t="s">
        <v>79</v>
      </c>
      <c r="O176" t="s">
        <v>74</v>
      </c>
      <c r="P176" t="s">
        <v>74</v>
      </c>
      <c r="Q176" t="s">
        <v>74</v>
      </c>
      <c r="R176" t="s">
        <v>74</v>
      </c>
      <c r="S176" t="s">
        <v>74</v>
      </c>
      <c r="T176" t="s">
        <v>3785</v>
      </c>
      <c r="U176" t="s">
        <v>3786</v>
      </c>
      <c r="V176" t="s">
        <v>3787</v>
      </c>
      <c r="W176" t="s">
        <v>3788</v>
      </c>
      <c r="X176" t="s">
        <v>3789</v>
      </c>
      <c r="Y176" t="s">
        <v>3790</v>
      </c>
      <c r="Z176" t="s">
        <v>3791</v>
      </c>
      <c r="AA176" t="s">
        <v>3792</v>
      </c>
      <c r="AB176" t="s">
        <v>3793</v>
      </c>
      <c r="AC176" t="s">
        <v>3794</v>
      </c>
      <c r="AD176" t="s">
        <v>3795</v>
      </c>
      <c r="AE176" t="s">
        <v>3796</v>
      </c>
      <c r="AF176" t="s">
        <v>74</v>
      </c>
      <c r="AG176">
        <v>91</v>
      </c>
      <c r="AH176">
        <v>3</v>
      </c>
      <c r="AI176">
        <v>4</v>
      </c>
      <c r="AJ176">
        <v>1</v>
      </c>
      <c r="AK176">
        <v>3</v>
      </c>
      <c r="AL176" t="s">
        <v>1621</v>
      </c>
      <c r="AM176" t="s">
        <v>1622</v>
      </c>
      <c r="AN176" t="s">
        <v>1623</v>
      </c>
      <c r="AO176" t="s">
        <v>3797</v>
      </c>
      <c r="AP176" t="s">
        <v>3798</v>
      </c>
      <c r="AQ176" t="s">
        <v>74</v>
      </c>
      <c r="AR176" t="s">
        <v>3799</v>
      </c>
      <c r="AS176" t="s">
        <v>3800</v>
      </c>
      <c r="AT176" t="s">
        <v>74</v>
      </c>
      <c r="AU176">
        <v>2021</v>
      </c>
      <c r="AV176">
        <v>35</v>
      </c>
      <c r="AW176">
        <v>8</v>
      </c>
      <c r="AX176" t="s">
        <v>74</v>
      </c>
      <c r="AY176" t="s">
        <v>74</v>
      </c>
      <c r="AZ176" t="s">
        <v>74</v>
      </c>
      <c r="BA176" t="s">
        <v>74</v>
      </c>
      <c r="BB176">
        <v>827</v>
      </c>
      <c r="BC176">
        <v>849</v>
      </c>
      <c r="BD176" t="s">
        <v>74</v>
      </c>
      <c r="BE176" t="s">
        <v>3801</v>
      </c>
      <c r="BF176" t="str">
        <f>HYPERLINK("http://dx.doi.org/10.1071/IS21012","http://dx.doi.org/10.1071/IS21012")</f>
        <v>http://dx.doi.org/10.1071/IS21012</v>
      </c>
      <c r="BG176" t="s">
        <v>74</v>
      </c>
      <c r="BH176" t="s">
        <v>263</v>
      </c>
      <c r="BI176">
        <v>23</v>
      </c>
      <c r="BJ176" t="s">
        <v>3802</v>
      </c>
      <c r="BK176" t="s">
        <v>101</v>
      </c>
      <c r="BL176" t="s">
        <v>3802</v>
      </c>
      <c r="BM176" t="s">
        <v>3803</v>
      </c>
      <c r="BN176" t="s">
        <v>74</v>
      </c>
      <c r="BO176" t="s">
        <v>74</v>
      </c>
      <c r="BP176" t="s">
        <v>74</v>
      </c>
      <c r="BQ176" t="s">
        <v>74</v>
      </c>
      <c r="BR176" t="s">
        <v>105</v>
      </c>
      <c r="BS176" t="s">
        <v>3804</v>
      </c>
      <c r="BT176" t="str">
        <f>HYPERLINK("https%3A%2F%2Fwww.webofscience.com%2Fwos%2Fwoscc%2Ffull-record%2FWOS:000714556200001","View Full Record in Web of Science")</f>
        <v>View Full Record in Web of Science</v>
      </c>
    </row>
    <row r="177" spans="1:72" x14ac:dyDescent="0.15">
      <c r="A177" t="s">
        <v>72</v>
      </c>
      <c r="B177" t="s">
        <v>3805</v>
      </c>
      <c r="C177" t="s">
        <v>74</v>
      </c>
      <c r="D177" t="s">
        <v>74</v>
      </c>
      <c r="E177" t="s">
        <v>74</v>
      </c>
      <c r="F177" t="s">
        <v>3806</v>
      </c>
      <c r="G177" t="s">
        <v>74</v>
      </c>
      <c r="H177" t="s">
        <v>74</v>
      </c>
      <c r="I177" t="s">
        <v>3807</v>
      </c>
      <c r="J177" t="s">
        <v>3558</v>
      </c>
      <c r="K177" t="s">
        <v>74</v>
      </c>
      <c r="L177" t="s">
        <v>74</v>
      </c>
      <c r="M177" t="s">
        <v>78</v>
      </c>
      <c r="N177" t="s">
        <v>79</v>
      </c>
      <c r="O177" t="s">
        <v>74</v>
      </c>
      <c r="P177" t="s">
        <v>74</v>
      </c>
      <c r="Q177" t="s">
        <v>74</v>
      </c>
      <c r="R177" t="s">
        <v>74</v>
      </c>
      <c r="S177" t="s">
        <v>74</v>
      </c>
      <c r="T177" t="s">
        <v>74</v>
      </c>
      <c r="U177" t="s">
        <v>3808</v>
      </c>
      <c r="V177" t="s">
        <v>3809</v>
      </c>
      <c r="W177" t="s">
        <v>3810</v>
      </c>
      <c r="X177" t="s">
        <v>3811</v>
      </c>
      <c r="Y177" t="s">
        <v>3812</v>
      </c>
      <c r="Z177" t="s">
        <v>1483</v>
      </c>
      <c r="AA177" t="s">
        <v>3813</v>
      </c>
      <c r="AB177" t="s">
        <v>3814</v>
      </c>
      <c r="AC177" t="s">
        <v>3815</v>
      </c>
      <c r="AD177" t="s">
        <v>3816</v>
      </c>
      <c r="AE177" t="s">
        <v>3817</v>
      </c>
      <c r="AF177" t="s">
        <v>74</v>
      </c>
      <c r="AG177">
        <v>54</v>
      </c>
      <c r="AH177">
        <v>4</v>
      </c>
      <c r="AI177">
        <v>4</v>
      </c>
      <c r="AJ177">
        <v>3</v>
      </c>
      <c r="AK177">
        <v>25</v>
      </c>
      <c r="AL177" t="s">
        <v>572</v>
      </c>
      <c r="AM177" t="s">
        <v>573</v>
      </c>
      <c r="AN177" t="s">
        <v>574</v>
      </c>
      <c r="AO177" t="s">
        <v>3570</v>
      </c>
      <c r="AP177" t="s">
        <v>3571</v>
      </c>
      <c r="AQ177" t="s">
        <v>74</v>
      </c>
      <c r="AR177" t="s">
        <v>3572</v>
      </c>
      <c r="AS177" t="s">
        <v>3573</v>
      </c>
      <c r="AT177" t="s">
        <v>416</v>
      </c>
      <c r="AU177">
        <v>2022</v>
      </c>
      <c r="AV177">
        <v>67</v>
      </c>
      <c r="AW177">
        <v>1</v>
      </c>
      <c r="AX177" t="s">
        <v>74</v>
      </c>
      <c r="AY177" t="s">
        <v>74</v>
      </c>
      <c r="AZ177" t="s">
        <v>74</v>
      </c>
      <c r="BA177" t="s">
        <v>74</v>
      </c>
      <c r="BB177">
        <v>26</v>
      </c>
      <c r="BC177">
        <v>38</v>
      </c>
      <c r="BD177" t="s">
        <v>74</v>
      </c>
      <c r="BE177" t="s">
        <v>3818</v>
      </c>
      <c r="BF177" t="str">
        <f>HYPERLINK("http://dx.doi.org/10.1002/lno.11972","http://dx.doi.org/10.1002/lno.11972")</f>
        <v>http://dx.doi.org/10.1002/lno.11972</v>
      </c>
      <c r="BG177" t="s">
        <v>74</v>
      </c>
      <c r="BH177" t="s">
        <v>263</v>
      </c>
      <c r="BI177">
        <v>13</v>
      </c>
      <c r="BJ177" t="s">
        <v>3575</v>
      </c>
      <c r="BK177" t="s">
        <v>101</v>
      </c>
      <c r="BL177" t="s">
        <v>3136</v>
      </c>
      <c r="BM177" t="s">
        <v>3576</v>
      </c>
      <c r="BN177" t="s">
        <v>74</v>
      </c>
      <c r="BO177" t="s">
        <v>74</v>
      </c>
      <c r="BP177" t="s">
        <v>74</v>
      </c>
      <c r="BQ177" t="s">
        <v>74</v>
      </c>
      <c r="BR177" t="s">
        <v>105</v>
      </c>
      <c r="BS177" t="s">
        <v>3819</v>
      </c>
      <c r="BT177" t="str">
        <f>HYPERLINK("https%3A%2F%2Fwww.webofscience.com%2Fwos%2Fwoscc%2Ffull-record%2FWOS:000714538300001","View Full Record in Web of Science")</f>
        <v>View Full Record in Web of Science</v>
      </c>
    </row>
    <row r="178" spans="1:72" x14ac:dyDescent="0.15">
      <c r="A178" t="s">
        <v>72</v>
      </c>
      <c r="B178" t="s">
        <v>3820</v>
      </c>
      <c r="C178" t="s">
        <v>74</v>
      </c>
      <c r="D178" t="s">
        <v>74</v>
      </c>
      <c r="E178" t="s">
        <v>74</v>
      </c>
      <c r="F178" t="s">
        <v>3821</v>
      </c>
      <c r="G178" t="s">
        <v>74</v>
      </c>
      <c r="H178" t="s">
        <v>74</v>
      </c>
      <c r="I178" t="s">
        <v>3822</v>
      </c>
      <c r="J178" t="s">
        <v>3823</v>
      </c>
      <c r="K178" t="s">
        <v>74</v>
      </c>
      <c r="L178" t="s">
        <v>74</v>
      </c>
      <c r="M178" t="s">
        <v>78</v>
      </c>
      <c r="N178" t="s">
        <v>373</v>
      </c>
      <c r="O178" t="s">
        <v>74</v>
      </c>
      <c r="P178" t="s">
        <v>74</v>
      </c>
      <c r="Q178" t="s">
        <v>74</v>
      </c>
      <c r="R178" t="s">
        <v>74</v>
      </c>
      <c r="S178" t="s">
        <v>74</v>
      </c>
      <c r="T178" t="s">
        <v>74</v>
      </c>
      <c r="U178" t="s">
        <v>3824</v>
      </c>
      <c r="V178" t="s">
        <v>3825</v>
      </c>
      <c r="W178" t="s">
        <v>3826</v>
      </c>
      <c r="X178" t="s">
        <v>3827</v>
      </c>
      <c r="Y178" t="s">
        <v>3828</v>
      </c>
      <c r="Z178" t="s">
        <v>3829</v>
      </c>
      <c r="AA178" t="s">
        <v>3830</v>
      </c>
      <c r="AB178" t="s">
        <v>3831</v>
      </c>
      <c r="AC178" t="s">
        <v>3832</v>
      </c>
      <c r="AD178" t="s">
        <v>3833</v>
      </c>
      <c r="AE178" t="s">
        <v>3834</v>
      </c>
      <c r="AF178" t="s">
        <v>74</v>
      </c>
      <c r="AG178">
        <v>130</v>
      </c>
      <c r="AH178">
        <v>29</v>
      </c>
      <c r="AI178">
        <v>32</v>
      </c>
      <c r="AJ178">
        <v>12</v>
      </c>
      <c r="AK178">
        <v>90</v>
      </c>
      <c r="AL178" t="s">
        <v>3835</v>
      </c>
      <c r="AM178" t="s">
        <v>438</v>
      </c>
      <c r="AN178" t="s">
        <v>3836</v>
      </c>
      <c r="AO178" t="s">
        <v>3837</v>
      </c>
      <c r="AP178" t="s">
        <v>3838</v>
      </c>
      <c r="AQ178" t="s">
        <v>74</v>
      </c>
      <c r="AR178" t="s">
        <v>3823</v>
      </c>
      <c r="AS178" t="s">
        <v>3839</v>
      </c>
      <c r="AT178" t="s">
        <v>3700</v>
      </c>
      <c r="AU178">
        <v>2021</v>
      </c>
      <c r="AV178">
        <v>374</v>
      </c>
      <c r="AW178">
        <v>6568</v>
      </c>
      <c r="AX178" t="s">
        <v>74</v>
      </c>
      <c r="AY178" t="s">
        <v>74</v>
      </c>
      <c r="AZ178" t="s">
        <v>74</v>
      </c>
      <c r="BA178" t="s">
        <v>74</v>
      </c>
      <c r="BB178" t="s">
        <v>74</v>
      </c>
      <c r="BC178" t="s">
        <v>74</v>
      </c>
      <c r="BD178" t="s">
        <v>3840</v>
      </c>
      <c r="BE178" t="s">
        <v>3841</v>
      </c>
      <c r="BF178" t="str">
        <f>HYPERLINK("http://dx.doi.org/10.1126/science.abd7096","http://dx.doi.org/10.1126/science.abd7096")</f>
        <v>http://dx.doi.org/10.1126/science.abd7096</v>
      </c>
      <c r="BG178" t="s">
        <v>74</v>
      </c>
      <c r="BH178" t="s">
        <v>74</v>
      </c>
      <c r="BI178">
        <v>11</v>
      </c>
      <c r="BJ178" t="s">
        <v>126</v>
      </c>
      <c r="BK178" t="s">
        <v>101</v>
      </c>
      <c r="BL178" t="s">
        <v>127</v>
      </c>
      <c r="BM178" t="s">
        <v>3842</v>
      </c>
      <c r="BN178">
        <v>34735228</v>
      </c>
      <c r="BO178" t="s">
        <v>3843</v>
      </c>
      <c r="BP178" t="s">
        <v>74</v>
      </c>
      <c r="BQ178" t="s">
        <v>74</v>
      </c>
      <c r="BR178" t="s">
        <v>105</v>
      </c>
      <c r="BS178" t="s">
        <v>3844</v>
      </c>
      <c r="BT178" t="str">
        <f>HYPERLINK("https%3A%2F%2Fwww.webofscience.com%2Fwos%2Fwoscc%2Ffull-record%2FWOS:000714952000025","View Full Record in Web of Science")</f>
        <v>View Full Record in Web of Science</v>
      </c>
    </row>
    <row r="179" spans="1:72" x14ac:dyDescent="0.15">
      <c r="A179" t="s">
        <v>72</v>
      </c>
      <c r="B179" t="s">
        <v>3845</v>
      </c>
      <c r="C179" t="s">
        <v>74</v>
      </c>
      <c r="D179" t="s">
        <v>74</v>
      </c>
      <c r="E179" t="s">
        <v>74</v>
      </c>
      <c r="F179" t="s">
        <v>3846</v>
      </c>
      <c r="G179" t="s">
        <v>74</v>
      </c>
      <c r="H179" t="s">
        <v>74</v>
      </c>
      <c r="I179" t="s">
        <v>3847</v>
      </c>
      <c r="J179" t="s">
        <v>1516</v>
      </c>
      <c r="K179" t="s">
        <v>74</v>
      </c>
      <c r="L179" t="s">
        <v>74</v>
      </c>
      <c r="M179" t="s">
        <v>78</v>
      </c>
      <c r="N179" t="s">
        <v>79</v>
      </c>
      <c r="O179" t="s">
        <v>74</v>
      </c>
      <c r="P179" t="s">
        <v>74</v>
      </c>
      <c r="Q179" t="s">
        <v>74</v>
      </c>
      <c r="R179" t="s">
        <v>74</v>
      </c>
      <c r="S179" t="s">
        <v>74</v>
      </c>
      <c r="T179" t="s">
        <v>74</v>
      </c>
      <c r="U179" t="s">
        <v>3848</v>
      </c>
      <c r="V179" t="s">
        <v>3849</v>
      </c>
      <c r="W179" t="s">
        <v>3850</v>
      </c>
      <c r="X179" t="s">
        <v>3851</v>
      </c>
      <c r="Y179" t="s">
        <v>3852</v>
      </c>
      <c r="Z179" t="s">
        <v>3853</v>
      </c>
      <c r="AA179" t="s">
        <v>74</v>
      </c>
      <c r="AB179" t="s">
        <v>3854</v>
      </c>
      <c r="AC179" t="s">
        <v>74</v>
      </c>
      <c r="AD179" t="s">
        <v>74</v>
      </c>
      <c r="AE179" t="s">
        <v>74</v>
      </c>
      <c r="AF179" t="s">
        <v>74</v>
      </c>
      <c r="AG179">
        <v>64</v>
      </c>
      <c r="AH179">
        <v>6</v>
      </c>
      <c r="AI179">
        <v>6</v>
      </c>
      <c r="AJ179">
        <v>0</v>
      </c>
      <c r="AK179">
        <v>2</v>
      </c>
      <c r="AL179" t="s">
        <v>1527</v>
      </c>
      <c r="AM179" t="s">
        <v>1528</v>
      </c>
      <c r="AN179" t="s">
        <v>1529</v>
      </c>
      <c r="AO179" t="s">
        <v>1530</v>
      </c>
      <c r="AP179" t="s">
        <v>74</v>
      </c>
      <c r="AQ179" t="s">
        <v>74</v>
      </c>
      <c r="AR179" t="s">
        <v>1516</v>
      </c>
      <c r="AS179" t="s">
        <v>1531</v>
      </c>
      <c r="AT179" t="s">
        <v>3855</v>
      </c>
      <c r="AU179">
        <v>2021</v>
      </c>
      <c r="AV179">
        <v>16</v>
      </c>
      <c r="AW179">
        <v>11</v>
      </c>
      <c r="AX179" t="s">
        <v>74</v>
      </c>
      <c r="AY179" t="s">
        <v>74</v>
      </c>
      <c r="AZ179" t="s">
        <v>74</v>
      </c>
      <c r="BA179" t="s">
        <v>74</v>
      </c>
      <c r="BB179" t="s">
        <v>74</v>
      </c>
      <c r="BC179" t="s">
        <v>74</v>
      </c>
      <c r="BD179" t="s">
        <v>3856</v>
      </c>
      <c r="BE179" t="s">
        <v>3857</v>
      </c>
      <c r="BF179" t="str">
        <f>HYPERLINK("http://dx.doi.org/10.1371/journal.pone.0257950","http://dx.doi.org/10.1371/journal.pone.0257950")</f>
        <v>http://dx.doi.org/10.1371/journal.pone.0257950</v>
      </c>
      <c r="BG179" t="s">
        <v>74</v>
      </c>
      <c r="BH179" t="s">
        <v>74</v>
      </c>
      <c r="BI179">
        <v>19</v>
      </c>
      <c r="BJ179" t="s">
        <v>126</v>
      </c>
      <c r="BK179" t="s">
        <v>101</v>
      </c>
      <c r="BL179" t="s">
        <v>127</v>
      </c>
      <c r="BM179" t="s">
        <v>3858</v>
      </c>
      <c r="BN179">
        <v>34735463</v>
      </c>
      <c r="BO179" t="s">
        <v>394</v>
      </c>
      <c r="BP179" t="s">
        <v>74</v>
      </c>
      <c r="BQ179" t="s">
        <v>74</v>
      </c>
      <c r="BR179" t="s">
        <v>105</v>
      </c>
      <c r="BS179" t="s">
        <v>3859</v>
      </c>
      <c r="BT179" t="str">
        <f>HYPERLINK("https%3A%2F%2Fwww.webofscience.com%2Fwos%2Fwoscc%2Ffull-record%2FWOS:000755077100019","View Full Record in Web of Science")</f>
        <v>View Full Record in Web of Science</v>
      </c>
    </row>
    <row r="180" spans="1:72" x14ac:dyDescent="0.15">
      <c r="A180" t="s">
        <v>72</v>
      </c>
      <c r="B180" t="s">
        <v>3860</v>
      </c>
      <c r="C180" t="s">
        <v>74</v>
      </c>
      <c r="D180" t="s">
        <v>74</v>
      </c>
      <c r="E180" t="s">
        <v>74</v>
      </c>
      <c r="F180" t="s">
        <v>3861</v>
      </c>
      <c r="G180" t="s">
        <v>74</v>
      </c>
      <c r="H180" t="s">
        <v>74</v>
      </c>
      <c r="I180" t="s">
        <v>3862</v>
      </c>
      <c r="J180" t="s">
        <v>372</v>
      </c>
      <c r="K180" t="s">
        <v>74</v>
      </c>
      <c r="L180" t="s">
        <v>74</v>
      </c>
      <c r="M180" t="s">
        <v>78</v>
      </c>
      <c r="N180" t="s">
        <v>79</v>
      </c>
      <c r="O180" t="s">
        <v>74</v>
      </c>
      <c r="P180" t="s">
        <v>74</v>
      </c>
      <c r="Q180" t="s">
        <v>74</v>
      </c>
      <c r="R180" t="s">
        <v>74</v>
      </c>
      <c r="S180" t="s">
        <v>74</v>
      </c>
      <c r="T180" t="s">
        <v>3863</v>
      </c>
      <c r="U180" t="s">
        <v>3864</v>
      </c>
      <c r="V180" t="s">
        <v>3865</v>
      </c>
      <c r="W180" t="s">
        <v>3866</v>
      </c>
      <c r="X180" t="s">
        <v>3867</v>
      </c>
      <c r="Y180" t="s">
        <v>3868</v>
      </c>
      <c r="Z180" t="s">
        <v>3869</v>
      </c>
      <c r="AA180" t="s">
        <v>74</v>
      </c>
      <c r="AB180" t="s">
        <v>3870</v>
      </c>
      <c r="AC180" t="s">
        <v>74</v>
      </c>
      <c r="AD180" t="s">
        <v>74</v>
      </c>
      <c r="AE180" t="s">
        <v>74</v>
      </c>
      <c r="AF180" t="s">
        <v>74</v>
      </c>
      <c r="AG180">
        <v>64</v>
      </c>
      <c r="AH180">
        <v>3</v>
      </c>
      <c r="AI180">
        <v>3</v>
      </c>
      <c r="AJ180">
        <v>5</v>
      </c>
      <c r="AK180">
        <v>20</v>
      </c>
      <c r="AL180" t="s">
        <v>383</v>
      </c>
      <c r="AM180" t="s">
        <v>384</v>
      </c>
      <c r="AN180" t="s">
        <v>385</v>
      </c>
      <c r="AO180" t="s">
        <v>74</v>
      </c>
      <c r="AP180" t="s">
        <v>386</v>
      </c>
      <c r="AQ180" t="s">
        <v>74</v>
      </c>
      <c r="AR180" t="s">
        <v>387</v>
      </c>
      <c r="AS180" t="s">
        <v>388</v>
      </c>
      <c r="AT180" t="s">
        <v>3855</v>
      </c>
      <c r="AU180">
        <v>2021</v>
      </c>
      <c r="AV180">
        <v>8</v>
      </c>
      <c r="AW180" t="s">
        <v>74</v>
      </c>
      <c r="AX180" t="s">
        <v>74</v>
      </c>
      <c r="AY180" t="s">
        <v>74</v>
      </c>
      <c r="AZ180" t="s">
        <v>74</v>
      </c>
      <c r="BA180" t="s">
        <v>74</v>
      </c>
      <c r="BB180" t="s">
        <v>74</v>
      </c>
      <c r="BC180" t="s">
        <v>74</v>
      </c>
      <c r="BD180">
        <v>703411</v>
      </c>
      <c r="BE180" t="s">
        <v>3871</v>
      </c>
      <c r="BF180" t="str">
        <f>HYPERLINK("http://dx.doi.org/10.3389/fmars.2021.703411","http://dx.doi.org/10.3389/fmars.2021.703411")</f>
        <v>http://dx.doi.org/10.3389/fmars.2021.703411</v>
      </c>
      <c r="BG180" t="s">
        <v>74</v>
      </c>
      <c r="BH180" t="s">
        <v>74</v>
      </c>
      <c r="BI180">
        <v>16</v>
      </c>
      <c r="BJ180" t="s">
        <v>391</v>
      </c>
      <c r="BK180" t="s">
        <v>101</v>
      </c>
      <c r="BL180" t="s">
        <v>392</v>
      </c>
      <c r="BM180" t="s">
        <v>3872</v>
      </c>
      <c r="BN180" t="s">
        <v>74</v>
      </c>
      <c r="BO180" t="s">
        <v>210</v>
      </c>
      <c r="BP180" t="s">
        <v>74</v>
      </c>
      <c r="BQ180" t="s">
        <v>74</v>
      </c>
      <c r="BR180" t="s">
        <v>105</v>
      </c>
      <c r="BS180" t="s">
        <v>3873</v>
      </c>
      <c r="BT180" t="str">
        <f>HYPERLINK("https%3A%2F%2Fwww.webofscience.com%2Fwos%2Fwoscc%2Ffull-record%2FWOS:000720046100001","View Full Record in Web of Science")</f>
        <v>View Full Record in Web of Science</v>
      </c>
    </row>
    <row r="181" spans="1:72" x14ac:dyDescent="0.15">
      <c r="A181" t="s">
        <v>72</v>
      </c>
      <c r="B181" t="s">
        <v>3874</v>
      </c>
      <c r="C181" t="s">
        <v>74</v>
      </c>
      <c r="D181" t="s">
        <v>74</v>
      </c>
      <c r="E181" t="s">
        <v>74</v>
      </c>
      <c r="F181" t="s">
        <v>3875</v>
      </c>
      <c r="G181" t="s">
        <v>74</v>
      </c>
      <c r="H181" t="s">
        <v>74</v>
      </c>
      <c r="I181" t="s">
        <v>3876</v>
      </c>
      <c r="J181" t="s">
        <v>958</v>
      </c>
      <c r="K181" t="s">
        <v>74</v>
      </c>
      <c r="L181" t="s">
        <v>74</v>
      </c>
      <c r="M181" t="s">
        <v>78</v>
      </c>
      <c r="N181" t="s">
        <v>79</v>
      </c>
      <c r="O181" t="s">
        <v>74</v>
      </c>
      <c r="P181" t="s">
        <v>74</v>
      </c>
      <c r="Q181" t="s">
        <v>74</v>
      </c>
      <c r="R181" t="s">
        <v>74</v>
      </c>
      <c r="S181" t="s">
        <v>74</v>
      </c>
      <c r="T181" t="s">
        <v>74</v>
      </c>
      <c r="U181" t="s">
        <v>3877</v>
      </c>
      <c r="V181" t="s">
        <v>3878</v>
      </c>
      <c r="W181" t="s">
        <v>3879</v>
      </c>
      <c r="X181" t="s">
        <v>3880</v>
      </c>
      <c r="Y181" t="s">
        <v>3881</v>
      </c>
      <c r="Z181" t="s">
        <v>3882</v>
      </c>
      <c r="AA181" t="s">
        <v>3883</v>
      </c>
      <c r="AB181" t="s">
        <v>3884</v>
      </c>
      <c r="AC181" t="s">
        <v>3885</v>
      </c>
      <c r="AD181" t="s">
        <v>3886</v>
      </c>
      <c r="AE181" t="s">
        <v>3887</v>
      </c>
      <c r="AF181" t="s">
        <v>74</v>
      </c>
      <c r="AG181">
        <v>81</v>
      </c>
      <c r="AH181">
        <v>1</v>
      </c>
      <c r="AI181">
        <v>1</v>
      </c>
      <c r="AJ181">
        <v>2</v>
      </c>
      <c r="AK181">
        <v>29</v>
      </c>
      <c r="AL181" t="s">
        <v>572</v>
      </c>
      <c r="AM181" t="s">
        <v>573</v>
      </c>
      <c r="AN181" t="s">
        <v>574</v>
      </c>
      <c r="AO181" t="s">
        <v>970</v>
      </c>
      <c r="AP181" t="s">
        <v>971</v>
      </c>
      <c r="AQ181" t="s">
        <v>74</v>
      </c>
      <c r="AR181" t="s">
        <v>972</v>
      </c>
      <c r="AS181" t="s">
        <v>973</v>
      </c>
      <c r="AT181" t="s">
        <v>338</v>
      </c>
      <c r="AU181">
        <v>2022</v>
      </c>
      <c r="AV181">
        <v>24</v>
      </c>
      <c r="AW181">
        <v>3</v>
      </c>
      <c r="AX181" t="s">
        <v>74</v>
      </c>
      <c r="AY181" t="s">
        <v>74</v>
      </c>
      <c r="AZ181" t="s">
        <v>74</v>
      </c>
      <c r="BA181" t="s">
        <v>74</v>
      </c>
      <c r="BB181">
        <v>1294</v>
      </c>
      <c r="BC181">
        <v>1307</v>
      </c>
      <c r="BD181" t="s">
        <v>74</v>
      </c>
      <c r="BE181" t="s">
        <v>3888</v>
      </c>
      <c r="BF181" t="str">
        <f>HYPERLINK("http://dx.doi.org/10.1111/1462-2920.15809","http://dx.doi.org/10.1111/1462-2920.15809")</f>
        <v>http://dx.doi.org/10.1111/1462-2920.15809</v>
      </c>
      <c r="BG181" t="s">
        <v>74</v>
      </c>
      <c r="BH181" t="s">
        <v>263</v>
      </c>
      <c r="BI181">
        <v>14</v>
      </c>
      <c r="BJ181" t="s">
        <v>975</v>
      </c>
      <c r="BK181" t="s">
        <v>101</v>
      </c>
      <c r="BL181" t="s">
        <v>975</v>
      </c>
      <c r="BM181" t="s">
        <v>3889</v>
      </c>
      <c r="BN181">
        <v>34735036</v>
      </c>
      <c r="BO181" t="s">
        <v>74</v>
      </c>
      <c r="BP181" t="s">
        <v>74</v>
      </c>
      <c r="BQ181" t="s">
        <v>74</v>
      </c>
      <c r="BR181" t="s">
        <v>105</v>
      </c>
      <c r="BS181" t="s">
        <v>3890</v>
      </c>
      <c r="BT181" t="str">
        <f>HYPERLINK("https%3A%2F%2Fwww.webofscience.com%2Fwos%2Fwoscc%2Ffull-record%2FWOS:000714374200001","View Full Record in Web of Science")</f>
        <v>View Full Record in Web of Science</v>
      </c>
    </row>
    <row r="182" spans="1:72" x14ac:dyDescent="0.15">
      <c r="A182" t="s">
        <v>72</v>
      </c>
      <c r="B182" t="s">
        <v>3891</v>
      </c>
      <c r="C182" t="s">
        <v>74</v>
      </c>
      <c r="D182" t="s">
        <v>74</v>
      </c>
      <c r="E182" t="s">
        <v>74</v>
      </c>
      <c r="F182" t="s">
        <v>3892</v>
      </c>
      <c r="G182" t="s">
        <v>74</v>
      </c>
      <c r="H182" t="s">
        <v>74</v>
      </c>
      <c r="I182" t="s">
        <v>3893</v>
      </c>
      <c r="J182" t="s">
        <v>3894</v>
      </c>
      <c r="K182" t="s">
        <v>74</v>
      </c>
      <c r="L182" t="s">
        <v>74</v>
      </c>
      <c r="M182" t="s">
        <v>78</v>
      </c>
      <c r="N182" t="s">
        <v>79</v>
      </c>
      <c r="O182" t="s">
        <v>74</v>
      </c>
      <c r="P182" t="s">
        <v>74</v>
      </c>
      <c r="Q182" t="s">
        <v>74</v>
      </c>
      <c r="R182" t="s">
        <v>74</v>
      </c>
      <c r="S182" t="s">
        <v>74</v>
      </c>
      <c r="T182" t="s">
        <v>74</v>
      </c>
      <c r="U182" t="s">
        <v>3895</v>
      </c>
      <c r="V182" t="s">
        <v>3896</v>
      </c>
      <c r="W182" t="s">
        <v>3897</v>
      </c>
      <c r="X182" t="s">
        <v>3898</v>
      </c>
      <c r="Y182" t="s">
        <v>3899</v>
      </c>
      <c r="Z182" t="s">
        <v>3900</v>
      </c>
      <c r="AA182" t="s">
        <v>3901</v>
      </c>
      <c r="AB182" t="s">
        <v>3902</v>
      </c>
      <c r="AC182" t="s">
        <v>74</v>
      </c>
      <c r="AD182" t="s">
        <v>74</v>
      </c>
      <c r="AE182" t="s">
        <v>74</v>
      </c>
      <c r="AF182" t="s">
        <v>74</v>
      </c>
      <c r="AG182">
        <v>137</v>
      </c>
      <c r="AH182">
        <v>83</v>
      </c>
      <c r="AI182">
        <v>89</v>
      </c>
      <c r="AJ182">
        <v>11</v>
      </c>
      <c r="AK182">
        <v>69</v>
      </c>
      <c r="AL182" t="s">
        <v>492</v>
      </c>
      <c r="AM182" t="s">
        <v>493</v>
      </c>
      <c r="AN182" t="s">
        <v>494</v>
      </c>
      <c r="AO182" t="s">
        <v>3903</v>
      </c>
      <c r="AP182" t="s">
        <v>3904</v>
      </c>
      <c r="AQ182" t="s">
        <v>74</v>
      </c>
      <c r="AR182" t="s">
        <v>3894</v>
      </c>
      <c r="AS182" t="s">
        <v>3905</v>
      </c>
      <c r="AT182" t="s">
        <v>3855</v>
      </c>
      <c r="AU182">
        <v>2021</v>
      </c>
      <c r="AV182">
        <v>599</v>
      </c>
      <c r="AW182">
        <v>7883</v>
      </c>
      <c r="AX182" t="s">
        <v>74</v>
      </c>
      <c r="AY182" t="s">
        <v>74</v>
      </c>
      <c r="AZ182" t="s">
        <v>74</v>
      </c>
      <c r="BA182" t="s">
        <v>74</v>
      </c>
      <c r="BB182">
        <v>85</v>
      </c>
      <c r="BC182" t="s">
        <v>499</v>
      </c>
      <c r="BD182" t="s">
        <v>74</v>
      </c>
      <c r="BE182" t="s">
        <v>3906</v>
      </c>
      <c r="BF182" t="str">
        <f>HYPERLINK("http://dx.doi.org/10.1038/s41586-021-03991-5","http://dx.doi.org/10.1038/s41586-021-03991-5")</f>
        <v>http://dx.doi.org/10.1038/s41586-021-03991-5</v>
      </c>
      <c r="BG182" t="s">
        <v>74</v>
      </c>
      <c r="BH182" t="s">
        <v>74</v>
      </c>
      <c r="BI182">
        <v>24</v>
      </c>
      <c r="BJ182" t="s">
        <v>126</v>
      </c>
      <c r="BK182" t="s">
        <v>101</v>
      </c>
      <c r="BL182" t="s">
        <v>127</v>
      </c>
      <c r="BM182" t="s">
        <v>3907</v>
      </c>
      <c r="BN182">
        <v>34732868</v>
      </c>
      <c r="BO182" t="s">
        <v>74</v>
      </c>
      <c r="BP182" t="s">
        <v>74</v>
      </c>
      <c r="BQ182" t="s">
        <v>74</v>
      </c>
      <c r="BR182" t="s">
        <v>105</v>
      </c>
      <c r="BS182" t="s">
        <v>3908</v>
      </c>
      <c r="BT182" t="str">
        <f>HYPERLINK("https%3A%2F%2Fwww.webofscience.com%2Fwos%2Fwoscc%2Ffull-record%2FWOS:000714417400018","View Full Record in Web of Science")</f>
        <v>View Full Record in Web of Science</v>
      </c>
    </row>
    <row r="183" spans="1:72" x14ac:dyDescent="0.15">
      <c r="A183" t="s">
        <v>72</v>
      </c>
      <c r="B183" t="s">
        <v>3909</v>
      </c>
      <c r="C183" t="s">
        <v>74</v>
      </c>
      <c r="D183" t="s">
        <v>74</v>
      </c>
      <c r="E183" t="s">
        <v>74</v>
      </c>
      <c r="F183" t="s">
        <v>3910</v>
      </c>
      <c r="G183" t="s">
        <v>74</v>
      </c>
      <c r="H183" t="s">
        <v>74</v>
      </c>
      <c r="I183" t="s">
        <v>3911</v>
      </c>
      <c r="J183" t="s">
        <v>1212</v>
      </c>
      <c r="K183" t="s">
        <v>74</v>
      </c>
      <c r="L183" t="s">
        <v>74</v>
      </c>
      <c r="M183" t="s">
        <v>78</v>
      </c>
      <c r="N183" t="s">
        <v>79</v>
      </c>
      <c r="O183" t="s">
        <v>74</v>
      </c>
      <c r="P183" t="s">
        <v>74</v>
      </c>
      <c r="Q183" t="s">
        <v>74</v>
      </c>
      <c r="R183" t="s">
        <v>74</v>
      </c>
      <c r="S183" t="s">
        <v>74</v>
      </c>
      <c r="T183" t="s">
        <v>74</v>
      </c>
      <c r="U183" t="s">
        <v>3912</v>
      </c>
      <c r="V183" t="s">
        <v>3913</v>
      </c>
      <c r="W183" t="s">
        <v>3914</v>
      </c>
      <c r="X183" t="s">
        <v>3915</v>
      </c>
      <c r="Y183" t="s">
        <v>3916</v>
      </c>
      <c r="Z183" t="s">
        <v>3917</v>
      </c>
      <c r="AA183" t="s">
        <v>3918</v>
      </c>
      <c r="AB183" t="s">
        <v>3919</v>
      </c>
      <c r="AC183" t="s">
        <v>3920</v>
      </c>
      <c r="AD183" t="s">
        <v>3921</v>
      </c>
      <c r="AE183" t="s">
        <v>3922</v>
      </c>
      <c r="AF183" t="s">
        <v>74</v>
      </c>
      <c r="AG183">
        <v>42</v>
      </c>
      <c r="AH183">
        <v>24</v>
      </c>
      <c r="AI183">
        <v>24</v>
      </c>
      <c r="AJ183">
        <v>0</v>
      </c>
      <c r="AK183">
        <v>2</v>
      </c>
      <c r="AL183" t="s">
        <v>492</v>
      </c>
      <c r="AM183" t="s">
        <v>493</v>
      </c>
      <c r="AN183" t="s">
        <v>494</v>
      </c>
      <c r="AO183" t="s">
        <v>1224</v>
      </c>
      <c r="AP183" t="s">
        <v>74</v>
      </c>
      <c r="AQ183" t="s">
        <v>74</v>
      </c>
      <c r="AR183" t="s">
        <v>1225</v>
      </c>
      <c r="AS183" t="s">
        <v>1226</v>
      </c>
      <c r="AT183" t="s">
        <v>3855</v>
      </c>
      <c r="AU183">
        <v>2021</v>
      </c>
      <c r="AV183">
        <v>11</v>
      </c>
      <c r="AW183">
        <v>1</v>
      </c>
      <c r="AX183" t="s">
        <v>74</v>
      </c>
      <c r="AY183" t="s">
        <v>74</v>
      </c>
      <c r="AZ183" t="s">
        <v>74</v>
      </c>
      <c r="BA183" t="s">
        <v>74</v>
      </c>
      <c r="BB183" t="s">
        <v>74</v>
      </c>
      <c r="BC183" t="s">
        <v>74</v>
      </c>
      <c r="BD183">
        <v>21633</v>
      </c>
      <c r="BE183" t="s">
        <v>3923</v>
      </c>
      <c r="BF183" t="str">
        <f>HYPERLINK("http://dx.doi.org/10.1038/s41598-021-00755-z","http://dx.doi.org/10.1038/s41598-021-00755-z")</f>
        <v>http://dx.doi.org/10.1038/s41598-021-00755-z</v>
      </c>
      <c r="BG183" t="s">
        <v>74</v>
      </c>
      <c r="BH183" t="s">
        <v>74</v>
      </c>
      <c r="BI183">
        <v>12</v>
      </c>
      <c r="BJ183" t="s">
        <v>126</v>
      </c>
      <c r="BK183" t="s">
        <v>101</v>
      </c>
      <c r="BL183" t="s">
        <v>127</v>
      </c>
      <c r="BM183" t="s">
        <v>3924</v>
      </c>
      <c r="BN183">
        <v>34737330</v>
      </c>
      <c r="BO183" t="s">
        <v>1094</v>
      </c>
      <c r="BP183" t="s">
        <v>74</v>
      </c>
      <c r="BQ183" t="s">
        <v>74</v>
      </c>
      <c r="BR183" t="s">
        <v>105</v>
      </c>
      <c r="BS183" t="s">
        <v>3925</v>
      </c>
      <c r="BT183" t="str">
        <f>HYPERLINK("https%3A%2F%2Fwww.webofscience.com%2Fwos%2Fwoscc%2Ffull-record%2FWOS:000714702000037","View Full Record in Web of Science")</f>
        <v>View Full Record in Web of Science</v>
      </c>
    </row>
    <row r="184" spans="1:72" x14ac:dyDescent="0.15">
      <c r="A184" t="s">
        <v>72</v>
      </c>
      <c r="B184" t="s">
        <v>3926</v>
      </c>
      <c r="C184" t="s">
        <v>74</v>
      </c>
      <c r="D184" t="s">
        <v>74</v>
      </c>
      <c r="E184" t="s">
        <v>74</v>
      </c>
      <c r="F184" t="s">
        <v>3927</v>
      </c>
      <c r="G184" t="s">
        <v>74</v>
      </c>
      <c r="H184" t="s">
        <v>74</v>
      </c>
      <c r="I184" t="s">
        <v>3928</v>
      </c>
      <c r="J184" t="s">
        <v>1377</v>
      </c>
      <c r="K184" t="s">
        <v>74</v>
      </c>
      <c r="L184" t="s">
        <v>74</v>
      </c>
      <c r="M184" t="s">
        <v>78</v>
      </c>
      <c r="N184" t="s">
        <v>79</v>
      </c>
      <c r="O184" t="s">
        <v>74</v>
      </c>
      <c r="P184" t="s">
        <v>74</v>
      </c>
      <c r="Q184" t="s">
        <v>74</v>
      </c>
      <c r="R184" t="s">
        <v>74</v>
      </c>
      <c r="S184" t="s">
        <v>74</v>
      </c>
      <c r="T184" t="s">
        <v>3929</v>
      </c>
      <c r="U184" t="s">
        <v>3930</v>
      </c>
      <c r="V184" t="s">
        <v>3931</v>
      </c>
      <c r="W184" t="s">
        <v>3932</v>
      </c>
      <c r="X184" t="s">
        <v>3933</v>
      </c>
      <c r="Y184" t="s">
        <v>3934</v>
      </c>
      <c r="Z184" t="s">
        <v>3935</v>
      </c>
      <c r="AA184" t="s">
        <v>3936</v>
      </c>
      <c r="AB184" t="s">
        <v>3937</v>
      </c>
      <c r="AC184" t="s">
        <v>3938</v>
      </c>
      <c r="AD184" t="s">
        <v>3939</v>
      </c>
      <c r="AE184" t="s">
        <v>3940</v>
      </c>
      <c r="AF184" t="s">
        <v>74</v>
      </c>
      <c r="AG184">
        <v>46</v>
      </c>
      <c r="AH184">
        <v>9</v>
      </c>
      <c r="AI184">
        <v>11</v>
      </c>
      <c r="AJ184">
        <v>0</v>
      </c>
      <c r="AK184">
        <v>5</v>
      </c>
      <c r="AL184" t="s">
        <v>255</v>
      </c>
      <c r="AM184" t="s">
        <v>256</v>
      </c>
      <c r="AN184" t="s">
        <v>257</v>
      </c>
      <c r="AO184" t="s">
        <v>1390</v>
      </c>
      <c r="AP184" t="s">
        <v>1391</v>
      </c>
      <c r="AQ184" t="s">
        <v>74</v>
      </c>
      <c r="AR184" t="s">
        <v>1392</v>
      </c>
      <c r="AS184" t="s">
        <v>1393</v>
      </c>
      <c r="AT184" t="s">
        <v>204</v>
      </c>
      <c r="AU184">
        <v>2021</v>
      </c>
      <c r="AV184">
        <v>273</v>
      </c>
      <c r="AW184" t="s">
        <v>74</v>
      </c>
      <c r="AX184" t="s">
        <v>74</v>
      </c>
      <c r="AY184" t="s">
        <v>74</v>
      </c>
      <c r="AZ184" t="s">
        <v>74</v>
      </c>
      <c r="BA184" t="s">
        <v>74</v>
      </c>
      <c r="BB184" t="s">
        <v>74</v>
      </c>
      <c r="BC184" t="s">
        <v>74</v>
      </c>
      <c r="BD184">
        <v>107256</v>
      </c>
      <c r="BE184" t="s">
        <v>3941</v>
      </c>
      <c r="BF184" t="str">
        <f>HYPERLINK("http://dx.doi.org/10.1016/j.quascirev.2021.107256","http://dx.doi.org/10.1016/j.quascirev.2021.107256")</f>
        <v>http://dx.doi.org/10.1016/j.quascirev.2021.107256</v>
      </c>
      <c r="BG184" t="s">
        <v>74</v>
      </c>
      <c r="BH184" t="s">
        <v>263</v>
      </c>
      <c r="BI184">
        <v>8</v>
      </c>
      <c r="BJ184" t="s">
        <v>340</v>
      </c>
      <c r="BK184" t="s">
        <v>101</v>
      </c>
      <c r="BL184" t="s">
        <v>341</v>
      </c>
      <c r="BM184" t="s">
        <v>3942</v>
      </c>
      <c r="BN184" t="s">
        <v>74</v>
      </c>
      <c r="BO184" t="s">
        <v>180</v>
      </c>
      <c r="BP184" t="s">
        <v>74</v>
      </c>
      <c r="BQ184" t="s">
        <v>74</v>
      </c>
      <c r="BR184" t="s">
        <v>105</v>
      </c>
      <c r="BS184" t="s">
        <v>3943</v>
      </c>
      <c r="BT184" t="str">
        <f>HYPERLINK("https%3A%2F%2Fwww.webofscience.com%2Fwos%2Fwoscc%2Ffull-record%2FWOS:000723161400006","View Full Record in Web of Science")</f>
        <v>View Full Record in Web of Science</v>
      </c>
    </row>
    <row r="185" spans="1:72" x14ac:dyDescent="0.15">
      <c r="A185" t="s">
        <v>72</v>
      </c>
      <c r="B185" t="s">
        <v>3944</v>
      </c>
      <c r="C185" t="s">
        <v>74</v>
      </c>
      <c r="D185" t="s">
        <v>74</v>
      </c>
      <c r="E185" t="s">
        <v>74</v>
      </c>
      <c r="F185" t="s">
        <v>3945</v>
      </c>
      <c r="G185" t="s">
        <v>74</v>
      </c>
      <c r="H185" t="s">
        <v>74</v>
      </c>
      <c r="I185" t="s">
        <v>3946</v>
      </c>
      <c r="J185" t="s">
        <v>3947</v>
      </c>
      <c r="K185" t="s">
        <v>74</v>
      </c>
      <c r="L185" t="s">
        <v>74</v>
      </c>
      <c r="M185" t="s">
        <v>78</v>
      </c>
      <c r="N185" t="s">
        <v>79</v>
      </c>
      <c r="O185" t="s">
        <v>74</v>
      </c>
      <c r="P185" t="s">
        <v>74</v>
      </c>
      <c r="Q185" t="s">
        <v>74</v>
      </c>
      <c r="R185" t="s">
        <v>74</v>
      </c>
      <c r="S185" t="s">
        <v>74</v>
      </c>
      <c r="T185" t="s">
        <v>3948</v>
      </c>
      <c r="U185" t="s">
        <v>3949</v>
      </c>
      <c r="V185" t="s">
        <v>3950</v>
      </c>
      <c r="W185" t="s">
        <v>3951</v>
      </c>
      <c r="X185" t="s">
        <v>3952</v>
      </c>
      <c r="Y185" t="s">
        <v>3953</v>
      </c>
      <c r="Z185" t="s">
        <v>3954</v>
      </c>
      <c r="AA185" t="s">
        <v>74</v>
      </c>
      <c r="AB185" t="s">
        <v>3955</v>
      </c>
      <c r="AC185" t="s">
        <v>3956</v>
      </c>
      <c r="AD185" t="s">
        <v>3957</v>
      </c>
      <c r="AE185" t="s">
        <v>3958</v>
      </c>
      <c r="AF185" t="s">
        <v>74</v>
      </c>
      <c r="AG185">
        <v>37</v>
      </c>
      <c r="AH185">
        <v>13</v>
      </c>
      <c r="AI185">
        <v>13</v>
      </c>
      <c r="AJ185">
        <v>8</v>
      </c>
      <c r="AK185">
        <v>65</v>
      </c>
      <c r="AL185" t="s">
        <v>1326</v>
      </c>
      <c r="AM185" t="s">
        <v>256</v>
      </c>
      <c r="AN185" t="s">
        <v>1327</v>
      </c>
      <c r="AO185" t="s">
        <v>3959</v>
      </c>
      <c r="AP185" t="s">
        <v>3960</v>
      </c>
      <c r="AQ185" t="s">
        <v>74</v>
      </c>
      <c r="AR185" t="s">
        <v>3961</v>
      </c>
      <c r="AS185" t="s">
        <v>3962</v>
      </c>
      <c r="AT185" t="s">
        <v>98</v>
      </c>
      <c r="AU185">
        <v>2021</v>
      </c>
      <c r="AV185">
        <v>117</v>
      </c>
      <c r="AW185" t="s">
        <v>74</v>
      </c>
      <c r="AX185" t="s">
        <v>74</v>
      </c>
      <c r="AY185" t="s">
        <v>74</v>
      </c>
      <c r="AZ185" t="s">
        <v>74</v>
      </c>
      <c r="BA185" t="s">
        <v>74</v>
      </c>
      <c r="BB185" t="s">
        <v>74</v>
      </c>
      <c r="BC185" t="s">
        <v>74</v>
      </c>
      <c r="BD185">
        <v>102948</v>
      </c>
      <c r="BE185" t="s">
        <v>3963</v>
      </c>
      <c r="BF185" t="str">
        <f>HYPERLINK("http://dx.doi.org/10.1016/j.apor.2021.102948","http://dx.doi.org/10.1016/j.apor.2021.102948")</f>
        <v>http://dx.doi.org/10.1016/j.apor.2021.102948</v>
      </c>
      <c r="BG185" t="s">
        <v>74</v>
      </c>
      <c r="BH185" t="s">
        <v>263</v>
      </c>
      <c r="BI185">
        <v>12</v>
      </c>
      <c r="BJ185" t="s">
        <v>3964</v>
      </c>
      <c r="BK185" t="s">
        <v>101</v>
      </c>
      <c r="BL185" t="s">
        <v>3965</v>
      </c>
      <c r="BM185" t="s">
        <v>3966</v>
      </c>
      <c r="BN185" t="s">
        <v>74</v>
      </c>
      <c r="BO185" t="s">
        <v>74</v>
      </c>
      <c r="BP185" t="s">
        <v>74</v>
      </c>
      <c r="BQ185" t="s">
        <v>74</v>
      </c>
      <c r="BR185" t="s">
        <v>105</v>
      </c>
      <c r="BS185" t="s">
        <v>3967</v>
      </c>
      <c r="BT185" t="str">
        <f>HYPERLINK("https%3A%2F%2Fwww.webofscience.com%2Fwos%2Fwoscc%2Ffull-record%2FWOS:000721980800003","View Full Record in Web of Science")</f>
        <v>View Full Record in Web of Science</v>
      </c>
    </row>
    <row r="186" spans="1:72" x14ac:dyDescent="0.15">
      <c r="A186" t="s">
        <v>72</v>
      </c>
      <c r="B186" t="s">
        <v>3968</v>
      </c>
      <c r="C186" t="s">
        <v>74</v>
      </c>
      <c r="D186" t="s">
        <v>74</v>
      </c>
      <c r="E186" t="s">
        <v>74</v>
      </c>
      <c r="F186" t="s">
        <v>3969</v>
      </c>
      <c r="G186" t="s">
        <v>74</v>
      </c>
      <c r="H186" t="s">
        <v>74</v>
      </c>
      <c r="I186" t="s">
        <v>3970</v>
      </c>
      <c r="J186" t="s">
        <v>1058</v>
      </c>
      <c r="K186" t="s">
        <v>74</v>
      </c>
      <c r="L186" t="s">
        <v>74</v>
      </c>
      <c r="M186" t="s">
        <v>78</v>
      </c>
      <c r="N186" t="s">
        <v>79</v>
      </c>
      <c r="O186" t="s">
        <v>74</v>
      </c>
      <c r="P186" t="s">
        <v>74</v>
      </c>
      <c r="Q186" t="s">
        <v>74</v>
      </c>
      <c r="R186" t="s">
        <v>74</v>
      </c>
      <c r="S186" t="s">
        <v>74</v>
      </c>
      <c r="T186" t="s">
        <v>74</v>
      </c>
      <c r="U186" t="s">
        <v>3971</v>
      </c>
      <c r="V186" t="s">
        <v>3972</v>
      </c>
      <c r="W186" t="s">
        <v>3973</v>
      </c>
      <c r="X186" t="s">
        <v>3974</v>
      </c>
      <c r="Y186" t="s">
        <v>3975</v>
      </c>
      <c r="Z186" t="s">
        <v>3976</v>
      </c>
      <c r="AA186" t="s">
        <v>3977</v>
      </c>
      <c r="AB186" t="s">
        <v>3978</v>
      </c>
      <c r="AC186" t="s">
        <v>3979</v>
      </c>
      <c r="AD186" t="s">
        <v>3980</v>
      </c>
      <c r="AE186" t="s">
        <v>3981</v>
      </c>
      <c r="AF186" t="s">
        <v>74</v>
      </c>
      <c r="AG186">
        <v>70</v>
      </c>
      <c r="AH186">
        <v>26</v>
      </c>
      <c r="AI186">
        <v>27</v>
      </c>
      <c r="AJ186">
        <v>3</v>
      </c>
      <c r="AK186">
        <v>10</v>
      </c>
      <c r="AL186" t="s">
        <v>227</v>
      </c>
      <c r="AM186" t="s">
        <v>228</v>
      </c>
      <c r="AN186" t="s">
        <v>229</v>
      </c>
      <c r="AO186" t="s">
        <v>1065</v>
      </c>
      <c r="AP186" t="s">
        <v>1066</v>
      </c>
      <c r="AQ186" t="s">
        <v>74</v>
      </c>
      <c r="AR186" t="s">
        <v>1058</v>
      </c>
      <c r="AS186" t="s">
        <v>1067</v>
      </c>
      <c r="AT186" t="s">
        <v>3982</v>
      </c>
      <c r="AU186">
        <v>2021</v>
      </c>
      <c r="AV186">
        <v>15</v>
      </c>
      <c r="AW186">
        <v>11</v>
      </c>
      <c r="AX186" t="s">
        <v>74</v>
      </c>
      <c r="AY186" t="s">
        <v>74</v>
      </c>
      <c r="AZ186" t="s">
        <v>74</v>
      </c>
      <c r="BA186" t="s">
        <v>74</v>
      </c>
      <c r="BB186">
        <v>5061</v>
      </c>
      <c r="BC186">
        <v>5077</v>
      </c>
      <c r="BD186" t="s">
        <v>74</v>
      </c>
      <c r="BE186" t="s">
        <v>3983</v>
      </c>
      <c r="BF186" t="str">
        <f>HYPERLINK("http://dx.doi.org/10.5194/tc-15-5061-2021","http://dx.doi.org/10.5194/tc-15-5061-2021")</f>
        <v>http://dx.doi.org/10.5194/tc-15-5061-2021</v>
      </c>
      <c r="BG186" t="s">
        <v>74</v>
      </c>
      <c r="BH186" t="s">
        <v>74</v>
      </c>
      <c r="BI186">
        <v>17</v>
      </c>
      <c r="BJ186" t="s">
        <v>340</v>
      </c>
      <c r="BK186" t="s">
        <v>101</v>
      </c>
      <c r="BL186" t="s">
        <v>341</v>
      </c>
      <c r="BM186" t="s">
        <v>3984</v>
      </c>
      <c r="BN186" t="s">
        <v>74</v>
      </c>
      <c r="BO186" t="s">
        <v>3985</v>
      </c>
      <c r="BP186" t="s">
        <v>74</v>
      </c>
      <c r="BQ186" t="s">
        <v>74</v>
      </c>
      <c r="BR186" t="s">
        <v>105</v>
      </c>
      <c r="BS186" t="s">
        <v>3986</v>
      </c>
      <c r="BT186" t="str">
        <f>HYPERLINK("https%3A%2F%2Fwww.webofscience.com%2Fwos%2Fwoscc%2Ffull-record%2FWOS:000715797000001","View Full Record in Web of Science")</f>
        <v>View Full Record in Web of Science</v>
      </c>
    </row>
    <row r="187" spans="1:72" x14ac:dyDescent="0.15">
      <c r="A187" t="s">
        <v>72</v>
      </c>
      <c r="B187" t="s">
        <v>3987</v>
      </c>
      <c r="C187" t="s">
        <v>74</v>
      </c>
      <c r="D187" t="s">
        <v>74</v>
      </c>
      <c r="E187" t="s">
        <v>74</v>
      </c>
      <c r="F187" t="s">
        <v>3988</v>
      </c>
      <c r="G187" t="s">
        <v>74</v>
      </c>
      <c r="H187" t="s">
        <v>74</v>
      </c>
      <c r="I187" t="s">
        <v>3989</v>
      </c>
      <c r="J187" t="s">
        <v>3990</v>
      </c>
      <c r="K187" t="s">
        <v>74</v>
      </c>
      <c r="L187" t="s">
        <v>74</v>
      </c>
      <c r="M187" t="s">
        <v>78</v>
      </c>
      <c r="N187" t="s">
        <v>79</v>
      </c>
      <c r="O187" t="s">
        <v>74</v>
      </c>
      <c r="P187" t="s">
        <v>74</v>
      </c>
      <c r="Q187" t="s">
        <v>74</v>
      </c>
      <c r="R187" t="s">
        <v>74</v>
      </c>
      <c r="S187" t="s">
        <v>74</v>
      </c>
      <c r="T187" t="s">
        <v>3991</v>
      </c>
      <c r="U187" t="s">
        <v>3992</v>
      </c>
      <c r="V187" t="s">
        <v>3993</v>
      </c>
      <c r="W187" t="s">
        <v>3994</v>
      </c>
      <c r="X187" t="s">
        <v>3995</v>
      </c>
      <c r="Y187" t="s">
        <v>3996</v>
      </c>
      <c r="Z187" t="s">
        <v>3997</v>
      </c>
      <c r="AA187" t="s">
        <v>3998</v>
      </c>
      <c r="AB187" t="s">
        <v>3999</v>
      </c>
      <c r="AC187" t="s">
        <v>4000</v>
      </c>
      <c r="AD187" t="s">
        <v>4001</v>
      </c>
      <c r="AE187" t="s">
        <v>4002</v>
      </c>
      <c r="AF187" t="s">
        <v>74</v>
      </c>
      <c r="AG187">
        <v>51</v>
      </c>
      <c r="AH187">
        <v>5</v>
      </c>
      <c r="AI187">
        <v>6</v>
      </c>
      <c r="AJ187">
        <v>3</v>
      </c>
      <c r="AK187">
        <v>44</v>
      </c>
      <c r="AL187" t="s">
        <v>169</v>
      </c>
      <c r="AM187" t="s">
        <v>520</v>
      </c>
      <c r="AN187" t="s">
        <v>521</v>
      </c>
      <c r="AO187" t="s">
        <v>4003</v>
      </c>
      <c r="AP187" t="s">
        <v>4004</v>
      </c>
      <c r="AQ187" t="s">
        <v>74</v>
      </c>
      <c r="AR187" t="s">
        <v>3990</v>
      </c>
      <c r="AS187" t="s">
        <v>4005</v>
      </c>
      <c r="AT187" t="s">
        <v>525</v>
      </c>
      <c r="AU187">
        <v>2022</v>
      </c>
      <c r="AV187">
        <v>35</v>
      </c>
      <c r="AW187">
        <v>1</v>
      </c>
      <c r="AX187" t="s">
        <v>74</v>
      </c>
      <c r="AY187" t="s">
        <v>74</v>
      </c>
      <c r="AZ187" t="s">
        <v>74</v>
      </c>
      <c r="BA187" t="s">
        <v>74</v>
      </c>
      <c r="BB187">
        <v>53</v>
      </c>
      <c r="BC187">
        <v>65</v>
      </c>
      <c r="BD187" t="s">
        <v>74</v>
      </c>
      <c r="BE187" t="s">
        <v>4006</v>
      </c>
      <c r="BF187" t="str">
        <f>HYPERLINK("http://dx.doi.org/10.1007/s10534-021-00350-9","http://dx.doi.org/10.1007/s10534-021-00350-9")</f>
        <v>http://dx.doi.org/10.1007/s10534-021-00350-9</v>
      </c>
      <c r="BG187" t="s">
        <v>74</v>
      </c>
      <c r="BH187" t="s">
        <v>263</v>
      </c>
      <c r="BI187">
        <v>13</v>
      </c>
      <c r="BJ187" t="s">
        <v>4007</v>
      </c>
      <c r="BK187" t="s">
        <v>101</v>
      </c>
      <c r="BL187" t="s">
        <v>4007</v>
      </c>
      <c r="BM187" t="s">
        <v>4008</v>
      </c>
      <c r="BN187">
        <v>34731410</v>
      </c>
      <c r="BO187" t="s">
        <v>74</v>
      </c>
      <c r="BP187" t="s">
        <v>74</v>
      </c>
      <c r="BQ187" t="s">
        <v>74</v>
      </c>
      <c r="BR187" t="s">
        <v>105</v>
      </c>
      <c r="BS187" t="s">
        <v>4009</v>
      </c>
      <c r="BT187" t="str">
        <f>HYPERLINK("https%3A%2F%2Fwww.webofscience.com%2Fwos%2Fwoscc%2Ffull-record%2FWOS:000714319900001","View Full Record in Web of Science")</f>
        <v>View Full Record in Web of Science</v>
      </c>
    </row>
    <row r="188" spans="1:72" x14ac:dyDescent="0.15">
      <c r="A188" t="s">
        <v>72</v>
      </c>
      <c r="B188" t="s">
        <v>4010</v>
      </c>
      <c r="C188" t="s">
        <v>74</v>
      </c>
      <c r="D188" t="s">
        <v>74</v>
      </c>
      <c r="E188" t="s">
        <v>74</v>
      </c>
      <c r="F188" t="s">
        <v>4011</v>
      </c>
      <c r="G188" t="s">
        <v>74</v>
      </c>
      <c r="H188" t="s">
        <v>74</v>
      </c>
      <c r="I188" t="s">
        <v>4012</v>
      </c>
      <c r="J188" t="s">
        <v>4013</v>
      </c>
      <c r="K188" t="s">
        <v>74</v>
      </c>
      <c r="L188" t="s">
        <v>74</v>
      </c>
      <c r="M188" t="s">
        <v>78</v>
      </c>
      <c r="N188" t="s">
        <v>79</v>
      </c>
      <c r="O188" t="s">
        <v>74</v>
      </c>
      <c r="P188" t="s">
        <v>74</v>
      </c>
      <c r="Q188" t="s">
        <v>74</v>
      </c>
      <c r="R188" t="s">
        <v>74</v>
      </c>
      <c r="S188" t="s">
        <v>74</v>
      </c>
      <c r="T188" t="s">
        <v>74</v>
      </c>
      <c r="U188" t="s">
        <v>4014</v>
      </c>
      <c r="V188" t="s">
        <v>4015</v>
      </c>
      <c r="W188" t="s">
        <v>4016</v>
      </c>
      <c r="X188" t="s">
        <v>4017</v>
      </c>
      <c r="Y188" t="s">
        <v>4018</v>
      </c>
      <c r="Z188" t="s">
        <v>4019</v>
      </c>
      <c r="AA188" t="s">
        <v>74</v>
      </c>
      <c r="AB188" t="s">
        <v>4020</v>
      </c>
      <c r="AC188" t="s">
        <v>4021</v>
      </c>
      <c r="AD188" t="s">
        <v>2838</v>
      </c>
      <c r="AE188" t="s">
        <v>4022</v>
      </c>
      <c r="AF188" t="s">
        <v>74</v>
      </c>
      <c r="AG188">
        <v>75</v>
      </c>
      <c r="AH188">
        <v>2</v>
      </c>
      <c r="AI188">
        <v>2</v>
      </c>
      <c r="AJ188">
        <v>0</v>
      </c>
      <c r="AK188">
        <v>0</v>
      </c>
      <c r="AL188" t="s">
        <v>4023</v>
      </c>
      <c r="AM188" t="s">
        <v>4024</v>
      </c>
      <c r="AN188" t="s">
        <v>4025</v>
      </c>
      <c r="AO188" t="s">
        <v>4026</v>
      </c>
      <c r="AP188" t="s">
        <v>4027</v>
      </c>
      <c r="AQ188" t="s">
        <v>74</v>
      </c>
      <c r="AR188" t="s">
        <v>4028</v>
      </c>
      <c r="AS188" t="s">
        <v>4029</v>
      </c>
      <c r="AT188" t="s">
        <v>4030</v>
      </c>
      <c r="AU188">
        <v>2021</v>
      </c>
      <c r="AV188">
        <v>41</v>
      </c>
      <c r="AW188">
        <v>6</v>
      </c>
      <c r="AX188" t="s">
        <v>74</v>
      </c>
      <c r="AY188" t="s">
        <v>74</v>
      </c>
      <c r="AZ188" t="s">
        <v>74</v>
      </c>
      <c r="BA188" t="s">
        <v>74</v>
      </c>
      <c r="BB188" t="s">
        <v>74</v>
      </c>
      <c r="BC188" t="s">
        <v>74</v>
      </c>
      <c r="BD188" t="s">
        <v>74</v>
      </c>
      <c r="BE188" t="s">
        <v>4031</v>
      </c>
      <c r="BF188" t="str">
        <f>HYPERLINK("http://dx.doi.org/10.1080/02724634.2021.2081510","http://dx.doi.org/10.1080/02724634.2021.2081510")</f>
        <v>http://dx.doi.org/10.1080/02724634.2021.2081510</v>
      </c>
      <c r="BG188" t="s">
        <v>74</v>
      </c>
      <c r="BH188" t="s">
        <v>263</v>
      </c>
      <c r="BI188">
        <v>16</v>
      </c>
      <c r="BJ188" t="s">
        <v>2990</v>
      </c>
      <c r="BK188" t="s">
        <v>101</v>
      </c>
      <c r="BL188" t="s">
        <v>2990</v>
      </c>
      <c r="BM188" t="s">
        <v>4032</v>
      </c>
      <c r="BN188" t="s">
        <v>74</v>
      </c>
      <c r="BO188" t="s">
        <v>74</v>
      </c>
      <c r="BP188" t="s">
        <v>74</v>
      </c>
      <c r="BQ188" t="s">
        <v>74</v>
      </c>
      <c r="BR188" t="s">
        <v>105</v>
      </c>
      <c r="BS188" t="s">
        <v>4033</v>
      </c>
      <c r="BT188" t="str">
        <f>HYPERLINK("https%3A%2F%2Fwww.webofscience.com%2Fwos%2Fwoscc%2Ffull-record%2FWOS:000827009300001","View Full Record in Web of Science")</f>
        <v>View Full Record in Web of Science</v>
      </c>
    </row>
    <row r="189" spans="1:72" x14ac:dyDescent="0.15">
      <c r="A189" t="s">
        <v>72</v>
      </c>
      <c r="B189" t="s">
        <v>4034</v>
      </c>
      <c r="C189" t="s">
        <v>74</v>
      </c>
      <c r="D189" t="s">
        <v>74</v>
      </c>
      <c r="E189" t="s">
        <v>74</v>
      </c>
      <c r="F189" t="s">
        <v>4035</v>
      </c>
      <c r="G189" t="s">
        <v>74</v>
      </c>
      <c r="H189" t="s">
        <v>3180</v>
      </c>
      <c r="I189" t="s">
        <v>4036</v>
      </c>
      <c r="J189" t="s">
        <v>1377</v>
      </c>
      <c r="K189" t="s">
        <v>74</v>
      </c>
      <c r="L189" t="s">
        <v>74</v>
      </c>
      <c r="M189" t="s">
        <v>78</v>
      </c>
      <c r="N189" t="s">
        <v>79</v>
      </c>
      <c r="O189" t="s">
        <v>74</v>
      </c>
      <c r="P189" t="s">
        <v>74</v>
      </c>
      <c r="Q189" t="s">
        <v>74</v>
      </c>
      <c r="R189" t="s">
        <v>74</v>
      </c>
      <c r="S189" t="s">
        <v>74</v>
      </c>
      <c r="T189" t="s">
        <v>4037</v>
      </c>
      <c r="U189" t="s">
        <v>4038</v>
      </c>
      <c r="V189" t="s">
        <v>4039</v>
      </c>
      <c r="W189" t="s">
        <v>4040</v>
      </c>
      <c r="X189" t="s">
        <v>4041</v>
      </c>
      <c r="Y189" t="s">
        <v>4042</v>
      </c>
      <c r="Z189" t="s">
        <v>4043</v>
      </c>
      <c r="AA189" t="s">
        <v>4044</v>
      </c>
      <c r="AB189" t="s">
        <v>4045</v>
      </c>
      <c r="AC189" t="s">
        <v>4046</v>
      </c>
      <c r="AD189" t="s">
        <v>4047</v>
      </c>
      <c r="AE189" t="s">
        <v>4048</v>
      </c>
      <c r="AF189" t="s">
        <v>74</v>
      </c>
      <c r="AG189">
        <v>159</v>
      </c>
      <c r="AH189">
        <v>4</v>
      </c>
      <c r="AI189">
        <v>4</v>
      </c>
      <c r="AJ189">
        <v>2</v>
      </c>
      <c r="AK189">
        <v>6</v>
      </c>
      <c r="AL189" t="s">
        <v>255</v>
      </c>
      <c r="AM189" t="s">
        <v>256</v>
      </c>
      <c r="AN189" t="s">
        <v>257</v>
      </c>
      <c r="AO189" t="s">
        <v>1390</v>
      </c>
      <c r="AP189" t="s">
        <v>1391</v>
      </c>
      <c r="AQ189" t="s">
        <v>74</v>
      </c>
      <c r="AR189" t="s">
        <v>1392</v>
      </c>
      <c r="AS189" t="s">
        <v>1393</v>
      </c>
      <c r="AT189" t="s">
        <v>204</v>
      </c>
      <c r="AU189">
        <v>2021</v>
      </c>
      <c r="AV189">
        <v>273</v>
      </c>
      <c r="AW189" t="s">
        <v>74</v>
      </c>
      <c r="AX189" t="s">
        <v>74</v>
      </c>
      <c r="AY189" t="s">
        <v>74</v>
      </c>
      <c r="AZ189" t="s">
        <v>74</v>
      </c>
      <c r="BA189" t="s">
        <v>74</v>
      </c>
      <c r="BB189" t="s">
        <v>74</v>
      </c>
      <c r="BC189" t="s">
        <v>74</v>
      </c>
      <c r="BD189">
        <v>107248</v>
      </c>
      <c r="BE189" t="s">
        <v>4049</v>
      </c>
      <c r="BF189" t="str">
        <f>HYPERLINK("http://dx.doi.org/10.1016/j.quascirev.2021.107248","http://dx.doi.org/10.1016/j.quascirev.2021.107248")</f>
        <v>http://dx.doi.org/10.1016/j.quascirev.2021.107248</v>
      </c>
      <c r="BG189" t="s">
        <v>74</v>
      </c>
      <c r="BH189" t="s">
        <v>263</v>
      </c>
      <c r="BI189">
        <v>27</v>
      </c>
      <c r="BJ189" t="s">
        <v>340</v>
      </c>
      <c r="BK189" t="s">
        <v>101</v>
      </c>
      <c r="BL189" t="s">
        <v>341</v>
      </c>
      <c r="BM189" t="s">
        <v>4050</v>
      </c>
      <c r="BN189" t="s">
        <v>74</v>
      </c>
      <c r="BO189" t="s">
        <v>180</v>
      </c>
      <c r="BP189" t="s">
        <v>74</v>
      </c>
      <c r="BQ189" t="s">
        <v>74</v>
      </c>
      <c r="BR189" t="s">
        <v>105</v>
      </c>
      <c r="BS189" t="s">
        <v>4051</v>
      </c>
      <c r="BT189" t="str">
        <f>HYPERLINK("https%3A%2F%2Fwww.webofscience.com%2Fwos%2Fwoscc%2Ffull-record%2FWOS:000713693500007","View Full Record in Web of Science")</f>
        <v>View Full Record in Web of Science</v>
      </c>
    </row>
    <row r="190" spans="1:72" x14ac:dyDescent="0.15">
      <c r="A190" t="s">
        <v>72</v>
      </c>
      <c r="B190" t="s">
        <v>4052</v>
      </c>
      <c r="C190" t="s">
        <v>74</v>
      </c>
      <c r="D190" t="s">
        <v>74</v>
      </c>
      <c r="E190" t="s">
        <v>74</v>
      </c>
      <c r="F190" t="s">
        <v>4053</v>
      </c>
      <c r="G190" t="s">
        <v>74</v>
      </c>
      <c r="H190" t="s">
        <v>4054</v>
      </c>
      <c r="I190" t="s">
        <v>4055</v>
      </c>
      <c r="J190" t="s">
        <v>3228</v>
      </c>
      <c r="K190" t="s">
        <v>74</v>
      </c>
      <c r="L190" t="s">
        <v>74</v>
      </c>
      <c r="M190" t="s">
        <v>78</v>
      </c>
      <c r="N190" t="s">
        <v>79</v>
      </c>
      <c r="O190" t="s">
        <v>74</v>
      </c>
      <c r="P190" t="s">
        <v>74</v>
      </c>
      <c r="Q190" t="s">
        <v>74</v>
      </c>
      <c r="R190" t="s">
        <v>74</v>
      </c>
      <c r="S190" t="s">
        <v>74</v>
      </c>
      <c r="T190" t="s">
        <v>4056</v>
      </c>
      <c r="U190" t="s">
        <v>4057</v>
      </c>
      <c r="V190" t="s">
        <v>4058</v>
      </c>
      <c r="W190" t="s">
        <v>4059</v>
      </c>
      <c r="X190" t="s">
        <v>4060</v>
      </c>
      <c r="Y190" t="s">
        <v>4061</v>
      </c>
      <c r="Z190" t="s">
        <v>4062</v>
      </c>
      <c r="AA190" t="s">
        <v>4063</v>
      </c>
      <c r="AB190" t="s">
        <v>4064</v>
      </c>
      <c r="AC190" t="s">
        <v>4065</v>
      </c>
      <c r="AD190" t="s">
        <v>4066</v>
      </c>
      <c r="AE190" t="s">
        <v>4067</v>
      </c>
      <c r="AF190" t="s">
        <v>74</v>
      </c>
      <c r="AG190">
        <v>136</v>
      </c>
      <c r="AH190">
        <v>7</v>
      </c>
      <c r="AI190">
        <v>7</v>
      </c>
      <c r="AJ190">
        <v>0</v>
      </c>
      <c r="AK190">
        <v>15</v>
      </c>
      <c r="AL190" t="s">
        <v>847</v>
      </c>
      <c r="AM190" t="s">
        <v>848</v>
      </c>
      <c r="AN190" t="s">
        <v>849</v>
      </c>
      <c r="AO190" t="s">
        <v>3238</v>
      </c>
      <c r="AP190" t="s">
        <v>3239</v>
      </c>
      <c r="AQ190" t="s">
        <v>74</v>
      </c>
      <c r="AR190" t="s">
        <v>3240</v>
      </c>
      <c r="AS190" t="s">
        <v>3241</v>
      </c>
      <c r="AT190" t="s">
        <v>416</v>
      </c>
      <c r="AU190">
        <v>2022</v>
      </c>
      <c r="AV190">
        <v>443</v>
      </c>
      <c r="AW190" t="s">
        <v>74</v>
      </c>
      <c r="AX190" t="s">
        <v>74</v>
      </c>
      <c r="AY190" t="s">
        <v>74</v>
      </c>
      <c r="AZ190" t="s">
        <v>74</v>
      </c>
      <c r="BA190" t="s">
        <v>74</v>
      </c>
      <c r="BB190" t="s">
        <v>74</v>
      </c>
      <c r="BC190" t="s">
        <v>74</v>
      </c>
      <c r="BD190">
        <v>106674</v>
      </c>
      <c r="BE190" t="s">
        <v>4068</v>
      </c>
      <c r="BF190" t="str">
        <f>HYPERLINK("http://dx.doi.org/10.1016/j.margeo.2021.106674","http://dx.doi.org/10.1016/j.margeo.2021.106674")</f>
        <v>http://dx.doi.org/10.1016/j.margeo.2021.106674</v>
      </c>
      <c r="BG190" t="s">
        <v>74</v>
      </c>
      <c r="BH190" t="s">
        <v>263</v>
      </c>
      <c r="BI190">
        <v>20</v>
      </c>
      <c r="BJ190" t="s">
        <v>177</v>
      </c>
      <c r="BK190" t="s">
        <v>101</v>
      </c>
      <c r="BL190" t="s">
        <v>178</v>
      </c>
      <c r="BM190" t="s">
        <v>4069</v>
      </c>
      <c r="BN190" t="s">
        <v>74</v>
      </c>
      <c r="BO190" t="s">
        <v>419</v>
      </c>
      <c r="BP190" t="s">
        <v>74</v>
      </c>
      <c r="BQ190" t="s">
        <v>74</v>
      </c>
      <c r="BR190" t="s">
        <v>105</v>
      </c>
      <c r="BS190" t="s">
        <v>4070</v>
      </c>
      <c r="BT190" t="str">
        <f>HYPERLINK("https%3A%2F%2Fwww.webofscience.com%2Fwos%2Fwoscc%2Ffull-record%2FWOS:000713824700004","View Full Record in Web of Science")</f>
        <v>View Full Record in Web of Science</v>
      </c>
    </row>
    <row r="191" spans="1:72" x14ac:dyDescent="0.15">
      <c r="A191" t="s">
        <v>72</v>
      </c>
      <c r="B191" t="s">
        <v>4071</v>
      </c>
      <c r="C191" t="s">
        <v>74</v>
      </c>
      <c r="D191" t="s">
        <v>74</v>
      </c>
      <c r="E191" t="s">
        <v>74</v>
      </c>
      <c r="F191" t="s">
        <v>4072</v>
      </c>
      <c r="G191" t="s">
        <v>74</v>
      </c>
      <c r="H191" t="s">
        <v>74</v>
      </c>
      <c r="I191" t="s">
        <v>4073</v>
      </c>
      <c r="J191" t="s">
        <v>1139</v>
      </c>
      <c r="K191" t="s">
        <v>74</v>
      </c>
      <c r="L191" t="s">
        <v>74</v>
      </c>
      <c r="M191" t="s">
        <v>78</v>
      </c>
      <c r="N191" t="s">
        <v>79</v>
      </c>
      <c r="O191" t="s">
        <v>74</v>
      </c>
      <c r="P191" t="s">
        <v>74</v>
      </c>
      <c r="Q191" t="s">
        <v>74</v>
      </c>
      <c r="R191" t="s">
        <v>74</v>
      </c>
      <c r="S191" t="s">
        <v>74</v>
      </c>
      <c r="T191" t="s">
        <v>74</v>
      </c>
      <c r="U191" t="s">
        <v>4074</v>
      </c>
      <c r="V191" t="s">
        <v>4075</v>
      </c>
      <c r="W191" t="s">
        <v>4076</v>
      </c>
      <c r="X191" t="s">
        <v>4077</v>
      </c>
      <c r="Y191" t="s">
        <v>4078</v>
      </c>
      <c r="Z191" t="s">
        <v>4079</v>
      </c>
      <c r="AA191" t="s">
        <v>4080</v>
      </c>
      <c r="AB191" t="s">
        <v>4081</v>
      </c>
      <c r="AC191" t="s">
        <v>4082</v>
      </c>
      <c r="AD191" t="s">
        <v>4083</v>
      </c>
      <c r="AE191" t="s">
        <v>4084</v>
      </c>
      <c r="AF191" t="s">
        <v>74</v>
      </c>
      <c r="AG191">
        <v>67</v>
      </c>
      <c r="AH191">
        <v>8</v>
      </c>
      <c r="AI191">
        <v>9</v>
      </c>
      <c r="AJ191">
        <v>1</v>
      </c>
      <c r="AK191">
        <v>7</v>
      </c>
      <c r="AL191" t="s">
        <v>227</v>
      </c>
      <c r="AM191" t="s">
        <v>228</v>
      </c>
      <c r="AN191" t="s">
        <v>229</v>
      </c>
      <c r="AO191" t="s">
        <v>1150</v>
      </c>
      <c r="AP191" t="s">
        <v>1151</v>
      </c>
      <c r="AQ191" t="s">
        <v>74</v>
      </c>
      <c r="AR191" t="s">
        <v>1152</v>
      </c>
      <c r="AS191" t="s">
        <v>1153</v>
      </c>
      <c r="AT191" t="s">
        <v>4030</v>
      </c>
      <c r="AU191">
        <v>2021</v>
      </c>
      <c r="AV191">
        <v>17</v>
      </c>
      <c r="AW191">
        <v>6</v>
      </c>
      <c r="AX191" t="s">
        <v>74</v>
      </c>
      <c r="AY191" t="s">
        <v>74</v>
      </c>
      <c r="AZ191" t="s">
        <v>74</v>
      </c>
      <c r="BA191" t="s">
        <v>74</v>
      </c>
      <c r="BB191">
        <v>1545</v>
      </c>
      <c r="BC191">
        <v>1562</v>
      </c>
      <c r="BD191" t="s">
        <v>74</v>
      </c>
      <c r="BE191" t="s">
        <v>4085</v>
      </c>
      <c r="BF191" t="str">
        <f>HYPERLINK("http://dx.doi.org/10.5194/os-17-1545-2021","http://dx.doi.org/10.5194/os-17-1545-2021")</f>
        <v>http://dx.doi.org/10.5194/os-17-1545-2021</v>
      </c>
      <c r="BG191" t="s">
        <v>74</v>
      </c>
      <c r="BH191" t="s">
        <v>74</v>
      </c>
      <c r="BI191">
        <v>18</v>
      </c>
      <c r="BJ191" t="s">
        <v>1155</v>
      </c>
      <c r="BK191" t="s">
        <v>101</v>
      </c>
      <c r="BL191" t="s">
        <v>1155</v>
      </c>
      <c r="BM191" t="s">
        <v>4086</v>
      </c>
      <c r="BN191" t="s">
        <v>74</v>
      </c>
      <c r="BO191" t="s">
        <v>1004</v>
      </c>
      <c r="BP191" t="s">
        <v>74</v>
      </c>
      <c r="BQ191" t="s">
        <v>74</v>
      </c>
      <c r="BR191" t="s">
        <v>105</v>
      </c>
      <c r="BS191" t="s">
        <v>4087</v>
      </c>
      <c r="BT191" t="str">
        <f>HYPERLINK("https%3A%2F%2Fwww.webofscience.com%2Fwos%2Fwoscc%2Ffull-record%2FWOS:000714373000001","View Full Record in Web of Science")</f>
        <v>View Full Record in Web of Science</v>
      </c>
    </row>
    <row r="192" spans="1:72" x14ac:dyDescent="0.15">
      <c r="A192" t="s">
        <v>72</v>
      </c>
      <c r="B192" t="s">
        <v>4088</v>
      </c>
      <c r="C192" t="s">
        <v>74</v>
      </c>
      <c r="D192" t="s">
        <v>74</v>
      </c>
      <c r="E192" t="s">
        <v>74</v>
      </c>
      <c r="F192" t="s">
        <v>4089</v>
      </c>
      <c r="G192" t="s">
        <v>74</v>
      </c>
      <c r="H192" t="s">
        <v>74</v>
      </c>
      <c r="I192" t="s">
        <v>4090</v>
      </c>
      <c r="J192" t="s">
        <v>2047</v>
      </c>
      <c r="K192" t="s">
        <v>74</v>
      </c>
      <c r="L192" t="s">
        <v>74</v>
      </c>
      <c r="M192" t="s">
        <v>78</v>
      </c>
      <c r="N192" t="s">
        <v>79</v>
      </c>
      <c r="O192" t="s">
        <v>74</v>
      </c>
      <c r="P192" t="s">
        <v>74</v>
      </c>
      <c r="Q192" t="s">
        <v>74</v>
      </c>
      <c r="R192" t="s">
        <v>74</v>
      </c>
      <c r="S192" t="s">
        <v>74</v>
      </c>
      <c r="T192" t="s">
        <v>4091</v>
      </c>
      <c r="U192" t="s">
        <v>4092</v>
      </c>
      <c r="V192" t="s">
        <v>4093</v>
      </c>
      <c r="W192" t="s">
        <v>4094</v>
      </c>
      <c r="X192" t="s">
        <v>4095</v>
      </c>
      <c r="Y192" t="s">
        <v>4096</v>
      </c>
      <c r="Z192" t="s">
        <v>4097</v>
      </c>
      <c r="AA192" t="s">
        <v>74</v>
      </c>
      <c r="AB192" t="s">
        <v>74</v>
      </c>
      <c r="AC192" t="s">
        <v>4098</v>
      </c>
      <c r="AD192" t="s">
        <v>4099</v>
      </c>
      <c r="AE192" t="s">
        <v>4100</v>
      </c>
      <c r="AF192" t="s">
        <v>74</v>
      </c>
      <c r="AG192">
        <v>82</v>
      </c>
      <c r="AH192">
        <v>5</v>
      </c>
      <c r="AI192">
        <v>5</v>
      </c>
      <c r="AJ192">
        <v>0</v>
      </c>
      <c r="AK192">
        <v>11</v>
      </c>
      <c r="AL192" t="s">
        <v>847</v>
      </c>
      <c r="AM192" t="s">
        <v>848</v>
      </c>
      <c r="AN192" t="s">
        <v>849</v>
      </c>
      <c r="AO192" t="s">
        <v>2059</v>
      </c>
      <c r="AP192" t="s">
        <v>2060</v>
      </c>
      <c r="AQ192" t="s">
        <v>74</v>
      </c>
      <c r="AR192" t="s">
        <v>2061</v>
      </c>
      <c r="AS192" t="s">
        <v>2062</v>
      </c>
      <c r="AT192" t="s">
        <v>525</v>
      </c>
      <c r="AU192">
        <v>2022</v>
      </c>
      <c r="AV192">
        <v>226</v>
      </c>
      <c r="AW192" t="s">
        <v>74</v>
      </c>
      <c r="AX192" t="s">
        <v>74</v>
      </c>
      <c r="AY192" t="s">
        <v>74</v>
      </c>
      <c r="AZ192" t="s">
        <v>74</v>
      </c>
      <c r="BA192" t="s">
        <v>74</v>
      </c>
      <c r="BB192" t="s">
        <v>74</v>
      </c>
      <c r="BC192" t="s">
        <v>74</v>
      </c>
      <c r="BD192">
        <v>103669</v>
      </c>
      <c r="BE192" t="s">
        <v>4101</v>
      </c>
      <c r="BF192" t="str">
        <f>HYPERLINK("http://dx.doi.org/10.1016/j.jmarsys.2021.103669","http://dx.doi.org/10.1016/j.jmarsys.2021.103669")</f>
        <v>http://dx.doi.org/10.1016/j.jmarsys.2021.103669</v>
      </c>
      <c r="BG192" t="s">
        <v>74</v>
      </c>
      <c r="BH192" t="s">
        <v>263</v>
      </c>
      <c r="BI192">
        <v>14</v>
      </c>
      <c r="BJ192" t="s">
        <v>2064</v>
      </c>
      <c r="BK192" t="s">
        <v>101</v>
      </c>
      <c r="BL192" t="s">
        <v>2065</v>
      </c>
      <c r="BM192" t="s">
        <v>4102</v>
      </c>
      <c r="BN192" t="s">
        <v>74</v>
      </c>
      <c r="BO192" t="s">
        <v>74</v>
      </c>
      <c r="BP192" t="s">
        <v>74</v>
      </c>
      <c r="BQ192" t="s">
        <v>74</v>
      </c>
      <c r="BR192" t="s">
        <v>105</v>
      </c>
      <c r="BS192" t="s">
        <v>4103</v>
      </c>
      <c r="BT192" t="str">
        <f>HYPERLINK("https%3A%2F%2Fwww.webofscience.com%2Fwos%2Fwoscc%2Ffull-record%2FWOS:000718927000001","View Full Record in Web of Science")</f>
        <v>View Full Record in Web of Science</v>
      </c>
    </row>
    <row r="193" spans="1:72" x14ac:dyDescent="0.15">
      <c r="A193" t="s">
        <v>72</v>
      </c>
      <c r="B193" t="s">
        <v>4104</v>
      </c>
      <c r="C193" t="s">
        <v>74</v>
      </c>
      <c r="D193" t="s">
        <v>74</v>
      </c>
      <c r="E193" t="s">
        <v>74</v>
      </c>
      <c r="F193" t="s">
        <v>4105</v>
      </c>
      <c r="G193" t="s">
        <v>74</v>
      </c>
      <c r="H193" t="s">
        <v>74</v>
      </c>
      <c r="I193" t="s">
        <v>4106</v>
      </c>
      <c r="J193" t="s">
        <v>4107</v>
      </c>
      <c r="K193" t="s">
        <v>74</v>
      </c>
      <c r="L193" t="s">
        <v>74</v>
      </c>
      <c r="M193" t="s">
        <v>78</v>
      </c>
      <c r="N193" t="s">
        <v>79</v>
      </c>
      <c r="O193" t="s">
        <v>74</v>
      </c>
      <c r="P193" t="s">
        <v>74</v>
      </c>
      <c r="Q193" t="s">
        <v>74</v>
      </c>
      <c r="R193" t="s">
        <v>74</v>
      </c>
      <c r="S193" t="s">
        <v>74</v>
      </c>
      <c r="T193" t="s">
        <v>4108</v>
      </c>
      <c r="U193" t="s">
        <v>4109</v>
      </c>
      <c r="V193" t="s">
        <v>4110</v>
      </c>
      <c r="W193" t="s">
        <v>4111</v>
      </c>
      <c r="X193" t="s">
        <v>4112</v>
      </c>
      <c r="Y193" t="s">
        <v>4113</v>
      </c>
      <c r="Z193" t="s">
        <v>4114</v>
      </c>
      <c r="AA193" t="s">
        <v>4115</v>
      </c>
      <c r="AB193" t="s">
        <v>4116</v>
      </c>
      <c r="AC193" t="s">
        <v>74</v>
      </c>
      <c r="AD193" t="s">
        <v>74</v>
      </c>
      <c r="AE193" t="s">
        <v>74</v>
      </c>
      <c r="AF193" t="s">
        <v>74</v>
      </c>
      <c r="AG193">
        <v>50</v>
      </c>
      <c r="AH193">
        <v>5</v>
      </c>
      <c r="AI193">
        <v>5</v>
      </c>
      <c r="AJ193">
        <v>3</v>
      </c>
      <c r="AK193">
        <v>6</v>
      </c>
      <c r="AL193" t="s">
        <v>847</v>
      </c>
      <c r="AM193" t="s">
        <v>848</v>
      </c>
      <c r="AN193" t="s">
        <v>849</v>
      </c>
      <c r="AO193" t="s">
        <v>4117</v>
      </c>
      <c r="AP193" t="s">
        <v>4118</v>
      </c>
      <c r="AQ193" t="s">
        <v>74</v>
      </c>
      <c r="AR193" t="s">
        <v>4119</v>
      </c>
      <c r="AS193" t="s">
        <v>4120</v>
      </c>
      <c r="AT193" t="s">
        <v>4121</v>
      </c>
      <c r="AU193">
        <v>2022</v>
      </c>
      <c r="AV193">
        <v>297</v>
      </c>
      <c r="AW193">
        <v>2</v>
      </c>
      <c r="AX193" t="s">
        <v>74</v>
      </c>
      <c r="AY193" t="s">
        <v>74</v>
      </c>
      <c r="AZ193" t="s">
        <v>74</v>
      </c>
      <c r="BA193" t="s">
        <v>74</v>
      </c>
      <c r="BB193">
        <v>579</v>
      </c>
      <c r="BC193">
        <v>591</v>
      </c>
      <c r="BD193" t="s">
        <v>74</v>
      </c>
      <c r="BE193" t="s">
        <v>4122</v>
      </c>
      <c r="BF193" t="str">
        <f>HYPERLINK("http://dx.doi.org/10.1016/j.ejor.2021.05.009","http://dx.doi.org/10.1016/j.ejor.2021.05.009")</f>
        <v>http://dx.doi.org/10.1016/j.ejor.2021.05.009</v>
      </c>
      <c r="BG193" t="s">
        <v>74</v>
      </c>
      <c r="BH193" t="s">
        <v>263</v>
      </c>
      <c r="BI193">
        <v>13</v>
      </c>
      <c r="BJ193" t="s">
        <v>4123</v>
      </c>
      <c r="BK193" t="s">
        <v>101</v>
      </c>
      <c r="BL193" t="s">
        <v>4124</v>
      </c>
      <c r="BM193" t="s">
        <v>4125</v>
      </c>
      <c r="BN193" t="s">
        <v>74</v>
      </c>
      <c r="BO193" t="s">
        <v>4126</v>
      </c>
      <c r="BP193" t="s">
        <v>74</v>
      </c>
      <c r="BQ193" t="s">
        <v>74</v>
      </c>
      <c r="BR193" t="s">
        <v>105</v>
      </c>
      <c r="BS193" t="s">
        <v>4127</v>
      </c>
      <c r="BT193" t="str">
        <f>HYPERLINK("https%3A%2F%2Fwww.webofscience.com%2Fwos%2Fwoscc%2Ffull-record%2FWOS:000716386200013","View Full Record in Web of Science")</f>
        <v>View Full Record in Web of Science</v>
      </c>
    </row>
    <row r="194" spans="1:72" x14ac:dyDescent="0.15">
      <c r="A194" t="s">
        <v>72</v>
      </c>
      <c r="B194" t="s">
        <v>4128</v>
      </c>
      <c r="C194" t="s">
        <v>74</v>
      </c>
      <c r="D194" t="s">
        <v>74</v>
      </c>
      <c r="E194" t="s">
        <v>74</v>
      </c>
      <c r="F194" t="s">
        <v>4129</v>
      </c>
      <c r="G194" t="s">
        <v>74</v>
      </c>
      <c r="H194" t="s">
        <v>74</v>
      </c>
      <c r="I194" t="s">
        <v>4130</v>
      </c>
      <c r="J194" t="s">
        <v>4131</v>
      </c>
      <c r="K194" t="s">
        <v>74</v>
      </c>
      <c r="L194" t="s">
        <v>74</v>
      </c>
      <c r="M194" t="s">
        <v>78</v>
      </c>
      <c r="N194" t="s">
        <v>79</v>
      </c>
      <c r="O194" t="s">
        <v>74</v>
      </c>
      <c r="P194" t="s">
        <v>74</v>
      </c>
      <c r="Q194" t="s">
        <v>74</v>
      </c>
      <c r="R194" t="s">
        <v>74</v>
      </c>
      <c r="S194" t="s">
        <v>74</v>
      </c>
      <c r="T194" t="s">
        <v>4132</v>
      </c>
      <c r="U194" t="s">
        <v>4133</v>
      </c>
      <c r="V194" t="s">
        <v>4134</v>
      </c>
      <c r="W194" t="s">
        <v>4135</v>
      </c>
      <c r="X194" t="s">
        <v>4136</v>
      </c>
      <c r="Y194" t="s">
        <v>4137</v>
      </c>
      <c r="Z194" t="s">
        <v>4138</v>
      </c>
      <c r="AA194" t="s">
        <v>4139</v>
      </c>
      <c r="AB194" t="s">
        <v>4140</v>
      </c>
      <c r="AC194" t="s">
        <v>4141</v>
      </c>
      <c r="AD194" t="s">
        <v>4142</v>
      </c>
      <c r="AE194" t="s">
        <v>4141</v>
      </c>
      <c r="AF194" t="s">
        <v>74</v>
      </c>
      <c r="AG194">
        <v>124</v>
      </c>
      <c r="AH194">
        <v>7</v>
      </c>
      <c r="AI194">
        <v>8</v>
      </c>
      <c r="AJ194">
        <v>6</v>
      </c>
      <c r="AK194">
        <v>27</v>
      </c>
      <c r="AL194" t="s">
        <v>572</v>
      </c>
      <c r="AM194" t="s">
        <v>573</v>
      </c>
      <c r="AN194" t="s">
        <v>574</v>
      </c>
      <c r="AO194" t="s">
        <v>4143</v>
      </c>
      <c r="AP194" t="s">
        <v>4144</v>
      </c>
      <c r="AQ194" t="s">
        <v>74</v>
      </c>
      <c r="AR194" t="s">
        <v>4145</v>
      </c>
      <c r="AS194" t="s">
        <v>4146</v>
      </c>
      <c r="AT194" t="s">
        <v>416</v>
      </c>
      <c r="AU194">
        <v>2022</v>
      </c>
      <c r="AV194">
        <v>45</v>
      </c>
      <c r="AW194">
        <v>1</v>
      </c>
      <c r="AX194" t="s">
        <v>74</v>
      </c>
      <c r="AY194" t="s">
        <v>74</v>
      </c>
      <c r="AZ194" t="s">
        <v>74</v>
      </c>
      <c r="BA194" t="s">
        <v>74</v>
      </c>
      <c r="BB194">
        <v>156</v>
      </c>
      <c r="BC194">
        <v>177</v>
      </c>
      <c r="BD194" t="s">
        <v>74</v>
      </c>
      <c r="BE194" t="s">
        <v>4147</v>
      </c>
      <c r="BF194" t="str">
        <f>HYPERLINK("http://dx.doi.org/10.1111/pce.14203","http://dx.doi.org/10.1111/pce.14203")</f>
        <v>http://dx.doi.org/10.1111/pce.14203</v>
      </c>
      <c r="BG194" t="s">
        <v>74</v>
      </c>
      <c r="BH194" t="s">
        <v>263</v>
      </c>
      <c r="BI194">
        <v>22</v>
      </c>
      <c r="BJ194" t="s">
        <v>4148</v>
      </c>
      <c r="BK194" t="s">
        <v>101</v>
      </c>
      <c r="BL194" t="s">
        <v>4148</v>
      </c>
      <c r="BM194" t="s">
        <v>4149</v>
      </c>
      <c r="BN194">
        <v>34664276</v>
      </c>
      <c r="BO194" t="s">
        <v>74</v>
      </c>
      <c r="BP194" t="s">
        <v>74</v>
      </c>
      <c r="BQ194" t="s">
        <v>74</v>
      </c>
      <c r="BR194" t="s">
        <v>105</v>
      </c>
      <c r="BS194" t="s">
        <v>4150</v>
      </c>
      <c r="BT194" t="str">
        <f>HYPERLINK("https%3A%2F%2Fwww.webofscience.com%2Fwos%2Fwoscc%2Ffull-record%2FWOS:000713546300001","View Full Record in Web of Science")</f>
        <v>View Full Record in Web of Science</v>
      </c>
    </row>
    <row r="195" spans="1:72" x14ac:dyDescent="0.15">
      <c r="A195" t="s">
        <v>72</v>
      </c>
      <c r="B195" t="s">
        <v>4151</v>
      </c>
      <c r="C195" t="s">
        <v>74</v>
      </c>
      <c r="D195" t="s">
        <v>74</v>
      </c>
      <c r="E195" t="s">
        <v>74</v>
      </c>
      <c r="F195" t="s">
        <v>4152</v>
      </c>
      <c r="G195" t="s">
        <v>74</v>
      </c>
      <c r="H195" t="s">
        <v>74</v>
      </c>
      <c r="I195" t="s">
        <v>4153</v>
      </c>
      <c r="J195" t="s">
        <v>4154</v>
      </c>
      <c r="K195" t="s">
        <v>74</v>
      </c>
      <c r="L195" t="s">
        <v>74</v>
      </c>
      <c r="M195" t="s">
        <v>78</v>
      </c>
      <c r="N195" t="s">
        <v>79</v>
      </c>
      <c r="O195" t="s">
        <v>74</v>
      </c>
      <c r="P195" t="s">
        <v>74</v>
      </c>
      <c r="Q195" t="s">
        <v>74</v>
      </c>
      <c r="R195" t="s">
        <v>74</v>
      </c>
      <c r="S195" t="s">
        <v>74</v>
      </c>
      <c r="T195" t="s">
        <v>74</v>
      </c>
      <c r="U195" t="s">
        <v>4155</v>
      </c>
      <c r="V195" t="s">
        <v>4156</v>
      </c>
      <c r="W195" t="s">
        <v>4157</v>
      </c>
      <c r="X195" t="s">
        <v>4158</v>
      </c>
      <c r="Y195" t="s">
        <v>4159</v>
      </c>
      <c r="Z195" t="s">
        <v>4160</v>
      </c>
      <c r="AA195" t="s">
        <v>74</v>
      </c>
      <c r="AB195" t="s">
        <v>74</v>
      </c>
      <c r="AC195" t="s">
        <v>4161</v>
      </c>
      <c r="AD195" t="s">
        <v>4162</v>
      </c>
      <c r="AE195" t="s">
        <v>4163</v>
      </c>
      <c r="AF195" t="s">
        <v>74</v>
      </c>
      <c r="AG195">
        <v>60</v>
      </c>
      <c r="AH195">
        <v>6</v>
      </c>
      <c r="AI195">
        <v>6</v>
      </c>
      <c r="AJ195">
        <v>3</v>
      </c>
      <c r="AK195">
        <v>5</v>
      </c>
      <c r="AL195" t="s">
        <v>4164</v>
      </c>
      <c r="AM195" t="s">
        <v>4165</v>
      </c>
      <c r="AN195" t="s">
        <v>4166</v>
      </c>
      <c r="AO195" t="s">
        <v>74</v>
      </c>
      <c r="AP195" t="s">
        <v>4167</v>
      </c>
      <c r="AQ195" t="s">
        <v>74</v>
      </c>
      <c r="AR195" t="s">
        <v>4168</v>
      </c>
      <c r="AS195" t="s">
        <v>4169</v>
      </c>
      <c r="AT195" t="s">
        <v>4170</v>
      </c>
      <c r="AU195">
        <v>2021</v>
      </c>
      <c r="AV195">
        <v>11</v>
      </c>
      <c r="AW195">
        <v>11</v>
      </c>
      <c r="AX195" t="s">
        <v>74</v>
      </c>
      <c r="AY195" t="s">
        <v>74</v>
      </c>
      <c r="AZ195" t="s">
        <v>74</v>
      </c>
      <c r="BA195" t="s">
        <v>74</v>
      </c>
      <c r="BB195" t="s">
        <v>74</v>
      </c>
      <c r="BC195" t="s">
        <v>74</v>
      </c>
      <c r="BD195">
        <v>115307</v>
      </c>
      <c r="BE195" t="s">
        <v>4171</v>
      </c>
      <c r="BF195" t="str">
        <f>HYPERLINK("http://dx.doi.org/10.1063/5.0047661","http://dx.doi.org/10.1063/5.0047661")</f>
        <v>http://dx.doi.org/10.1063/5.0047661</v>
      </c>
      <c r="BG195" t="s">
        <v>74</v>
      </c>
      <c r="BH195" t="s">
        <v>74</v>
      </c>
      <c r="BI195">
        <v>11</v>
      </c>
      <c r="BJ195" t="s">
        <v>4172</v>
      </c>
      <c r="BK195" t="s">
        <v>101</v>
      </c>
      <c r="BL195" t="s">
        <v>4173</v>
      </c>
      <c r="BM195" t="s">
        <v>4174</v>
      </c>
      <c r="BN195" t="s">
        <v>74</v>
      </c>
      <c r="BO195" t="s">
        <v>554</v>
      </c>
      <c r="BP195" t="s">
        <v>74</v>
      </c>
      <c r="BQ195" t="s">
        <v>74</v>
      </c>
      <c r="BR195" t="s">
        <v>105</v>
      </c>
      <c r="BS195" t="s">
        <v>4175</v>
      </c>
      <c r="BT195" t="str">
        <f>HYPERLINK("https%3A%2F%2Fwww.webofscience.com%2Fwos%2Fwoscc%2Ffull-record%2FWOS:000755512800001","View Full Record in Web of Science")</f>
        <v>View Full Record in Web of Science</v>
      </c>
    </row>
    <row r="196" spans="1:72" x14ac:dyDescent="0.15">
      <c r="A196" t="s">
        <v>72</v>
      </c>
      <c r="B196" t="s">
        <v>4176</v>
      </c>
      <c r="C196" t="s">
        <v>74</v>
      </c>
      <c r="D196" t="s">
        <v>74</v>
      </c>
      <c r="E196" t="s">
        <v>74</v>
      </c>
      <c r="F196" t="s">
        <v>4177</v>
      </c>
      <c r="G196" t="s">
        <v>74</v>
      </c>
      <c r="H196" t="s">
        <v>74</v>
      </c>
      <c r="I196" t="s">
        <v>4178</v>
      </c>
      <c r="J196" t="s">
        <v>4179</v>
      </c>
      <c r="K196" t="s">
        <v>74</v>
      </c>
      <c r="L196" t="s">
        <v>74</v>
      </c>
      <c r="M196" t="s">
        <v>78</v>
      </c>
      <c r="N196" t="s">
        <v>79</v>
      </c>
      <c r="O196" t="s">
        <v>74</v>
      </c>
      <c r="P196" t="s">
        <v>74</v>
      </c>
      <c r="Q196" t="s">
        <v>74</v>
      </c>
      <c r="R196" t="s">
        <v>74</v>
      </c>
      <c r="S196" t="s">
        <v>74</v>
      </c>
      <c r="T196" t="s">
        <v>4180</v>
      </c>
      <c r="U196" t="s">
        <v>4181</v>
      </c>
      <c r="V196" t="s">
        <v>4182</v>
      </c>
      <c r="W196" t="s">
        <v>4183</v>
      </c>
      <c r="X196" t="s">
        <v>4184</v>
      </c>
      <c r="Y196" t="s">
        <v>4185</v>
      </c>
      <c r="Z196" t="s">
        <v>4186</v>
      </c>
      <c r="AA196" t="s">
        <v>4187</v>
      </c>
      <c r="AB196" t="s">
        <v>4188</v>
      </c>
      <c r="AC196" t="s">
        <v>4189</v>
      </c>
      <c r="AD196" t="s">
        <v>4190</v>
      </c>
      <c r="AE196" t="s">
        <v>4191</v>
      </c>
      <c r="AF196" t="s">
        <v>74</v>
      </c>
      <c r="AG196">
        <v>99</v>
      </c>
      <c r="AH196">
        <v>4</v>
      </c>
      <c r="AI196">
        <v>4</v>
      </c>
      <c r="AJ196">
        <v>0</v>
      </c>
      <c r="AK196">
        <v>11</v>
      </c>
      <c r="AL196" t="s">
        <v>4192</v>
      </c>
      <c r="AM196" t="s">
        <v>4193</v>
      </c>
      <c r="AN196" t="s">
        <v>4194</v>
      </c>
      <c r="AO196" t="s">
        <v>74</v>
      </c>
      <c r="AP196" t="s">
        <v>4195</v>
      </c>
      <c r="AQ196" t="s">
        <v>74</v>
      </c>
      <c r="AR196" t="s">
        <v>4179</v>
      </c>
      <c r="AS196" t="s">
        <v>4196</v>
      </c>
      <c r="AT196" t="s">
        <v>310</v>
      </c>
      <c r="AU196">
        <v>2021</v>
      </c>
      <c r="AV196">
        <v>13</v>
      </c>
      <c r="AW196">
        <v>11</v>
      </c>
      <c r="AX196" t="s">
        <v>74</v>
      </c>
      <c r="AY196" t="s">
        <v>74</v>
      </c>
      <c r="AZ196" t="s">
        <v>74</v>
      </c>
      <c r="BA196" t="s">
        <v>74</v>
      </c>
      <c r="BB196" t="s">
        <v>74</v>
      </c>
      <c r="BC196" t="s">
        <v>74</v>
      </c>
      <c r="BD196">
        <v>554</v>
      </c>
      <c r="BE196" t="s">
        <v>4197</v>
      </c>
      <c r="BF196" t="str">
        <f>HYPERLINK("http://dx.doi.org/10.3390/d13110554","http://dx.doi.org/10.3390/d13110554")</f>
        <v>http://dx.doi.org/10.3390/d13110554</v>
      </c>
      <c r="BG196" t="s">
        <v>74</v>
      </c>
      <c r="BH196" t="s">
        <v>74</v>
      </c>
      <c r="BI196">
        <v>20</v>
      </c>
      <c r="BJ196" t="s">
        <v>605</v>
      </c>
      <c r="BK196" t="s">
        <v>101</v>
      </c>
      <c r="BL196" t="s">
        <v>606</v>
      </c>
      <c r="BM196" t="s">
        <v>4198</v>
      </c>
      <c r="BN196" t="s">
        <v>74</v>
      </c>
      <c r="BO196" t="s">
        <v>394</v>
      </c>
      <c r="BP196" t="s">
        <v>74</v>
      </c>
      <c r="BQ196" t="s">
        <v>74</v>
      </c>
      <c r="BR196" t="s">
        <v>105</v>
      </c>
      <c r="BS196" t="s">
        <v>4199</v>
      </c>
      <c r="BT196" t="str">
        <f>HYPERLINK("https%3A%2F%2Fwww.webofscience.com%2Fwos%2Fwoscc%2Ffull-record%2FWOS:000807157000001","View Full Record in Web of Science")</f>
        <v>View Full Record in Web of Science</v>
      </c>
    </row>
    <row r="197" spans="1:72" x14ac:dyDescent="0.15">
      <c r="A197" t="s">
        <v>72</v>
      </c>
      <c r="B197" t="s">
        <v>4200</v>
      </c>
      <c r="C197" t="s">
        <v>74</v>
      </c>
      <c r="D197" t="s">
        <v>74</v>
      </c>
      <c r="E197" t="s">
        <v>74</v>
      </c>
      <c r="F197" t="s">
        <v>4201</v>
      </c>
      <c r="G197" t="s">
        <v>74</v>
      </c>
      <c r="H197" t="s">
        <v>74</v>
      </c>
      <c r="I197" t="s">
        <v>4202</v>
      </c>
      <c r="J197" t="s">
        <v>4203</v>
      </c>
      <c r="K197" t="s">
        <v>74</v>
      </c>
      <c r="L197" t="s">
        <v>74</v>
      </c>
      <c r="M197" t="s">
        <v>78</v>
      </c>
      <c r="N197" t="s">
        <v>79</v>
      </c>
      <c r="O197" t="s">
        <v>74</v>
      </c>
      <c r="P197" t="s">
        <v>74</v>
      </c>
      <c r="Q197" t="s">
        <v>74</v>
      </c>
      <c r="R197" t="s">
        <v>74</v>
      </c>
      <c r="S197" t="s">
        <v>74</v>
      </c>
      <c r="T197" t="s">
        <v>4204</v>
      </c>
      <c r="U197" t="s">
        <v>74</v>
      </c>
      <c r="V197" t="s">
        <v>4205</v>
      </c>
      <c r="W197" t="s">
        <v>4206</v>
      </c>
      <c r="X197" t="s">
        <v>4207</v>
      </c>
      <c r="Y197" t="s">
        <v>4208</v>
      </c>
      <c r="Z197" t="s">
        <v>4209</v>
      </c>
      <c r="AA197" t="s">
        <v>4210</v>
      </c>
      <c r="AB197" t="s">
        <v>4211</v>
      </c>
      <c r="AC197" t="s">
        <v>74</v>
      </c>
      <c r="AD197" t="s">
        <v>74</v>
      </c>
      <c r="AE197" t="s">
        <v>74</v>
      </c>
      <c r="AF197" t="s">
        <v>74</v>
      </c>
      <c r="AG197">
        <v>34</v>
      </c>
      <c r="AH197">
        <v>5</v>
      </c>
      <c r="AI197">
        <v>5</v>
      </c>
      <c r="AJ197">
        <v>1</v>
      </c>
      <c r="AK197">
        <v>9</v>
      </c>
      <c r="AL197" t="s">
        <v>4192</v>
      </c>
      <c r="AM197" t="s">
        <v>4193</v>
      </c>
      <c r="AN197" t="s">
        <v>4194</v>
      </c>
      <c r="AO197" t="s">
        <v>74</v>
      </c>
      <c r="AP197" t="s">
        <v>4212</v>
      </c>
      <c r="AQ197" t="s">
        <v>74</v>
      </c>
      <c r="AR197" t="s">
        <v>4213</v>
      </c>
      <c r="AS197" t="s">
        <v>4213</v>
      </c>
      <c r="AT197" t="s">
        <v>310</v>
      </c>
      <c r="AU197">
        <v>2021</v>
      </c>
      <c r="AV197">
        <v>11</v>
      </c>
      <c r="AW197">
        <v>11</v>
      </c>
      <c r="AX197" t="s">
        <v>74</v>
      </c>
      <c r="AY197" t="s">
        <v>74</v>
      </c>
      <c r="AZ197" t="s">
        <v>74</v>
      </c>
      <c r="BA197" t="s">
        <v>74</v>
      </c>
      <c r="BB197" t="s">
        <v>74</v>
      </c>
      <c r="BC197" t="s">
        <v>74</v>
      </c>
      <c r="BD197">
        <v>499</v>
      </c>
      <c r="BE197" t="s">
        <v>4214</v>
      </c>
      <c r="BF197" t="str">
        <f>HYPERLINK("http://dx.doi.org/10.3390/buildings11110499","http://dx.doi.org/10.3390/buildings11110499")</f>
        <v>http://dx.doi.org/10.3390/buildings11110499</v>
      </c>
      <c r="BG197" t="s">
        <v>74</v>
      </c>
      <c r="BH197" t="s">
        <v>74</v>
      </c>
      <c r="BI197">
        <v>11</v>
      </c>
      <c r="BJ197" t="s">
        <v>4215</v>
      </c>
      <c r="BK197" t="s">
        <v>101</v>
      </c>
      <c r="BL197" t="s">
        <v>4216</v>
      </c>
      <c r="BM197" t="s">
        <v>4217</v>
      </c>
      <c r="BN197" t="s">
        <v>74</v>
      </c>
      <c r="BO197" t="s">
        <v>210</v>
      </c>
      <c r="BP197" t="s">
        <v>74</v>
      </c>
      <c r="BQ197" t="s">
        <v>74</v>
      </c>
      <c r="BR197" t="s">
        <v>105</v>
      </c>
      <c r="BS197" t="s">
        <v>4218</v>
      </c>
      <c r="BT197" t="str">
        <f>HYPERLINK("https%3A%2F%2Fwww.webofscience.com%2Fwos%2Fwoscc%2Ffull-record%2FWOS:000807211300001","View Full Record in Web of Science")</f>
        <v>View Full Record in Web of Science</v>
      </c>
    </row>
    <row r="198" spans="1:72" x14ac:dyDescent="0.15">
      <c r="A198" t="s">
        <v>72</v>
      </c>
      <c r="B198" t="s">
        <v>4219</v>
      </c>
      <c r="C198" t="s">
        <v>74</v>
      </c>
      <c r="D198" t="s">
        <v>74</v>
      </c>
      <c r="E198" t="s">
        <v>74</v>
      </c>
      <c r="F198" t="s">
        <v>4220</v>
      </c>
      <c r="G198" t="s">
        <v>74</v>
      </c>
      <c r="H198" t="s">
        <v>74</v>
      </c>
      <c r="I198" t="s">
        <v>4221</v>
      </c>
      <c r="J198" t="s">
        <v>4222</v>
      </c>
      <c r="K198" t="s">
        <v>74</v>
      </c>
      <c r="L198" t="s">
        <v>74</v>
      </c>
      <c r="M198" t="s">
        <v>78</v>
      </c>
      <c r="N198" t="s">
        <v>79</v>
      </c>
      <c r="O198" t="s">
        <v>74</v>
      </c>
      <c r="P198" t="s">
        <v>74</v>
      </c>
      <c r="Q198" t="s">
        <v>74</v>
      </c>
      <c r="R198" t="s">
        <v>74</v>
      </c>
      <c r="S198" t="s">
        <v>74</v>
      </c>
      <c r="T198" t="s">
        <v>4223</v>
      </c>
      <c r="U198" t="s">
        <v>4224</v>
      </c>
      <c r="V198" t="s">
        <v>4225</v>
      </c>
      <c r="W198" t="s">
        <v>4226</v>
      </c>
      <c r="X198" t="s">
        <v>74</v>
      </c>
      <c r="Y198" t="s">
        <v>4227</v>
      </c>
      <c r="Z198" t="s">
        <v>4228</v>
      </c>
      <c r="AA198" t="s">
        <v>74</v>
      </c>
      <c r="AB198" t="s">
        <v>4229</v>
      </c>
      <c r="AC198" t="s">
        <v>4230</v>
      </c>
      <c r="AD198" t="s">
        <v>4231</v>
      </c>
      <c r="AE198" t="s">
        <v>4232</v>
      </c>
      <c r="AF198" t="s">
        <v>74</v>
      </c>
      <c r="AG198">
        <v>36</v>
      </c>
      <c r="AH198">
        <v>2</v>
      </c>
      <c r="AI198">
        <v>2</v>
      </c>
      <c r="AJ198">
        <v>0</v>
      </c>
      <c r="AK198">
        <v>10</v>
      </c>
      <c r="AL198" t="s">
        <v>4192</v>
      </c>
      <c r="AM198" t="s">
        <v>4193</v>
      </c>
      <c r="AN198" t="s">
        <v>4194</v>
      </c>
      <c r="AO198" t="s">
        <v>74</v>
      </c>
      <c r="AP198" t="s">
        <v>4233</v>
      </c>
      <c r="AQ198" t="s">
        <v>74</v>
      </c>
      <c r="AR198" t="s">
        <v>4234</v>
      </c>
      <c r="AS198" t="s">
        <v>4235</v>
      </c>
      <c r="AT198" t="s">
        <v>310</v>
      </c>
      <c r="AU198">
        <v>2021</v>
      </c>
      <c r="AV198">
        <v>13</v>
      </c>
      <c r="AW198">
        <v>22</v>
      </c>
      <c r="AX198" t="s">
        <v>74</v>
      </c>
      <c r="AY198" t="s">
        <v>74</v>
      </c>
      <c r="AZ198" t="s">
        <v>74</v>
      </c>
      <c r="BA198" t="s">
        <v>74</v>
      </c>
      <c r="BB198" t="s">
        <v>74</v>
      </c>
      <c r="BC198" t="s">
        <v>74</v>
      </c>
      <c r="BD198">
        <v>4508</v>
      </c>
      <c r="BE198" t="s">
        <v>4236</v>
      </c>
      <c r="BF198" t="str">
        <f>HYPERLINK("http://dx.doi.org/10.3390/rs13224508","http://dx.doi.org/10.3390/rs13224508")</f>
        <v>http://dx.doi.org/10.3390/rs13224508</v>
      </c>
      <c r="BG198" t="s">
        <v>74</v>
      </c>
      <c r="BH198" t="s">
        <v>74</v>
      </c>
      <c r="BI198">
        <v>17</v>
      </c>
      <c r="BJ198" t="s">
        <v>4237</v>
      </c>
      <c r="BK198" t="s">
        <v>101</v>
      </c>
      <c r="BL198" t="s">
        <v>4238</v>
      </c>
      <c r="BM198" t="s">
        <v>4239</v>
      </c>
      <c r="BN198" t="s">
        <v>74</v>
      </c>
      <c r="BO198" t="s">
        <v>210</v>
      </c>
      <c r="BP198" t="s">
        <v>74</v>
      </c>
      <c r="BQ198" t="s">
        <v>74</v>
      </c>
      <c r="BR198" t="s">
        <v>105</v>
      </c>
      <c r="BS198" t="s">
        <v>4240</v>
      </c>
      <c r="BT198" t="str">
        <f>HYPERLINK("https%3A%2F%2Fwww.webofscience.com%2Fwos%2Fwoscc%2Ffull-record%2FWOS:000771958500002","View Full Record in Web of Science")</f>
        <v>View Full Record in Web of Science</v>
      </c>
    </row>
    <row r="199" spans="1:72" x14ac:dyDescent="0.15">
      <c r="A199" t="s">
        <v>72</v>
      </c>
      <c r="B199" t="s">
        <v>4241</v>
      </c>
      <c r="C199" t="s">
        <v>74</v>
      </c>
      <c r="D199" t="s">
        <v>74</v>
      </c>
      <c r="E199" t="s">
        <v>74</v>
      </c>
      <c r="F199" t="s">
        <v>4242</v>
      </c>
      <c r="G199" t="s">
        <v>74</v>
      </c>
      <c r="H199" t="s">
        <v>74</v>
      </c>
      <c r="I199" t="s">
        <v>4243</v>
      </c>
      <c r="J199" t="s">
        <v>4222</v>
      </c>
      <c r="K199" t="s">
        <v>74</v>
      </c>
      <c r="L199" t="s">
        <v>74</v>
      </c>
      <c r="M199" t="s">
        <v>78</v>
      </c>
      <c r="N199" t="s">
        <v>79</v>
      </c>
      <c r="O199" t="s">
        <v>74</v>
      </c>
      <c r="P199" t="s">
        <v>74</v>
      </c>
      <c r="Q199" t="s">
        <v>74</v>
      </c>
      <c r="R199" t="s">
        <v>74</v>
      </c>
      <c r="S199" t="s">
        <v>74</v>
      </c>
      <c r="T199" t="s">
        <v>4244</v>
      </c>
      <c r="U199" t="s">
        <v>4245</v>
      </c>
      <c r="V199" t="s">
        <v>4246</v>
      </c>
      <c r="W199" t="s">
        <v>4247</v>
      </c>
      <c r="X199" t="s">
        <v>4248</v>
      </c>
      <c r="Y199" t="s">
        <v>4249</v>
      </c>
      <c r="Z199" t="s">
        <v>4250</v>
      </c>
      <c r="AA199" t="s">
        <v>4251</v>
      </c>
      <c r="AB199" t="s">
        <v>4252</v>
      </c>
      <c r="AC199" t="s">
        <v>4253</v>
      </c>
      <c r="AD199" t="s">
        <v>4254</v>
      </c>
      <c r="AE199" t="s">
        <v>4255</v>
      </c>
      <c r="AF199" t="s">
        <v>74</v>
      </c>
      <c r="AG199">
        <v>45</v>
      </c>
      <c r="AH199">
        <v>2</v>
      </c>
      <c r="AI199">
        <v>2</v>
      </c>
      <c r="AJ199">
        <v>11</v>
      </c>
      <c r="AK199">
        <v>36</v>
      </c>
      <c r="AL199" t="s">
        <v>4192</v>
      </c>
      <c r="AM199" t="s">
        <v>4193</v>
      </c>
      <c r="AN199" t="s">
        <v>4194</v>
      </c>
      <c r="AO199" t="s">
        <v>74</v>
      </c>
      <c r="AP199" t="s">
        <v>4233</v>
      </c>
      <c r="AQ199" t="s">
        <v>74</v>
      </c>
      <c r="AR199" t="s">
        <v>4234</v>
      </c>
      <c r="AS199" t="s">
        <v>4235</v>
      </c>
      <c r="AT199" t="s">
        <v>310</v>
      </c>
      <c r="AU199">
        <v>2021</v>
      </c>
      <c r="AV199">
        <v>13</v>
      </c>
      <c r="AW199">
        <v>22</v>
      </c>
      <c r="AX199" t="s">
        <v>74</v>
      </c>
      <c r="AY199" t="s">
        <v>74</v>
      </c>
      <c r="AZ199" t="s">
        <v>74</v>
      </c>
      <c r="BA199" t="s">
        <v>74</v>
      </c>
      <c r="BB199" t="s">
        <v>74</v>
      </c>
      <c r="BC199" t="s">
        <v>74</v>
      </c>
      <c r="BD199">
        <v>4718</v>
      </c>
      <c r="BE199" t="s">
        <v>4256</v>
      </c>
      <c r="BF199" t="str">
        <f>HYPERLINK("http://dx.doi.org/10.3390/rs13224718","http://dx.doi.org/10.3390/rs13224718")</f>
        <v>http://dx.doi.org/10.3390/rs13224718</v>
      </c>
      <c r="BG199" t="s">
        <v>74</v>
      </c>
      <c r="BH199" t="s">
        <v>74</v>
      </c>
      <c r="BI199">
        <v>15</v>
      </c>
      <c r="BJ199" t="s">
        <v>4237</v>
      </c>
      <c r="BK199" t="s">
        <v>101</v>
      </c>
      <c r="BL199" t="s">
        <v>4238</v>
      </c>
      <c r="BM199" t="s">
        <v>4239</v>
      </c>
      <c r="BN199" t="s">
        <v>74</v>
      </c>
      <c r="BO199" t="s">
        <v>210</v>
      </c>
      <c r="BP199" t="s">
        <v>74</v>
      </c>
      <c r="BQ199" t="s">
        <v>74</v>
      </c>
      <c r="BR199" t="s">
        <v>105</v>
      </c>
      <c r="BS199" t="s">
        <v>4257</v>
      </c>
      <c r="BT199" t="str">
        <f>HYPERLINK("https%3A%2F%2Fwww.webofscience.com%2Fwos%2Fwoscc%2Ffull-record%2FWOS:000771958500028","View Full Record in Web of Science")</f>
        <v>View Full Record in Web of Science</v>
      </c>
    </row>
    <row r="200" spans="1:72" x14ac:dyDescent="0.15">
      <c r="A200" t="s">
        <v>72</v>
      </c>
      <c r="B200" t="s">
        <v>4258</v>
      </c>
      <c r="C200" t="s">
        <v>74</v>
      </c>
      <c r="D200" t="s">
        <v>74</v>
      </c>
      <c r="E200" t="s">
        <v>74</v>
      </c>
      <c r="F200" t="s">
        <v>4259</v>
      </c>
      <c r="G200" t="s">
        <v>74</v>
      </c>
      <c r="H200" t="s">
        <v>74</v>
      </c>
      <c r="I200" t="s">
        <v>4260</v>
      </c>
      <c r="J200" t="s">
        <v>4261</v>
      </c>
      <c r="K200" t="s">
        <v>74</v>
      </c>
      <c r="L200" t="s">
        <v>74</v>
      </c>
      <c r="M200" t="s">
        <v>78</v>
      </c>
      <c r="N200" t="s">
        <v>79</v>
      </c>
      <c r="O200" t="s">
        <v>74</v>
      </c>
      <c r="P200" t="s">
        <v>74</v>
      </c>
      <c r="Q200" t="s">
        <v>74</v>
      </c>
      <c r="R200" t="s">
        <v>74</v>
      </c>
      <c r="S200" t="s">
        <v>74</v>
      </c>
      <c r="T200" t="s">
        <v>4262</v>
      </c>
      <c r="U200" t="s">
        <v>4263</v>
      </c>
      <c r="V200" t="s">
        <v>4264</v>
      </c>
      <c r="W200" t="s">
        <v>4265</v>
      </c>
      <c r="X200" t="s">
        <v>4266</v>
      </c>
      <c r="Y200" t="s">
        <v>4267</v>
      </c>
      <c r="Z200" t="s">
        <v>4268</v>
      </c>
      <c r="AA200" t="s">
        <v>4269</v>
      </c>
      <c r="AB200" t="s">
        <v>4270</v>
      </c>
      <c r="AC200" t="s">
        <v>4271</v>
      </c>
      <c r="AD200" t="s">
        <v>4272</v>
      </c>
      <c r="AE200" t="s">
        <v>4273</v>
      </c>
      <c r="AF200" t="s">
        <v>74</v>
      </c>
      <c r="AG200">
        <v>48</v>
      </c>
      <c r="AH200">
        <v>0</v>
      </c>
      <c r="AI200">
        <v>0</v>
      </c>
      <c r="AJ200">
        <v>0</v>
      </c>
      <c r="AK200">
        <v>35</v>
      </c>
      <c r="AL200" t="s">
        <v>4192</v>
      </c>
      <c r="AM200" t="s">
        <v>4193</v>
      </c>
      <c r="AN200" t="s">
        <v>4194</v>
      </c>
      <c r="AO200" t="s">
        <v>74</v>
      </c>
      <c r="AP200" t="s">
        <v>4274</v>
      </c>
      <c r="AQ200" t="s">
        <v>74</v>
      </c>
      <c r="AR200" t="s">
        <v>4275</v>
      </c>
      <c r="AS200" t="s">
        <v>4276</v>
      </c>
      <c r="AT200" t="s">
        <v>310</v>
      </c>
      <c r="AU200">
        <v>2021</v>
      </c>
      <c r="AV200">
        <v>12</v>
      </c>
      <c r="AW200">
        <v>11</v>
      </c>
      <c r="AX200" t="s">
        <v>74</v>
      </c>
      <c r="AY200" t="s">
        <v>74</v>
      </c>
      <c r="AZ200" t="s">
        <v>74</v>
      </c>
      <c r="BA200" t="s">
        <v>74</v>
      </c>
      <c r="BB200" t="s">
        <v>74</v>
      </c>
      <c r="BC200" t="s">
        <v>74</v>
      </c>
      <c r="BD200">
        <v>1398</v>
      </c>
      <c r="BE200" t="s">
        <v>4277</v>
      </c>
      <c r="BF200" t="str">
        <f>HYPERLINK("http://dx.doi.org/10.3390/atmos12111398","http://dx.doi.org/10.3390/atmos12111398")</f>
        <v>http://dx.doi.org/10.3390/atmos12111398</v>
      </c>
      <c r="BG200" t="s">
        <v>74</v>
      </c>
      <c r="BH200" t="s">
        <v>74</v>
      </c>
      <c r="BI200">
        <v>11</v>
      </c>
      <c r="BJ200" t="s">
        <v>100</v>
      </c>
      <c r="BK200" t="s">
        <v>101</v>
      </c>
      <c r="BL200" t="s">
        <v>102</v>
      </c>
      <c r="BM200" t="s">
        <v>4278</v>
      </c>
      <c r="BN200" t="s">
        <v>74</v>
      </c>
      <c r="BO200" t="s">
        <v>394</v>
      </c>
      <c r="BP200" t="s">
        <v>74</v>
      </c>
      <c r="BQ200" t="s">
        <v>74</v>
      </c>
      <c r="BR200" t="s">
        <v>105</v>
      </c>
      <c r="BS200" t="s">
        <v>4279</v>
      </c>
      <c r="BT200" t="str">
        <f>HYPERLINK("https%3A%2F%2Fwww.webofscience.com%2Fwos%2Fwoscc%2Ffull-record%2FWOS:000759962600001","View Full Record in Web of Science")</f>
        <v>View Full Record in Web of Science</v>
      </c>
    </row>
    <row r="201" spans="1:72" x14ac:dyDescent="0.15">
      <c r="A201" t="s">
        <v>72</v>
      </c>
      <c r="B201" t="s">
        <v>4280</v>
      </c>
      <c r="C201" t="s">
        <v>74</v>
      </c>
      <c r="D201" t="s">
        <v>74</v>
      </c>
      <c r="E201" t="s">
        <v>74</v>
      </c>
      <c r="F201" t="s">
        <v>4281</v>
      </c>
      <c r="G201" t="s">
        <v>74</v>
      </c>
      <c r="H201" t="s">
        <v>74</v>
      </c>
      <c r="I201" t="s">
        <v>4282</v>
      </c>
      <c r="J201" t="s">
        <v>4222</v>
      </c>
      <c r="K201" t="s">
        <v>74</v>
      </c>
      <c r="L201" t="s">
        <v>74</v>
      </c>
      <c r="M201" t="s">
        <v>78</v>
      </c>
      <c r="N201" t="s">
        <v>79</v>
      </c>
      <c r="O201" t="s">
        <v>74</v>
      </c>
      <c r="P201" t="s">
        <v>74</v>
      </c>
      <c r="Q201" t="s">
        <v>74</v>
      </c>
      <c r="R201" t="s">
        <v>74</v>
      </c>
      <c r="S201" t="s">
        <v>74</v>
      </c>
      <c r="T201" t="s">
        <v>4283</v>
      </c>
      <c r="U201" t="s">
        <v>4284</v>
      </c>
      <c r="V201" t="s">
        <v>4285</v>
      </c>
      <c r="W201" t="s">
        <v>4286</v>
      </c>
      <c r="X201" t="s">
        <v>4287</v>
      </c>
      <c r="Y201" t="s">
        <v>4288</v>
      </c>
      <c r="Z201" t="s">
        <v>4289</v>
      </c>
      <c r="AA201" t="s">
        <v>4290</v>
      </c>
      <c r="AB201" t="s">
        <v>4291</v>
      </c>
      <c r="AC201" t="s">
        <v>4292</v>
      </c>
      <c r="AD201" t="s">
        <v>4293</v>
      </c>
      <c r="AE201" t="s">
        <v>4294</v>
      </c>
      <c r="AF201" t="s">
        <v>74</v>
      </c>
      <c r="AG201">
        <v>110</v>
      </c>
      <c r="AH201">
        <v>2</v>
      </c>
      <c r="AI201">
        <v>2</v>
      </c>
      <c r="AJ201">
        <v>7</v>
      </c>
      <c r="AK201">
        <v>17</v>
      </c>
      <c r="AL201" t="s">
        <v>4192</v>
      </c>
      <c r="AM201" t="s">
        <v>4193</v>
      </c>
      <c r="AN201" t="s">
        <v>4194</v>
      </c>
      <c r="AO201" t="s">
        <v>74</v>
      </c>
      <c r="AP201" t="s">
        <v>4233</v>
      </c>
      <c r="AQ201" t="s">
        <v>74</v>
      </c>
      <c r="AR201" t="s">
        <v>4234</v>
      </c>
      <c r="AS201" t="s">
        <v>4235</v>
      </c>
      <c r="AT201" t="s">
        <v>310</v>
      </c>
      <c r="AU201">
        <v>2021</v>
      </c>
      <c r="AV201">
        <v>13</v>
      </c>
      <c r="AW201">
        <v>21</v>
      </c>
      <c r="AX201" t="s">
        <v>74</v>
      </c>
      <c r="AY201" t="s">
        <v>74</v>
      </c>
      <c r="AZ201" t="s">
        <v>74</v>
      </c>
      <c r="BA201" t="s">
        <v>74</v>
      </c>
      <c r="BB201" t="s">
        <v>74</v>
      </c>
      <c r="BC201" t="s">
        <v>74</v>
      </c>
      <c r="BD201">
        <v>4232</v>
      </c>
      <c r="BE201" t="s">
        <v>4295</v>
      </c>
      <c r="BF201" t="str">
        <f>HYPERLINK("http://dx.doi.org/10.3390/rs13214232","http://dx.doi.org/10.3390/rs13214232")</f>
        <v>http://dx.doi.org/10.3390/rs13214232</v>
      </c>
      <c r="BG201" t="s">
        <v>74</v>
      </c>
      <c r="BH201" t="s">
        <v>74</v>
      </c>
      <c r="BI201">
        <v>23</v>
      </c>
      <c r="BJ201" t="s">
        <v>4237</v>
      </c>
      <c r="BK201" t="s">
        <v>101</v>
      </c>
      <c r="BL201" t="s">
        <v>4238</v>
      </c>
      <c r="BM201" t="s">
        <v>4296</v>
      </c>
      <c r="BN201" t="s">
        <v>74</v>
      </c>
      <c r="BO201" t="s">
        <v>210</v>
      </c>
      <c r="BP201" t="s">
        <v>74</v>
      </c>
      <c r="BQ201" t="s">
        <v>74</v>
      </c>
      <c r="BR201" t="s">
        <v>105</v>
      </c>
      <c r="BS201" t="s">
        <v>4297</v>
      </c>
      <c r="BT201" t="str">
        <f>HYPERLINK("https%3A%2F%2Fwww.webofscience.com%2Fwos%2Fwoscc%2Ffull-record%2FWOS:000758443900001","View Full Record in Web of Science")</f>
        <v>View Full Record in Web of Science</v>
      </c>
    </row>
    <row r="202" spans="1:72" x14ac:dyDescent="0.15">
      <c r="A202" t="s">
        <v>72</v>
      </c>
      <c r="B202" t="s">
        <v>4298</v>
      </c>
      <c r="C202" t="s">
        <v>74</v>
      </c>
      <c r="D202" t="s">
        <v>74</v>
      </c>
      <c r="E202" t="s">
        <v>74</v>
      </c>
      <c r="F202" t="s">
        <v>4299</v>
      </c>
      <c r="G202" t="s">
        <v>74</v>
      </c>
      <c r="H202" t="s">
        <v>74</v>
      </c>
      <c r="I202" t="s">
        <v>4300</v>
      </c>
      <c r="J202" t="s">
        <v>4301</v>
      </c>
      <c r="K202" t="s">
        <v>74</v>
      </c>
      <c r="L202" t="s">
        <v>74</v>
      </c>
      <c r="M202" t="s">
        <v>78</v>
      </c>
      <c r="N202" t="s">
        <v>79</v>
      </c>
      <c r="O202" t="s">
        <v>74</v>
      </c>
      <c r="P202" t="s">
        <v>74</v>
      </c>
      <c r="Q202" t="s">
        <v>74</v>
      </c>
      <c r="R202" t="s">
        <v>74</v>
      </c>
      <c r="S202" t="s">
        <v>74</v>
      </c>
      <c r="T202" t="s">
        <v>4302</v>
      </c>
      <c r="U202" t="s">
        <v>74</v>
      </c>
      <c r="V202" t="s">
        <v>4303</v>
      </c>
      <c r="W202" t="s">
        <v>4304</v>
      </c>
      <c r="X202" t="s">
        <v>4305</v>
      </c>
      <c r="Y202" t="s">
        <v>4306</v>
      </c>
      <c r="Z202" t="s">
        <v>4307</v>
      </c>
      <c r="AA202" t="s">
        <v>74</v>
      </c>
      <c r="AB202" t="s">
        <v>4308</v>
      </c>
      <c r="AC202" t="s">
        <v>4309</v>
      </c>
      <c r="AD202" t="s">
        <v>4310</v>
      </c>
      <c r="AE202" t="s">
        <v>4311</v>
      </c>
      <c r="AF202" t="s">
        <v>74</v>
      </c>
      <c r="AG202">
        <v>13</v>
      </c>
      <c r="AH202">
        <v>17</v>
      </c>
      <c r="AI202">
        <v>18</v>
      </c>
      <c r="AJ202">
        <v>1</v>
      </c>
      <c r="AK202">
        <v>8</v>
      </c>
      <c r="AL202" t="s">
        <v>4312</v>
      </c>
      <c r="AM202" t="s">
        <v>4313</v>
      </c>
      <c r="AN202" t="s">
        <v>4314</v>
      </c>
      <c r="AO202" t="s">
        <v>4315</v>
      </c>
      <c r="AP202" t="s">
        <v>4316</v>
      </c>
      <c r="AQ202" t="s">
        <v>74</v>
      </c>
      <c r="AR202" t="s">
        <v>4317</v>
      </c>
      <c r="AS202" t="s">
        <v>4318</v>
      </c>
      <c r="AT202" t="s">
        <v>310</v>
      </c>
      <c r="AU202">
        <v>2021</v>
      </c>
      <c r="AV202">
        <v>102</v>
      </c>
      <c r="AW202">
        <v>11</v>
      </c>
      <c r="AX202" t="s">
        <v>74</v>
      </c>
      <c r="AY202" t="s">
        <v>74</v>
      </c>
      <c r="AZ202" t="s">
        <v>74</v>
      </c>
      <c r="BA202" t="s">
        <v>74</v>
      </c>
      <c r="BB202" t="s">
        <v>4319</v>
      </c>
      <c r="BC202" t="s">
        <v>4320</v>
      </c>
      <c r="BD202" t="s">
        <v>74</v>
      </c>
      <c r="BE202" t="s">
        <v>4321</v>
      </c>
      <c r="BF202" t="str">
        <f>HYPERLINK("http://dx.doi.org/10.1175/BAMS-D-21-0040.1","http://dx.doi.org/10.1175/BAMS-D-21-0040.1")</f>
        <v>http://dx.doi.org/10.1175/BAMS-D-21-0040.1</v>
      </c>
      <c r="BG202" t="s">
        <v>74</v>
      </c>
      <c r="BH202" t="s">
        <v>74</v>
      </c>
      <c r="BI202">
        <v>9</v>
      </c>
      <c r="BJ202" t="s">
        <v>829</v>
      </c>
      <c r="BK202" t="s">
        <v>101</v>
      </c>
      <c r="BL202" t="s">
        <v>829</v>
      </c>
      <c r="BM202" t="s">
        <v>4322</v>
      </c>
      <c r="BN202" t="s">
        <v>74</v>
      </c>
      <c r="BO202" t="s">
        <v>4323</v>
      </c>
      <c r="BP202" t="s">
        <v>74</v>
      </c>
      <c r="BQ202" t="s">
        <v>74</v>
      </c>
      <c r="BR202" t="s">
        <v>105</v>
      </c>
      <c r="BS202" t="s">
        <v>4324</v>
      </c>
      <c r="BT202" t="str">
        <f>HYPERLINK("https%3A%2F%2Fwww.webofscience.com%2Fwos%2Fwoscc%2Ffull-record%2FWOS:000757278200001","View Full Record in Web of Science")</f>
        <v>View Full Record in Web of Science</v>
      </c>
    </row>
    <row r="203" spans="1:72" x14ac:dyDescent="0.15">
      <c r="A203" t="s">
        <v>72</v>
      </c>
      <c r="B203" t="s">
        <v>4325</v>
      </c>
      <c r="C203" t="s">
        <v>74</v>
      </c>
      <c r="D203" t="s">
        <v>74</v>
      </c>
      <c r="E203" t="s">
        <v>74</v>
      </c>
      <c r="F203" t="s">
        <v>4326</v>
      </c>
      <c r="G203" t="s">
        <v>74</v>
      </c>
      <c r="H203" t="s">
        <v>74</v>
      </c>
      <c r="I203" t="s">
        <v>4327</v>
      </c>
      <c r="J203" t="s">
        <v>4301</v>
      </c>
      <c r="K203" t="s">
        <v>74</v>
      </c>
      <c r="L203" t="s">
        <v>74</v>
      </c>
      <c r="M203" t="s">
        <v>78</v>
      </c>
      <c r="N203" t="s">
        <v>79</v>
      </c>
      <c r="O203" t="s">
        <v>74</v>
      </c>
      <c r="P203" t="s">
        <v>74</v>
      </c>
      <c r="Q203" t="s">
        <v>74</v>
      </c>
      <c r="R203" t="s">
        <v>74</v>
      </c>
      <c r="S203" t="s">
        <v>74</v>
      </c>
      <c r="T203" t="s">
        <v>4328</v>
      </c>
      <c r="U203" t="s">
        <v>4329</v>
      </c>
      <c r="V203" t="s">
        <v>4330</v>
      </c>
      <c r="W203" t="s">
        <v>4331</v>
      </c>
      <c r="X203" t="s">
        <v>4332</v>
      </c>
      <c r="Y203" t="s">
        <v>4333</v>
      </c>
      <c r="Z203" t="s">
        <v>4334</v>
      </c>
      <c r="AA203" t="s">
        <v>4335</v>
      </c>
      <c r="AB203" t="s">
        <v>4336</v>
      </c>
      <c r="AC203" t="s">
        <v>4337</v>
      </c>
      <c r="AD203" t="s">
        <v>4338</v>
      </c>
      <c r="AE203" t="s">
        <v>4339</v>
      </c>
      <c r="AF203" t="s">
        <v>74</v>
      </c>
      <c r="AG203">
        <v>68</v>
      </c>
      <c r="AH203">
        <v>28</v>
      </c>
      <c r="AI203">
        <v>29</v>
      </c>
      <c r="AJ203">
        <v>7</v>
      </c>
      <c r="AK203">
        <v>46</v>
      </c>
      <c r="AL203" t="s">
        <v>4312</v>
      </c>
      <c r="AM203" t="s">
        <v>4313</v>
      </c>
      <c r="AN203" t="s">
        <v>4314</v>
      </c>
      <c r="AO203" t="s">
        <v>4315</v>
      </c>
      <c r="AP203" t="s">
        <v>4316</v>
      </c>
      <c r="AQ203" t="s">
        <v>74</v>
      </c>
      <c r="AR203" t="s">
        <v>4317</v>
      </c>
      <c r="AS203" t="s">
        <v>4318</v>
      </c>
      <c r="AT203" t="s">
        <v>310</v>
      </c>
      <c r="AU203">
        <v>2021</v>
      </c>
      <c r="AV203">
        <v>102</v>
      </c>
      <c r="AW203">
        <v>11</v>
      </c>
      <c r="AX203" t="s">
        <v>74</v>
      </c>
      <c r="AY203" t="s">
        <v>74</v>
      </c>
      <c r="AZ203" t="s">
        <v>74</v>
      </c>
      <c r="BA203" t="s">
        <v>74</v>
      </c>
      <c r="BB203" t="s">
        <v>4340</v>
      </c>
      <c r="BC203" t="s">
        <v>4341</v>
      </c>
      <c r="BD203" t="s">
        <v>74</v>
      </c>
      <c r="BE203" t="s">
        <v>4342</v>
      </c>
      <c r="BF203" t="str">
        <f>HYPERLINK("http://dx.doi.org/10.1175/BAMS-D-21-0004.1","http://dx.doi.org/10.1175/BAMS-D-21-0004.1")</f>
        <v>http://dx.doi.org/10.1175/BAMS-D-21-0004.1</v>
      </c>
      <c r="BG203" t="s">
        <v>74</v>
      </c>
      <c r="BH203" t="s">
        <v>74</v>
      </c>
      <c r="BI203">
        <v>17</v>
      </c>
      <c r="BJ203" t="s">
        <v>829</v>
      </c>
      <c r="BK203" t="s">
        <v>101</v>
      </c>
      <c r="BL203" t="s">
        <v>829</v>
      </c>
      <c r="BM203" t="s">
        <v>4322</v>
      </c>
      <c r="BN203" t="s">
        <v>74</v>
      </c>
      <c r="BO203" t="s">
        <v>1471</v>
      </c>
      <c r="BP203" t="s">
        <v>74</v>
      </c>
      <c r="BQ203" t="s">
        <v>74</v>
      </c>
      <c r="BR203" t="s">
        <v>105</v>
      </c>
      <c r="BS203" t="s">
        <v>4343</v>
      </c>
      <c r="BT203" t="str">
        <f>HYPERLINK("https%3A%2F%2Fwww.webofscience.com%2Fwos%2Fwoscc%2Ffull-record%2FWOS:000757278200002","View Full Record in Web of Science")</f>
        <v>View Full Record in Web of Science</v>
      </c>
    </row>
    <row r="204" spans="1:72" x14ac:dyDescent="0.15">
      <c r="A204" t="s">
        <v>72</v>
      </c>
      <c r="B204" t="s">
        <v>4344</v>
      </c>
      <c r="C204" t="s">
        <v>74</v>
      </c>
      <c r="D204" t="s">
        <v>74</v>
      </c>
      <c r="E204" t="s">
        <v>74</v>
      </c>
      <c r="F204" t="s">
        <v>4345</v>
      </c>
      <c r="G204" t="s">
        <v>74</v>
      </c>
      <c r="H204" t="s">
        <v>74</v>
      </c>
      <c r="I204" t="s">
        <v>4346</v>
      </c>
      <c r="J204" t="s">
        <v>4347</v>
      </c>
      <c r="K204" t="s">
        <v>74</v>
      </c>
      <c r="L204" t="s">
        <v>74</v>
      </c>
      <c r="M204" t="s">
        <v>78</v>
      </c>
      <c r="N204" t="s">
        <v>79</v>
      </c>
      <c r="O204" t="s">
        <v>74</v>
      </c>
      <c r="P204" t="s">
        <v>74</v>
      </c>
      <c r="Q204" t="s">
        <v>74</v>
      </c>
      <c r="R204" t="s">
        <v>74</v>
      </c>
      <c r="S204" t="s">
        <v>74</v>
      </c>
      <c r="T204" t="s">
        <v>4348</v>
      </c>
      <c r="U204" t="s">
        <v>4349</v>
      </c>
      <c r="V204" t="s">
        <v>4350</v>
      </c>
      <c r="W204" t="s">
        <v>4351</v>
      </c>
      <c r="X204" t="s">
        <v>4352</v>
      </c>
      <c r="Y204" t="s">
        <v>4353</v>
      </c>
      <c r="Z204" t="s">
        <v>4354</v>
      </c>
      <c r="AA204" t="s">
        <v>4355</v>
      </c>
      <c r="AB204" t="s">
        <v>4356</v>
      </c>
      <c r="AC204" t="s">
        <v>4357</v>
      </c>
      <c r="AD204" t="s">
        <v>4358</v>
      </c>
      <c r="AE204" t="s">
        <v>4359</v>
      </c>
      <c r="AF204" t="s">
        <v>74</v>
      </c>
      <c r="AG204">
        <v>107</v>
      </c>
      <c r="AH204">
        <v>6</v>
      </c>
      <c r="AI204">
        <v>6</v>
      </c>
      <c r="AJ204">
        <v>0</v>
      </c>
      <c r="AK204">
        <v>2</v>
      </c>
      <c r="AL204" t="s">
        <v>4312</v>
      </c>
      <c r="AM204" t="s">
        <v>4313</v>
      </c>
      <c r="AN204" t="s">
        <v>4314</v>
      </c>
      <c r="AO204" t="s">
        <v>4360</v>
      </c>
      <c r="AP204" t="s">
        <v>4361</v>
      </c>
      <c r="AQ204" t="s">
        <v>74</v>
      </c>
      <c r="AR204" t="s">
        <v>4362</v>
      </c>
      <c r="AS204" t="s">
        <v>4363</v>
      </c>
      <c r="AT204" t="s">
        <v>310</v>
      </c>
      <c r="AU204">
        <v>2021</v>
      </c>
      <c r="AV204">
        <v>34</v>
      </c>
      <c r="AW204">
        <v>21</v>
      </c>
      <c r="AX204" t="s">
        <v>74</v>
      </c>
      <c r="AY204" t="s">
        <v>74</v>
      </c>
      <c r="AZ204" t="s">
        <v>74</v>
      </c>
      <c r="BA204" t="s">
        <v>74</v>
      </c>
      <c r="BB204">
        <v>8755</v>
      </c>
      <c r="BC204">
        <v>8775</v>
      </c>
      <c r="BD204" t="s">
        <v>74</v>
      </c>
      <c r="BE204" t="s">
        <v>4364</v>
      </c>
      <c r="BF204" t="str">
        <f>HYPERLINK("http://dx.doi.org/10.1175/JCLI-D-21-0161.1","http://dx.doi.org/10.1175/JCLI-D-21-0161.1")</f>
        <v>http://dx.doi.org/10.1175/JCLI-D-21-0161.1</v>
      </c>
      <c r="BG204" t="s">
        <v>74</v>
      </c>
      <c r="BH204" t="s">
        <v>74</v>
      </c>
      <c r="BI204">
        <v>21</v>
      </c>
      <c r="BJ204" t="s">
        <v>829</v>
      </c>
      <c r="BK204" t="s">
        <v>101</v>
      </c>
      <c r="BL204" t="s">
        <v>829</v>
      </c>
      <c r="BM204" t="s">
        <v>4365</v>
      </c>
      <c r="BN204" t="s">
        <v>74</v>
      </c>
      <c r="BO204" t="s">
        <v>4366</v>
      </c>
      <c r="BP204" t="s">
        <v>74</v>
      </c>
      <c r="BQ204" t="s">
        <v>74</v>
      </c>
      <c r="BR204" t="s">
        <v>105</v>
      </c>
      <c r="BS204" t="s">
        <v>4367</v>
      </c>
      <c r="BT204" t="str">
        <f>HYPERLINK("https%3A%2F%2Fwww.webofscience.com%2Fwos%2Fwoscc%2Ffull-record%2FWOS:000752640800018","View Full Record in Web of Science")</f>
        <v>View Full Record in Web of Science</v>
      </c>
    </row>
    <row r="205" spans="1:72" x14ac:dyDescent="0.15">
      <c r="A205" t="s">
        <v>72</v>
      </c>
      <c r="B205" t="s">
        <v>4368</v>
      </c>
      <c r="C205" t="s">
        <v>74</v>
      </c>
      <c r="D205" t="s">
        <v>74</v>
      </c>
      <c r="E205" t="s">
        <v>74</v>
      </c>
      <c r="F205" t="s">
        <v>4369</v>
      </c>
      <c r="G205" t="s">
        <v>74</v>
      </c>
      <c r="H205" t="s">
        <v>74</v>
      </c>
      <c r="I205" t="s">
        <v>4370</v>
      </c>
      <c r="J205" t="s">
        <v>4347</v>
      </c>
      <c r="K205" t="s">
        <v>74</v>
      </c>
      <c r="L205" t="s">
        <v>74</v>
      </c>
      <c r="M205" t="s">
        <v>78</v>
      </c>
      <c r="N205" t="s">
        <v>79</v>
      </c>
      <c r="O205" t="s">
        <v>74</v>
      </c>
      <c r="P205" t="s">
        <v>74</v>
      </c>
      <c r="Q205" t="s">
        <v>74</v>
      </c>
      <c r="R205" t="s">
        <v>74</v>
      </c>
      <c r="S205" t="s">
        <v>74</v>
      </c>
      <c r="T205" t="s">
        <v>4371</v>
      </c>
      <c r="U205" t="s">
        <v>4372</v>
      </c>
      <c r="V205" t="s">
        <v>4373</v>
      </c>
      <c r="W205" t="s">
        <v>4374</v>
      </c>
      <c r="X205" t="s">
        <v>4375</v>
      </c>
      <c r="Y205" t="s">
        <v>4376</v>
      </c>
      <c r="Z205" t="s">
        <v>4377</v>
      </c>
      <c r="AA205" t="s">
        <v>4378</v>
      </c>
      <c r="AB205" t="s">
        <v>4379</v>
      </c>
      <c r="AC205" t="s">
        <v>4380</v>
      </c>
      <c r="AD205" t="s">
        <v>4381</v>
      </c>
      <c r="AE205" t="s">
        <v>4382</v>
      </c>
      <c r="AF205" t="s">
        <v>74</v>
      </c>
      <c r="AG205">
        <v>78</v>
      </c>
      <c r="AH205">
        <v>4</v>
      </c>
      <c r="AI205">
        <v>4</v>
      </c>
      <c r="AJ205">
        <v>2</v>
      </c>
      <c r="AK205">
        <v>14</v>
      </c>
      <c r="AL205" t="s">
        <v>4312</v>
      </c>
      <c r="AM205" t="s">
        <v>4313</v>
      </c>
      <c r="AN205" t="s">
        <v>4383</v>
      </c>
      <c r="AO205" t="s">
        <v>4360</v>
      </c>
      <c r="AP205" t="s">
        <v>4361</v>
      </c>
      <c r="AQ205" t="s">
        <v>74</v>
      </c>
      <c r="AR205" t="s">
        <v>4362</v>
      </c>
      <c r="AS205" t="s">
        <v>4363</v>
      </c>
      <c r="AT205" t="s">
        <v>310</v>
      </c>
      <c r="AU205">
        <v>2021</v>
      </c>
      <c r="AV205">
        <v>34</v>
      </c>
      <c r="AW205">
        <v>22</v>
      </c>
      <c r="AX205" t="s">
        <v>74</v>
      </c>
      <c r="AY205" t="s">
        <v>74</v>
      </c>
      <c r="AZ205" t="s">
        <v>74</v>
      </c>
      <c r="BA205" t="s">
        <v>74</v>
      </c>
      <c r="BB205">
        <v>9071</v>
      </c>
      <c r="BC205">
        <v>9092</v>
      </c>
      <c r="BD205" t="s">
        <v>74</v>
      </c>
      <c r="BE205" t="s">
        <v>4384</v>
      </c>
      <c r="BF205" t="str">
        <f>HYPERLINK("http://dx.doi.org/10.1175/JCLI-D-20-0889.1","http://dx.doi.org/10.1175/JCLI-D-20-0889.1")</f>
        <v>http://dx.doi.org/10.1175/JCLI-D-20-0889.1</v>
      </c>
      <c r="BG205" t="s">
        <v>74</v>
      </c>
      <c r="BH205" t="s">
        <v>74</v>
      </c>
      <c r="BI205">
        <v>22</v>
      </c>
      <c r="BJ205" t="s">
        <v>829</v>
      </c>
      <c r="BK205" t="s">
        <v>101</v>
      </c>
      <c r="BL205" t="s">
        <v>829</v>
      </c>
      <c r="BM205" t="s">
        <v>4385</v>
      </c>
      <c r="BN205" t="s">
        <v>74</v>
      </c>
      <c r="BO205" t="s">
        <v>419</v>
      </c>
      <c r="BP205" t="s">
        <v>74</v>
      </c>
      <c r="BQ205" t="s">
        <v>74</v>
      </c>
      <c r="BR205" t="s">
        <v>105</v>
      </c>
      <c r="BS205" t="s">
        <v>4386</v>
      </c>
      <c r="BT205" t="str">
        <f>HYPERLINK("https%3A%2F%2Fwww.webofscience.com%2Fwos%2Fwoscc%2Ffull-record%2FWOS:000752646200016","View Full Record in Web of Science")</f>
        <v>View Full Record in Web of Science</v>
      </c>
    </row>
    <row r="206" spans="1:72" x14ac:dyDescent="0.15">
      <c r="A206" t="s">
        <v>72</v>
      </c>
      <c r="B206" t="s">
        <v>4387</v>
      </c>
      <c r="C206" t="s">
        <v>74</v>
      </c>
      <c r="D206" t="s">
        <v>74</v>
      </c>
      <c r="E206" t="s">
        <v>74</v>
      </c>
      <c r="F206" t="s">
        <v>4388</v>
      </c>
      <c r="G206" t="s">
        <v>74</v>
      </c>
      <c r="H206" t="s">
        <v>74</v>
      </c>
      <c r="I206" t="s">
        <v>4389</v>
      </c>
      <c r="J206" t="s">
        <v>4390</v>
      </c>
      <c r="K206" t="s">
        <v>74</v>
      </c>
      <c r="L206" t="s">
        <v>74</v>
      </c>
      <c r="M206" t="s">
        <v>78</v>
      </c>
      <c r="N206" t="s">
        <v>79</v>
      </c>
      <c r="O206" t="s">
        <v>74</v>
      </c>
      <c r="P206" t="s">
        <v>74</v>
      </c>
      <c r="Q206" t="s">
        <v>74</v>
      </c>
      <c r="R206" t="s">
        <v>74</v>
      </c>
      <c r="S206" t="s">
        <v>74</v>
      </c>
      <c r="T206" t="s">
        <v>4391</v>
      </c>
      <c r="U206" t="s">
        <v>4392</v>
      </c>
      <c r="V206" t="s">
        <v>4393</v>
      </c>
      <c r="W206" t="s">
        <v>4394</v>
      </c>
      <c r="X206" t="s">
        <v>4395</v>
      </c>
      <c r="Y206" t="s">
        <v>4396</v>
      </c>
      <c r="Z206" t="s">
        <v>4397</v>
      </c>
      <c r="AA206" t="s">
        <v>4398</v>
      </c>
      <c r="AB206" t="s">
        <v>4399</v>
      </c>
      <c r="AC206" t="s">
        <v>4400</v>
      </c>
      <c r="AD206" t="s">
        <v>4401</v>
      </c>
      <c r="AE206" t="s">
        <v>4402</v>
      </c>
      <c r="AF206" t="s">
        <v>74</v>
      </c>
      <c r="AG206">
        <v>69</v>
      </c>
      <c r="AH206">
        <v>6</v>
      </c>
      <c r="AI206">
        <v>7</v>
      </c>
      <c r="AJ206">
        <v>0</v>
      </c>
      <c r="AK206">
        <v>8</v>
      </c>
      <c r="AL206" t="s">
        <v>4312</v>
      </c>
      <c r="AM206" t="s">
        <v>4313</v>
      </c>
      <c r="AN206" t="s">
        <v>4314</v>
      </c>
      <c r="AO206" t="s">
        <v>4403</v>
      </c>
      <c r="AP206" t="s">
        <v>4404</v>
      </c>
      <c r="AQ206" t="s">
        <v>74</v>
      </c>
      <c r="AR206" t="s">
        <v>4405</v>
      </c>
      <c r="AS206" t="s">
        <v>4406</v>
      </c>
      <c r="AT206" t="s">
        <v>310</v>
      </c>
      <c r="AU206">
        <v>2021</v>
      </c>
      <c r="AV206">
        <v>51</v>
      </c>
      <c r="AW206">
        <v>11</v>
      </c>
      <c r="AX206" t="s">
        <v>74</v>
      </c>
      <c r="AY206" t="s">
        <v>74</v>
      </c>
      <c r="AZ206" t="s">
        <v>74</v>
      </c>
      <c r="BA206" t="s">
        <v>74</v>
      </c>
      <c r="BB206">
        <v>3317</v>
      </c>
      <c r="BC206">
        <v>3333</v>
      </c>
      <c r="BD206" t="s">
        <v>74</v>
      </c>
      <c r="BE206" t="s">
        <v>4407</v>
      </c>
      <c r="BF206" t="str">
        <f>HYPERLINK("http://dx.doi.org/10.1175/JPO-D-21-0045.1","http://dx.doi.org/10.1175/JPO-D-21-0045.1")</f>
        <v>http://dx.doi.org/10.1175/JPO-D-21-0045.1</v>
      </c>
      <c r="BG206" t="s">
        <v>74</v>
      </c>
      <c r="BH206" t="s">
        <v>74</v>
      </c>
      <c r="BI206">
        <v>17</v>
      </c>
      <c r="BJ206" t="s">
        <v>264</v>
      </c>
      <c r="BK206" t="s">
        <v>101</v>
      </c>
      <c r="BL206" t="s">
        <v>264</v>
      </c>
      <c r="BM206" t="s">
        <v>4408</v>
      </c>
      <c r="BN206" t="s">
        <v>74</v>
      </c>
      <c r="BO206" t="s">
        <v>2217</v>
      </c>
      <c r="BP206" t="s">
        <v>74</v>
      </c>
      <c r="BQ206" t="s">
        <v>74</v>
      </c>
      <c r="BR206" t="s">
        <v>105</v>
      </c>
      <c r="BS206" t="s">
        <v>4409</v>
      </c>
      <c r="BT206" t="str">
        <f>HYPERLINK("https%3A%2F%2Fwww.webofscience.com%2Fwos%2Fwoscc%2Ffull-record%2FWOS:000752720100001","View Full Record in Web of Science")</f>
        <v>View Full Record in Web of Science</v>
      </c>
    </row>
    <row r="207" spans="1:72" x14ac:dyDescent="0.15">
      <c r="A207" t="s">
        <v>72</v>
      </c>
      <c r="B207" t="s">
        <v>4410</v>
      </c>
      <c r="C207" t="s">
        <v>74</v>
      </c>
      <c r="D207" t="s">
        <v>74</v>
      </c>
      <c r="E207" t="s">
        <v>74</v>
      </c>
      <c r="F207" t="s">
        <v>4411</v>
      </c>
      <c r="G207" t="s">
        <v>74</v>
      </c>
      <c r="H207" t="s">
        <v>74</v>
      </c>
      <c r="I207" t="s">
        <v>4412</v>
      </c>
      <c r="J207" t="s">
        <v>4413</v>
      </c>
      <c r="K207" t="s">
        <v>74</v>
      </c>
      <c r="L207" t="s">
        <v>74</v>
      </c>
      <c r="M207" t="s">
        <v>78</v>
      </c>
      <c r="N207" t="s">
        <v>79</v>
      </c>
      <c r="O207" t="s">
        <v>74</v>
      </c>
      <c r="P207" t="s">
        <v>74</v>
      </c>
      <c r="Q207" t="s">
        <v>74</v>
      </c>
      <c r="R207" t="s">
        <v>74</v>
      </c>
      <c r="S207" t="s">
        <v>74</v>
      </c>
      <c r="T207" t="s">
        <v>74</v>
      </c>
      <c r="U207" t="s">
        <v>4414</v>
      </c>
      <c r="V207" t="s">
        <v>4415</v>
      </c>
      <c r="W207" t="s">
        <v>4416</v>
      </c>
      <c r="X207" t="s">
        <v>4417</v>
      </c>
      <c r="Y207" t="s">
        <v>4418</v>
      </c>
      <c r="Z207" t="s">
        <v>74</v>
      </c>
      <c r="AA207" t="s">
        <v>74</v>
      </c>
      <c r="AB207" t="s">
        <v>74</v>
      </c>
      <c r="AC207" t="s">
        <v>4419</v>
      </c>
      <c r="AD207" t="s">
        <v>4420</v>
      </c>
      <c r="AE207" t="s">
        <v>4421</v>
      </c>
      <c r="AF207" t="s">
        <v>74</v>
      </c>
      <c r="AG207">
        <v>43</v>
      </c>
      <c r="AH207">
        <v>0</v>
      </c>
      <c r="AI207">
        <v>0</v>
      </c>
      <c r="AJ207">
        <v>2</v>
      </c>
      <c r="AK207">
        <v>2</v>
      </c>
      <c r="AL207" t="s">
        <v>4422</v>
      </c>
      <c r="AM207" t="s">
        <v>4423</v>
      </c>
      <c r="AN207" t="s">
        <v>4424</v>
      </c>
      <c r="AO207" t="s">
        <v>4425</v>
      </c>
      <c r="AP207" t="s">
        <v>4426</v>
      </c>
      <c r="AQ207" t="s">
        <v>74</v>
      </c>
      <c r="AR207" t="s">
        <v>4427</v>
      </c>
      <c r="AS207" t="s">
        <v>4428</v>
      </c>
      <c r="AT207" t="s">
        <v>4429</v>
      </c>
      <c r="AU207">
        <v>2021</v>
      </c>
      <c r="AV207">
        <v>44</v>
      </c>
      <c r="AW207">
        <v>6</v>
      </c>
      <c r="AX207" t="s">
        <v>74</v>
      </c>
      <c r="AY207" t="s">
        <v>74</v>
      </c>
      <c r="AZ207" t="s">
        <v>74</v>
      </c>
      <c r="BA207" t="s">
        <v>74</v>
      </c>
      <c r="BB207" t="s">
        <v>74</v>
      </c>
      <c r="BC207" t="s">
        <v>74</v>
      </c>
      <c r="BD207">
        <v>173</v>
      </c>
      <c r="BE207" t="s">
        <v>4430</v>
      </c>
      <c r="BF207" t="str">
        <f>HYPERLINK("http://dx.doi.org/10.1393/ncc/i2021-21173-7","http://dx.doi.org/10.1393/ncc/i2021-21173-7")</f>
        <v>http://dx.doi.org/10.1393/ncc/i2021-21173-7</v>
      </c>
      <c r="BG207" t="s">
        <v>74</v>
      </c>
      <c r="BH207" t="s">
        <v>74</v>
      </c>
      <c r="BI207">
        <v>13</v>
      </c>
      <c r="BJ207" t="s">
        <v>4431</v>
      </c>
      <c r="BK207" t="s">
        <v>1629</v>
      </c>
      <c r="BL207" t="s">
        <v>3777</v>
      </c>
      <c r="BM207" t="s">
        <v>4432</v>
      </c>
      <c r="BN207" t="s">
        <v>74</v>
      </c>
      <c r="BO207" t="s">
        <v>74</v>
      </c>
      <c r="BP207" t="s">
        <v>74</v>
      </c>
      <c r="BQ207" t="s">
        <v>74</v>
      </c>
      <c r="BR207" t="s">
        <v>105</v>
      </c>
      <c r="BS207" t="s">
        <v>4433</v>
      </c>
      <c r="BT207" t="str">
        <f>HYPERLINK("https%3A%2F%2Fwww.webofscience.com%2Fwos%2Fwoscc%2Ffull-record%2FWOS:000753533600004","View Full Record in Web of Science")</f>
        <v>View Full Record in Web of Science</v>
      </c>
    </row>
    <row r="208" spans="1:72" x14ac:dyDescent="0.15">
      <c r="A208" t="s">
        <v>72</v>
      </c>
      <c r="B208" t="s">
        <v>4434</v>
      </c>
      <c r="C208" t="s">
        <v>74</v>
      </c>
      <c r="D208" t="s">
        <v>74</v>
      </c>
      <c r="E208" t="s">
        <v>74</v>
      </c>
      <c r="F208" t="s">
        <v>4435</v>
      </c>
      <c r="G208" t="s">
        <v>74</v>
      </c>
      <c r="H208" t="s">
        <v>74</v>
      </c>
      <c r="I208" t="s">
        <v>4436</v>
      </c>
      <c r="J208" t="s">
        <v>4437</v>
      </c>
      <c r="K208" t="s">
        <v>74</v>
      </c>
      <c r="L208" t="s">
        <v>74</v>
      </c>
      <c r="M208" t="s">
        <v>78</v>
      </c>
      <c r="N208" t="s">
        <v>373</v>
      </c>
      <c r="O208" t="s">
        <v>74</v>
      </c>
      <c r="P208" t="s">
        <v>74</v>
      </c>
      <c r="Q208" t="s">
        <v>74</v>
      </c>
      <c r="R208" t="s">
        <v>74</v>
      </c>
      <c r="S208" t="s">
        <v>74</v>
      </c>
      <c r="T208" t="s">
        <v>4438</v>
      </c>
      <c r="U208" t="s">
        <v>74</v>
      </c>
      <c r="V208" t="s">
        <v>4439</v>
      </c>
      <c r="W208" t="s">
        <v>4440</v>
      </c>
      <c r="X208" t="s">
        <v>74</v>
      </c>
      <c r="Y208" t="s">
        <v>4441</v>
      </c>
      <c r="Z208" t="s">
        <v>4442</v>
      </c>
      <c r="AA208" t="s">
        <v>74</v>
      </c>
      <c r="AB208" t="s">
        <v>74</v>
      </c>
      <c r="AC208" t="s">
        <v>4443</v>
      </c>
      <c r="AD208" t="s">
        <v>4444</v>
      </c>
      <c r="AE208" t="s">
        <v>4445</v>
      </c>
      <c r="AF208" t="s">
        <v>74</v>
      </c>
      <c r="AG208">
        <v>8</v>
      </c>
      <c r="AH208">
        <v>2</v>
      </c>
      <c r="AI208">
        <v>2</v>
      </c>
      <c r="AJ208">
        <v>0</v>
      </c>
      <c r="AK208">
        <v>0</v>
      </c>
      <c r="AL208" t="s">
        <v>4446</v>
      </c>
      <c r="AM208" t="s">
        <v>170</v>
      </c>
      <c r="AN208" t="s">
        <v>4447</v>
      </c>
      <c r="AO208" t="s">
        <v>4448</v>
      </c>
      <c r="AP208" t="s">
        <v>4449</v>
      </c>
      <c r="AQ208" t="s">
        <v>74</v>
      </c>
      <c r="AR208" t="s">
        <v>4450</v>
      </c>
      <c r="AS208" t="s">
        <v>4451</v>
      </c>
      <c r="AT208" t="s">
        <v>310</v>
      </c>
      <c r="AU208">
        <v>2021</v>
      </c>
      <c r="AV208">
        <v>46</v>
      </c>
      <c r="AW208">
        <v>11</v>
      </c>
      <c r="AX208" t="s">
        <v>74</v>
      </c>
      <c r="AY208" t="s">
        <v>74</v>
      </c>
      <c r="AZ208" t="s">
        <v>74</v>
      </c>
      <c r="BA208" t="s">
        <v>74</v>
      </c>
      <c r="BB208">
        <v>799</v>
      </c>
      <c r="BC208">
        <v>804</v>
      </c>
      <c r="BD208" t="s">
        <v>74</v>
      </c>
      <c r="BE208" t="s">
        <v>4452</v>
      </c>
      <c r="BF208" t="str">
        <f>HYPERLINK("http://dx.doi.org/10.3103/S1068373921110108","http://dx.doi.org/10.3103/S1068373921110108")</f>
        <v>http://dx.doi.org/10.3103/S1068373921110108</v>
      </c>
      <c r="BG208" t="s">
        <v>74</v>
      </c>
      <c r="BH208" t="s">
        <v>74</v>
      </c>
      <c r="BI208">
        <v>6</v>
      </c>
      <c r="BJ208" t="s">
        <v>829</v>
      </c>
      <c r="BK208" t="s">
        <v>101</v>
      </c>
      <c r="BL208" t="s">
        <v>829</v>
      </c>
      <c r="BM208" t="s">
        <v>4453</v>
      </c>
      <c r="BN208" t="s">
        <v>74</v>
      </c>
      <c r="BO208" t="s">
        <v>74</v>
      </c>
      <c r="BP208" t="s">
        <v>74</v>
      </c>
      <c r="BQ208" t="s">
        <v>74</v>
      </c>
      <c r="BR208" t="s">
        <v>105</v>
      </c>
      <c r="BS208" t="s">
        <v>4454</v>
      </c>
      <c r="BT208" t="str">
        <f>HYPERLINK("https%3A%2F%2Fwww.webofscience.com%2Fwos%2Fwoscc%2Ffull-record%2FWOS:000752953700010","View Full Record in Web of Science")</f>
        <v>View Full Record in Web of Science</v>
      </c>
    </row>
    <row r="209" spans="1:72" x14ac:dyDescent="0.15">
      <c r="A209" t="s">
        <v>72</v>
      </c>
      <c r="B209" t="s">
        <v>4455</v>
      </c>
      <c r="C209" t="s">
        <v>74</v>
      </c>
      <c r="D209" t="s">
        <v>74</v>
      </c>
      <c r="E209" t="s">
        <v>74</v>
      </c>
      <c r="F209" t="s">
        <v>4456</v>
      </c>
      <c r="G209" t="s">
        <v>74</v>
      </c>
      <c r="H209" t="s">
        <v>74</v>
      </c>
      <c r="I209" t="s">
        <v>4457</v>
      </c>
      <c r="J209" t="s">
        <v>4458</v>
      </c>
      <c r="K209" t="s">
        <v>74</v>
      </c>
      <c r="L209" t="s">
        <v>74</v>
      </c>
      <c r="M209" t="s">
        <v>78</v>
      </c>
      <c r="N209" t="s">
        <v>79</v>
      </c>
      <c r="O209" t="s">
        <v>74</v>
      </c>
      <c r="P209" t="s">
        <v>74</v>
      </c>
      <c r="Q209" t="s">
        <v>74</v>
      </c>
      <c r="R209" t="s">
        <v>74</v>
      </c>
      <c r="S209" t="s">
        <v>74</v>
      </c>
      <c r="T209" t="s">
        <v>4459</v>
      </c>
      <c r="U209" t="s">
        <v>4460</v>
      </c>
      <c r="V209" t="s">
        <v>4461</v>
      </c>
      <c r="W209" t="s">
        <v>4462</v>
      </c>
      <c r="X209" t="s">
        <v>4463</v>
      </c>
      <c r="Y209" t="s">
        <v>4464</v>
      </c>
      <c r="Z209" t="s">
        <v>4465</v>
      </c>
      <c r="AA209" t="s">
        <v>4466</v>
      </c>
      <c r="AB209" t="s">
        <v>4467</v>
      </c>
      <c r="AC209" t="s">
        <v>4468</v>
      </c>
      <c r="AD209" t="s">
        <v>4469</v>
      </c>
      <c r="AE209" t="s">
        <v>4470</v>
      </c>
      <c r="AF209" t="s">
        <v>74</v>
      </c>
      <c r="AG209">
        <v>29</v>
      </c>
      <c r="AH209">
        <v>3</v>
      </c>
      <c r="AI209">
        <v>3</v>
      </c>
      <c r="AJ209">
        <v>0</v>
      </c>
      <c r="AK209">
        <v>3</v>
      </c>
      <c r="AL209" t="s">
        <v>4446</v>
      </c>
      <c r="AM209" t="s">
        <v>170</v>
      </c>
      <c r="AN209" t="s">
        <v>4447</v>
      </c>
      <c r="AO209" t="s">
        <v>4471</v>
      </c>
      <c r="AP209" t="s">
        <v>4472</v>
      </c>
      <c r="AQ209" t="s">
        <v>74</v>
      </c>
      <c r="AR209" t="s">
        <v>4473</v>
      </c>
      <c r="AS209" t="s">
        <v>4474</v>
      </c>
      <c r="AT209" t="s">
        <v>310</v>
      </c>
      <c r="AU209">
        <v>2021</v>
      </c>
      <c r="AV209">
        <v>61</v>
      </c>
      <c r="AW209">
        <v>6</v>
      </c>
      <c r="AX209" t="s">
        <v>74</v>
      </c>
      <c r="AY209" t="s">
        <v>74</v>
      </c>
      <c r="AZ209" t="s">
        <v>74</v>
      </c>
      <c r="BA209" t="s">
        <v>74</v>
      </c>
      <c r="BB209">
        <v>815</v>
      </c>
      <c r="BC209">
        <v>829</v>
      </c>
      <c r="BD209" t="s">
        <v>74</v>
      </c>
      <c r="BE209" t="s">
        <v>4475</v>
      </c>
      <c r="BF209" t="str">
        <f>HYPERLINK("http://dx.doi.org/10.1134/S000143702106031X","http://dx.doi.org/10.1134/S000143702106031X")</f>
        <v>http://dx.doi.org/10.1134/S000143702106031X</v>
      </c>
      <c r="BG209" t="s">
        <v>74</v>
      </c>
      <c r="BH209" t="s">
        <v>74</v>
      </c>
      <c r="BI209">
        <v>15</v>
      </c>
      <c r="BJ209" t="s">
        <v>264</v>
      </c>
      <c r="BK209" t="s">
        <v>101</v>
      </c>
      <c r="BL209" t="s">
        <v>264</v>
      </c>
      <c r="BM209" t="s">
        <v>4476</v>
      </c>
      <c r="BN209" t="s">
        <v>74</v>
      </c>
      <c r="BO209" t="s">
        <v>74</v>
      </c>
      <c r="BP209" t="s">
        <v>74</v>
      </c>
      <c r="BQ209" t="s">
        <v>74</v>
      </c>
      <c r="BR209" t="s">
        <v>105</v>
      </c>
      <c r="BS209" t="s">
        <v>4477</v>
      </c>
      <c r="BT209" t="str">
        <f>HYPERLINK("https%3A%2F%2Fwww.webofscience.com%2Fwos%2Fwoscc%2Ffull-record%2FWOS:000750526200007","View Full Record in Web of Science")</f>
        <v>View Full Record in Web of Science</v>
      </c>
    </row>
    <row r="210" spans="1:72" x14ac:dyDescent="0.15">
      <c r="A210" t="s">
        <v>72</v>
      </c>
      <c r="B210" t="s">
        <v>4478</v>
      </c>
      <c r="C210" t="s">
        <v>74</v>
      </c>
      <c r="D210" t="s">
        <v>74</v>
      </c>
      <c r="E210" t="s">
        <v>74</v>
      </c>
      <c r="F210" t="s">
        <v>4479</v>
      </c>
      <c r="G210" t="s">
        <v>74</v>
      </c>
      <c r="H210" t="s">
        <v>74</v>
      </c>
      <c r="I210" t="s">
        <v>4480</v>
      </c>
      <c r="J210" t="s">
        <v>4458</v>
      </c>
      <c r="K210" t="s">
        <v>74</v>
      </c>
      <c r="L210" t="s">
        <v>74</v>
      </c>
      <c r="M210" t="s">
        <v>78</v>
      </c>
      <c r="N210" t="s">
        <v>79</v>
      </c>
      <c r="O210" t="s">
        <v>74</v>
      </c>
      <c r="P210" t="s">
        <v>74</v>
      </c>
      <c r="Q210" t="s">
        <v>74</v>
      </c>
      <c r="R210" t="s">
        <v>74</v>
      </c>
      <c r="S210" t="s">
        <v>74</v>
      </c>
      <c r="T210" t="s">
        <v>4481</v>
      </c>
      <c r="U210" t="s">
        <v>4482</v>
      </c>
      <c r="V210" t="s">
        <v>4483</v>
      </c>
      <c r="W210" t="s">
        <v>4484</v>
      </c>
      <c r="X210" t="s">
        <v>4485</v>
      </c>
      <c r="Y210" t="s">
        <v>4486</v>
      </c>
      <c r="Z210" t="s">
        <v>4487</v>
      </c>
      <c r="AA210" t="s">
        <v>4488</v>
      </c>
      <c r="AB210" t="s">
        <v>4489</v>
      </c>
      <c r="AC210" t="s">
        <v>4490</v>
      </c>
      <c r="AD210" t="s">
        <v>4491</v>
      </c>
      <c r="AE210" t="s">
        <v>4492</v>
      </c>
      <c r="AF210" t="s">
        <v>74</v>
      </c>
      <c r="AG210">
        <v>22</v>
      </c>
      <c r="AH210">
        <v>1</v>
      </c>
      <c r="AI210">
        <v>1</v>
      </c>
      <c r="AJ210">
        <v>0</v>
      </c>
      <c r="AK210">
        <v>2</v>
      </c>
      <c r="AL210" t="s">
        <v>4446</v>
      </c>
      <c r="AM210" t="s">
        <v>170</v>
      </c>
      <c r="AN210" t="s">
        <v>4447</v>
      </c>
      <c r="AO210" t="s">
        <v>4471</v>
      </c>
      <c r="AP210" t="s">
        <v>4472</v>
      </c>
      <c r="AQ210" t="s">
        <v>74</v>
      </c>
      <c r="AR210" t="s">
        <v>4473</v>
      </c>
      <c r="AS210" t="s">
        <v>4474</v>
      </c>
      <c r="AT210" t="s">
        <v>310</v>
      </c>
      <c r="AU210">
        <v>2021</v>
      </c>
      <c r="AV210">
        <v>61</v>
      </c>
      <c r="AW210">
        <v>6</v>
      </c>
      <c r="AX210" t="s">
        <v>74</v>
      </c>
      <c r="AY210" t="s">
        <v>74</v>
      </c>
      <c r="AZ210" t="s">
        <v>74</v>
      </c>
      <c r="BA210" t="s">
        <v>74</v>
      </c>
      <c r="BB210">
        <v>892</v>
      </c>
      <c r="BC210">
        <v>898</v>
      </c>
      <c r="BD210" t="s">
        <v>74</v>
      </c>
      <c r="BE210" t="s">
        <v>4493</v>
      </c>
      <c r="BF210" t="str">
        <f>HYPERLINK("http://dx.doi.org/10.1134/S0001437021060308","http://dx.doi.org/10.1134/S0001437021060308")</f>
        <v>http://dx.doi.org/10.1134/S0001437021060308</v>
      </c>
      <c r="BG210" t="s">
        <v>74</v>
      </c>
      <c r="BH210" t="s">
        <v>74</v>
      </c>
      <c r="BI210">
        <v>7</v>
      </c>
      <c r="BJ210" t="s">
        <v>264</v>
      </c>
      <c r="BK210" t="s">
        <v>101</v>
      </c>
      <c r="BL210" t="s">
        <v>264</v>
      </c>
      <c r="BM210" t="s">
        <v>4476</v>
      </c>
      <c r="BN210" t="s">
        <v>74</v>
      </c>
      <c r="BO210" t="s">
        <v>74</v>
      </c>
      <c r="BP210" t="s">
        <v>74</v>
      </c>
      <c r="BQ210" t="s">
        <v>74</v>
      </c>
      <c r="BR210" t="s">
        <v>105</v>
      </c>
      <c r="BS210" t="s">
        <v>4494</v>
      </c>
      <c r="BT210" t="str">
        <f>HYPERLINK("https%3A%2F%2Fwww.webofscience.com%2Fwos%2Fwoscc%2Ffull-record%2FWOS:000750526200014","View Full Record in Web of Science")</f>
        <v>View Full Record in Web of Science</v>
      </c>
    </row>
    <row r="211" spans="1:72" x14ac:dyDescent="0.15">
      <c r="A211" t="s">
        <v>72</v>
      </c>
      <c r="B211" t="s">
        <v>4495</v>
      </c>
      <c r="C211" t="s">
        <v>74</v>
      </c>
      <c r="D211" t="s">
        <v>74</v>
      </c>
      <c r="E211" t="s">
        <v>74</v>
      </c>
      <c r="F211" t="s">
        <v>4496</v>
      </c>
      <c r="G211" t="s">
        <v>74</v>
      </c>
      <c r="H211" t="s">
        <v>74</v>
      </c>
      <c r="I211" t="s">
        <v>4497</v>
      </c>
      <c r="J211" t="s">
        <v>4498</v>
      </c>
      <c r="K211" t="s">
        <v>74</v>
      </c>
      <c r="L211" t="s">
        <v>74</v>
      </c>
      <c r="M211" t="s">
        <v>78</v>
      </c>
      <c r="N211" t="s">
        <v>79</v>
      </c>
      <c r="O211" t="s">
        <v>74</v>
      </c>
      <c r="P211" t="s">
        <v>74</v>
      </c>
      <c r="Q211" t="s">
        <v>74</v>
      </c>
      <c r="R211" t="s">
        <v>74</v>
      </c>
      <c r="S211" t="s">
        <v>74</v>
      </c>
      <c r="T211" t="s">
        <v>4499</v>
      </c>
      <c r="U211" t="s">
        <v>4500</v>
      </c>
      <c r="V211" t="s">
        <v>4501</v>
      </c>
      <c r="W211" t="s">
        <v>4502</v>
      </c>
      <c r="X211" t="s">
        <v>4503</v>
      </c>
      <c r="Y211" t="s">
        <v>4504</v>
      </c>
      <c r="Z211" t="s">
        <v>4505</v>
      </c>
      <c r="AA211" t="s">
        <v>4506</v>
      </c>
      <c r="AB211" t="s">
        <v>4507</v>
      </c>
      <c r="AC211" t="s">
        <v>4508</v>
      </c>
      <c r="AD211" t="s">
        <v>4509</v>
      </c>
      <c r="AE211" t="s">
        <v>4510</v>
      </c>
      <c r="AF211" t="s">
        <v>74</v>
      </c>
      <c r="AG211">
        <v>86</v>
      </c>
      <c r="AH211">
        <v>4</v>
      </c>
      <c r="AI211">
        <v>4</v>
      </c>
      <c r="AJ211">
        <v>1</v>
      </c>
      <c r="AK211">
        <v>21</v>
      </c>
      <c r="AL211" t="s">
        <v>572</v>
      </c>
      <c r="AM211" t="s">
        <v>573</v>
      </c>
      <c r="AN211" t="s">
        <v>574</v>
      </c>
      <c r="AO211" t="s">
        <v>4511</v>
      </c>
      <c r="AP211" t="s">
        <v>4512</v>
      </c>
      <c r="AQ211" t="s">
        <v>74</v>
      </c>
      <c r="AR211" t="s">
        <v>4513</v>
      </c>
      <c r="AS211" t="s">
        <v>4514</v>
      </c>
      <c r="AT211" t="s">
        <v>310</v>
      </c>
      <c r="AU211">
        <v>2021</v>
      </c>
      <c r="AV211">
        <v>32</v>
      </c>
      <c r="AW211">
        <v>6</v>
      </c>
      <c r="AX211" t="s">
        <v>74</v>
      </c>
      <c r="AY211" t="s">
        <v>74</v>
      </c>
      <c r="AZ211" t="s">
        <v>74</v>
      </c>
      <c r="BA211" t="s">
        <v>74</v>
      </c>
      <c r="BB211" t="s">
        <v>74</v>
      </c>
      <c r="BC211" t="s">
        <v>74</v>
      </c>
      <c r="BD211" t="s">
        <v>4515</v>
      </c>
      <c r="BE211" t="s">
        <v>4516</v>
      </c>
      <c r="BF211" t="str">
        <f>HYPERLINK("http://dx.doi.org/10.1111/jvs.13093","http://dx.doi.org/10.1111/jvs.13093")</f>
        <v>http://dx.doi.org/10.1111/jvs.13093</v>
      </c>
      <c r="BG211" t="s">
        <v>74</v>
      </c>
      <c r="BH211" t="s">
        <v>74</v>
      </c>
      <c r="BI211">
        <v>11</v>
      </c>
      <c r="BJ211" t="s">
        <v>4517</v>
      </c>
      <c r="BK211" t="s">
        <v>101</v>
      </c>
      <c r="BL211" t="s">
        <v>4518</v>
      </c>
      <c r="BM211" t="s">
        <v>4519</v>
      </c>
      <c r="BN211" t="s">
        <v>74</v>
      </c>
      <c r="BO211" t="s">
        <v>74</v>
      </c>
      <c r="BP211" t="s">
        <v>74</v>
      </c>
      <c r="BQ211" t="s">
        <v>74</v>
      </c>
      <c r="BR211" t="s">
        <v>105</v>
      </c>
      <c r="BS211" t="s">
        <v>4520</v>
      </c>
      <c r="BT211" t="str">
        <f>HYPERLINK("https%3A%2F%2Fwww.webofscience.com%2Fwos%2Fwoscc%2Ffull-record%2FWOS:000734882300002","View Full Record in Web of Science")</f>
        <v>View Full Record in Web of Science</v>
      </c>
    </row>
    <row r="212" spans="1:72" x14ac:dyDescent="0.15">
      <c r="A212" t="s">
        <v>72</v>
      </c>
      <c r="B212" t="s">
        <v>4521</v>
      </c>
      <c r="C212" t="s">
        <v>74</v>
      </c>
      <c r="D212" t="s">
        <v>74</v>
      </c>
      <c r="E212" t="s">
        <v>74</v>
      </c>
      <c r="F212" t="s">
        <v>4522</v>
      </c>
      <c r="G212" t="s">
        <v>74</v>
      </c>
      <c r="H212" t="s">
        <v>74</v>
      </c>
      <c r="I212" t="s">
        <v>4523</v>
      </c>
      <c r="J212" t="s">
        <v>4524</v>
      </c>
      <c r="K212" t="s">
        <v>74</v>
      </c>
      <c r="L212" t="s">
        <v>74</v>
      </c>
      <c r="M212" t="s">
        <v>78</v>
      </c>
      <c r="N212" t="s">
        <v>79</v>
      </c>
      <c r="O212" t="s">
        <v>74</v>
      </c>
      <c r="P212" t="s">
        <v>74</v>
      </c>
      <c r="Q212" t="s">
        <v>74</v>
      </c>
      <c r="R212" t="s">
        <v>74</v>
      </c>
      <c r="S212" t="s">
        <v>74</v>
      </c>
      <c r="T212" t="s">
        <v>4525</v>
      </c>
      <c r="U212" t="s">
        <v>4526</v>
      </c>
      <c r="V212" t="s">
        <v>4527</v>
      </c>
      <c r="W212" t="s">
        <v>4528</v>
      </c>
      <c r="X212" t="s">
        <v>4529</v>
      </c>
      <c r="Y212" t="s">
        <v>4530</v>
      </c>
      <c r="Z212" t="s">
        <v>4531</v>
      </c>
      <c r="AA212" t="s">
        <v>4532</v>
      </c>
      <c r="AB212" t="s">
        <v>4533</v>
      </c>
      <c r="AC212" t="s">
        <v>4534</v>
      </c>
      <c r="AD212" t="s">
        <v>4535</v>
      </c>
      <c r="AE212" t="s">
        <v>4536</v>
      </c>
      <c r="AF212" t="s">
        <v>74</v>
      </c>
      <c r="AG212">
        <v>97</v>
      </c>
      <c r="AH212">
        <v>8</v>
      </c>
      <c r="AI212">
        <v>8</v>
      </c>
      <c r="AJ212">
        <v>2</v>
      </c>
      <c r="AK212">
        <v>25</v>
      </c>
      <c r="AL212" t="s">
        <v>4537</v>
      </c>
      <c r="AM212" t="s">
        <v>438</v>
      </c>
      <c r="AN212" t="s">
        <v>4538</v>
      </c>
      <c r="AO212" t="s">
        <v>4539</v>
      </c>
      <c r="AP212" t="s">
        <v>74</v>
      </c>
      <c r="AQ212" t="s">
        <v>74</v>
      </c>
      <c r="AR212" t="s">
        <v>4524</v>
      </c>
      <c r="AS212" t="s">
        <v>4540</v>
      </c>
      <c r="AT212" t="s">
        <v>4429</v>
      </c>
      <c r="AU212">
        <v>2021</v>
      </c>
      <c r="AV212">
        <v>12</v>
      </c>
      <c r="AW212">
        <v>6</v>
      </c>
      <c r="AX212" t="s">
        <v>74</v>
      </c>
      <c r="AY212" t="s">
        <v>74</v>
      </c>
      <c r="AZ212" t="s">
        <v>74</v>
      </c>
      <c r="BA212" t="s">
        <v>74</v>
      </c>
      <c r="BB212" t="s">
        <v>74</v>
      </c>
      <c r="BC212" t="s">
        <v>74</v>
      </c>
      <c r="BD212" t="s">
        <v>4541</v>
      </c>
      <c r="BE212" t="s">
        <v>4542</v>
      </c>
      <c r="BF212" t="str">
        <f>HYPERLINK("http://dx.doi.org/10.1128/mBio.02973-21","http://dx.doi.org/10.1128/mBio.02973-21")</f>
        <v>http://dx.doi.org/10.1128/mBio.02973-21</v>
      </c>
      <c r="BG212" t="s">
        <v>74</v>
      </c>
      <c r="BH212" t="s">
        <v>74</v>
      </c>
      <c r="BI212">
        <v>23</v>
      </c>
      <c r="BJ212" t="s">
        <v>975</v>
      </c>
      <c r="BK212" t="s">
        <v>101</v>
      </c>
      <c r="BL212" t="s">
        <v>975</v>
      </c>
      <c r="BM212" t="s">
        <v>4543</v>
      </c>
      <c r="BN212">
        <v>34903046</v>
      </c>
      <c r="BO212" t="s">
        <v>1902</v>
      </c>
      <c r="BP212" t="s">
        <v>74</v>
      </c>
      <c r="BQ212" t="s">
        <v>74</v>
      </c>
      <c r="BR212" t="s">
        <v>105</v>
      </c>
      <c r="BS212" t="s">
        <v>4544</v>
      </c>
      <c r="BT212" t="str">
        <f>HYPERLINK("https%3A%2F%2Fwww.webofscience.com%2Fwos%2Fwoscc%2Ffull-record%2FWOS:000736946000007","View Full Record in Web of Science")</f>
        <v>View Full Record in Web of Science</v>
      </c>
    </row>
    <row r="213" spans="1:72" x14ac:dyDescent="0.15">
      <c r="A213" t="s">
        <v>72</v>
      </c>
      <c r="B213" t="s">
        <v>4545</v>
      </c>
      <c r="C213" t="s">
        <v>74</v>
      </c>
      <c r="D213" t="s">
        <v>74</v>
      </c>
      <c r="E213" t="s">
        <v>74</v>
      </c>
      <c r="F213" t="s">
        <v>4546</v>
      </c>
      <c r="G213" t="s">
        <v>74</v>
      </c>
      <c r="H213" t="s">
        <v>74</v>
      </c>
      <c r="I213" t="s">
        <v>4547</v>
      </c>
      <c r="J213" t="s">
        <v>4548</v>
      </c>
      <c r="K213" t="s">
        <v>74</v>
      </c>
      <c r="L213" t="s">
        <v>74</v>
      </c>
      <c r="M213" t="s">
        <v>78</v>
      </c>
      <c r="N213" t="s">
        <v>79</v>
      </c>
      <c r="O213" t="s">
        <v>74</v>
      </c>
      <c r="P213" t="s">
        <v>74</v>
      </c>
      <c r="Q213" t="s">
        <v>74</v>
      </c>
      <c r="R213" t="s">
        <v>74</v>
      </c>
      <c r="S213" t="s">
        <v>74</v>
      </c>
      <c r="T213" t="s">
        <v>4549</v>
      </c>
      <c r="U213" t="s">
        <v>4550</v>
      </c>
      <c r="V213" t="s">
        <v>4551</v>
      </c>
      <c r="W213" t="s">
        <v>4552</v>
      </c>
      <c r="X213" t="s">
        <v>4553</v>
      </c>
      <c r="Y213" t="s">
        <v>4554</v>
      </c>
      <c r="Z213" t="s">
        <v>4555</v>
      </c>
      <c r="AA213" t="s">
        <v>4556</v>
      </c>
      <c r="AB213" t="s">
        <v>4557</v>
      </c>
      <c r="AC213" t="s">
        <v>4558</v>
      </c>
      <c r="AD213" t="s">
        <v>4559</v>
      </c>
      <c r="AE213" t="s">
        <v>4560</v>
      </c>
      <c r="AF213" t="s">
        <v>74</v>
      </c>
      <c r="AG213">
        <v>98</v>
      </c>
      <c r="AH213">
        <v>5</v>
      </c>
      <c r="AI213">
        <v>5</v>
      </c>
      <c r="AJ213">
        <v>12</v>
      </c>
      <c r="AK213">
        <v>38</v>
      </c>
      <c r="AL213" t="s">
        <v>4537</v>
      </c>
      <c r="AM213" t="s">
        <v>438</v>
      </c>
      <c r="AN213" t="s">
        <v>4538</v>
      </c>
      <c r="AO213" t="s">
        <v>74</v>
      </c>
      <c r="AP213" t="s">
        <v>4561</v>
      </c>
      <c r="AQ213" t="s">
        <v>74</v>
      </c>
      <c r="AR213" t="s">
        <v>4548</v>
      </c>
      <c r="AS213" t="s">
        <v>4562</v>
      </c>
      <c r="AT213" t="s">
        <v>4429</v>
      </c>
      <c r="AU213">
        <v>2021</v>
      </c>
      <c r="AV213">
        <v>6</v>
      </c>
      <c r="AW213">
        <v>6</v>
      </c>
      <c r="AX213" t="s">
        <v>74</v>
      </c>
      <c r="AY213" t="s">
        <v>74</v>
      </c>
      <c r="AZ213" t="s">
        <v>74</v>
      </c>
      <c r="BA213" t="s">
        <v>74</v>
      </c>
      <c r="BB213" t="s">
        <v>74</v>
      </c>
      <c r="BC213" t="s">
        <v>74</v>
      </c>
      <c r="BD213" t="s">
        <v>4563</v>
      </c>
      <c r="BE213" t="s">
        <v>4564</v>
      </c>
      <c r="BF213" t="str">
        <f>HYPERLINK("http://dx.doi.org/10.1128/mSphere.00770-21","http://dx.doi.org/10.1128/mSphere.00770-21")</f>
        <v>http://dx.doi.org/10.1128/mSphere.00770-21</v>
      </c>
      <c r="BG213" t="s">
        <v>74</v>
      </c>
      <c r="BH213" t="s">
        <v>74</v>
      </c>
      <c r="BI213">
        <v>13</v>
      </c>
      <c r="BJ213" t="s">
        <v>975</v>
      </c>
      <c r="BK213" t="s">
        <v>101</v>
      </c>
      <c r="BL213" t="s">
        <v>975</v>
      </c>
      <c r="BM213" t="s">
        <v>4565</v>
      </c>
      <c r="BN213">
        <v>34817234</v>
      </c>
      <c r="BO213" t="s">
        <v>343</v>
      </c>
      <c r="BP213" t="s">
        <v>74</v>
      </c>
      <c r="BQ213" t="s">
        <v>74</v>
      </c>
      <c r="BR213" t="s">
        <v>105</v>
      </c>
      <c r="BS213" t="s">
        <v>4566</v>
      </c>
      <c r="BT213" t="str">
        <f>HYPERLINK("https%3A%2F%2Fwww.webofscience.com%2Fwos%2Fwoscc%2Ffull-record%2FWOS:000735403100001","View Full Record in Web of Science")</f>
        <v>View Full Record in Web of Science</v>
      </c>
    </row>
    <row r="214" spans="1:72" x14ac:dyDescent="0.15">
      <c r="A214" t="s">
        <v>72</v>
      </c>
      <c r="B214" t="s">
        <v>4567</v>
      </c>
      <c r="C214" t="s">
        <v>74</v>
      </c>
      <c r="D214" t="s">
        <v>74</v>
      </c>
      <c r="E214" t="s">
        <v>74</v>
      </c>
      <c r="F214" t="s">
        <v>4568</v>
      </c>
      <c r="G214" t="s">
        <v>74</v>
      </c>
      <c r="H214" t="s">
        <v>74</v>
      </c>
      <c r="I214" t="s">
        <v>4569</v>
      </c>
      <c r="J214" t="s">
        <v>4570</v>
      </c>
      <c r="K214" t="s">
        <v>74</v>
      </c>
      <c r="L214" t="s">
        <v>74</v>
      </c>
      <c r="M214" t="s">
        <v>78</v>
      </c>
      <c r="N214" t="s">
        <v>79</v>
      </c>
      <c r="O214" t="s">
        <v>74</v>
      </c>
      <c r="P214" t="s">
        <v>74</v>
      </c>
      <c r="Q214" t="s">
        <v>74</v>
      </c>
      <c r="R214" t="s">
        <v>74</v>
      </c>
      <c r="S214" t="s">
        <v>74</v>
      </c>
      <c r="T214" t="s">
        <v>4571</v>
      </c>
      <c r="U214" t="s">
        <v>4572</v>
      </c>
      <c r="V214" t="s">
        <v>4573</v>
      </c>
      <c r="W214" t="s">
        <v>4574</v>
      </c>
      <c r="X214" t="s">
        <v>4575</v>
      </c>
      <c r="Y214" t="s">
        <v>4576</v>
      </c>
      <c r="Z214" t="s">
        <v>4577</v>
      </c>
      <c r="AA214" t="s">
        <v>4578</v>
      </c>
      <c r="AB214" t="s">
        <v>4579</v>
      </c>
      <c r="AC214" t="s">
        <v>4580</v>
      </c>
      <c r="AD214" t="s">
        <v>4581</v>
      </c>
      <c r="AE214" t="s">
        <v>4582</v>
      </c>
      <c r="AF214" t="s">
        <v>74</v>
      </c>
      <c r="AG214">
        <v>63</v>
      </c>
      <c r="AH214">
        <v>0</v>
      </c>
      <c r="AI214">
        <v>0</v>
      </c>
      <c r="AJ214">
        <v>0</v>
      </c>
      <c r="AK214">
        <v>2</v>
      </c>
      <c r="AL214" t="s">
        <v>572</v>
      </c>
      <c r="AM214" t="s">
        <v>573</v>
      </c>
      <c r="AN214" t="s">
        <v>574</v>
      </c>
      <c r="AO214" t="s">
        <v>4583</v>
      </c>
      <c r="AP214" t="s">
        <v>4584</v>
      </c>
      <c r="AQ214" t="s">
        <v>74</v>
      </c>
      <c r="AR214" t="s">
        <v>4585</v>
      </c>
      <c r="AS214" t="s">
        <v>4586</v>
      </c>
      <c r="AT214" t="s">
        <v>310</v>
      </c>
      <c r="AU214">
        <v>2021</v>
      </c>
      <c r="AV214">
        <v>28</v>
      </c>
      <c r="AW214">
        <v>6</v>
      </c>
      <c r="AX214" t="s">
        <v>74</v>
      </c>
      <c r="AY214" t="s">
        <v>74</v>
      </c>
      <c r="AZ214" t="s">
        <v>74</v>
      </c>
      <c r="BA214" t="s">
        <v>74</v>
      </c>
      <c r="BB214" t="s">
        <v>74</v>
      </c>
      <c r="BC214" t="s">
        <v>74</v>
      </c>
      <c r="BD214" t="s">
        <v>4587</v>
      </c>
      <c r="BE214" t="s">
        <v>4588</v>
      </c>
      <c r="BF214" t="str">
        <f>HYPERLINK("http://dx.doi.org/10.1002/met.2034","http://dx.doi.org/10.1002/met.2034")</f>
        <v>http://dx.doi.org/10.1002/met.2034</v>
      </c>
      <c r="BG214" t="s">
        <v>74</v>
      </c>
      <c r="BH214" t="s">
        <v>74</v>
      </c>
      <c r="BI214">
        <v>15</v>
      </c>
      <c r="BJ214" t="s">
        <v>829</v>
      </c>
      <c r="BK214" t="s">
        <v>101</v>
      </c>
      <c r="BL214" t="s">
        <v>829</v>
      </c>
      <c r="BM214" t="s">
        <v>4589</v>
      </c>
      <c r="BN214" t="s">
        <v>74</v>
      </c>
      <c r="BO214" t="s">
        <v>210</v>
      </c>
      <c r="BP214" t="s">
        <v>74</v>
      </c>
      <c r="BQ214" t="s">
        <v>74</v>
      </c>
      <c r="BR214" t="s">
        <v>105</v>
      </c>
      <c r="BS214" t="s">
        <v>4590</v>
      </c>
      <c r="BT214" t="str">
        <f>HYPERLINK("https%3A%2F%2Fwww.webofscience.com%2Fwos%2Fwoscc%2Ffull-record%2FWOS:000735210400009","View Full Record in Web of Science")</f>
        <v>View Full Record in Web of Science</v>
      </c>
    </row>
    <row r="215" spans="1:72" x14ac:dyDescent="0.15">
      <c r="A215" t="s">
        <v>72</v>
      </c>
      <c r="B215" t="s">
        <v>4591</v>
      </c>
      <c r="C215" t="s">
        <v>74</v>
      </c>
      <c r="D215" t="s">
        <v>74</v>
      </c>
      <c r="E215" t="s">
        <v>74</v>
      </c>
      <c r="F215" t="s">
        <v>4592</v>
      </c>
      <c r="G215" t="s">
        <v>74</v>
      </c>
      <c r="H215" t="s">
        <v>74</v>
      </c>
      <c r="I215" t="s">
        <v>4593</v>
      </c>
      <c r="J215" t="s">
        <v>4594</v>
      </c>
      <c r="K215" t="s">
        <v>74</v>
      </c>
      <c r="L215" t="s">
        <v>74</v>
      </c>
      <c r="M215" t="s">
        <v>78</v>
      </c>
      <c r="N215" t="s">
        <v>79</v>
      </c>
      <c r="O215" t="s">
        <v>74</v>
      </c>
      <c r="P215" t="s">
        <v>74</v>
      </c>
      <c r="Q215" t="s">
        <v>74</v>
      </c>
      <c r="R215" t="s">
        <v>74</v>
      </c>
      <c r="S215" t="s">
        <v>74</v>
      </c>
      <c r="T215" t="s">
        <v>4595</v>
      </c>
      <c r="U215" t="s">
        <v>4596</v>
      </c>
      <c r="V215" t="s">
        <v>4597</v>
      </c>
      <c r="W215" t="s">
        <v>4598</v>
      </c>
      <c r="X215" t="s">
        <v>4599</v>
      </c>
      <c r="Y215" t="s">
        <v>4600</v>
      </c>
      <c r="Z215" t="s">
        <v>4601</v>
      </c>
      <c r="AA215" t="s">
        <v>4602</v>
      </c>
      <c r="AB215" t="s">
        <v>4603</v>
      </c>
      <c r="AC215" t="s">
        <v>4604</v>
      </c>
      <c r="AD215" t="s">
        <v>4605</v>
      </c>
      <c r="AE215" t="s">
        <v>4606</v>
      </c>
      <c r="AF215" t="s">
        <v>74</v>
      </c>
      <c r="AG215">
        <v>126</v>
      </c>
      <c r="AH215">
        <v>1</v>
      </c>
      <c r="AI215">
        <v>1</v>
      </c>
      <c r="AJ215">
        <v>1</v>
      </c>
      <c r="AK215">
        <v>1</v>
      </c>
      <c r="AL215" t="s">
        <v>4607</v>
      </c>
      <c r="AM215" t="s">
        <v>4608</v>
      </c>
      <c r="AN215" t="s">
        <v>4609</v>
      </c>
      <c r="AO215" t="s">
        <v>4610</v>
      </c>
      <c r="AP215" t="s">
        <v>4611</v>
      </c>
      <c r="AQ215" t="s">
        <v>74</v>
      </c>
      <c r="AR215" t="s">
        <v>4612</v>
      </c>
      <c r="AS215" t="s">
        <v>4613</v>
      </c>
      <c r="AT215" t="s">
        <v>310</v>
      </c>
      <c r="AU215">
        <v>2021</v>
      </c>
      <c r="AV215">
        <v>59</v>
      </c>
      <c r="AW215">
        <v>6</v>
      </c>
      <c r="AX215" t="s">
        <v>74</v>
      </c>
      <c r="AY215" t="s">
        <v>74</v>
      </c>
      <c r="AZ215" t="s">
        <v>74</v>
      </c>
      <c r="BA215" t="s">
        <v>74</v>
      </c>
      <c r="BB215">
        <v>1731</v>
      </c>
      <c r="BC215">
        <v>1753</v>
      </c>
      <c r="BD215" t="s">
        <v>74</v>
      </c>
      <c r="BE215" t="s">
        <v>4614</v>
      </c>
      <c r="BF215" t="str">
        <f>HYPERLINK("http://dx.doi.org/10.3749/canmin.2100030","http://dx.doi.org/10.3749/canmin.2100030")</f>
        <v>http://dx.doi.org/10.3749/canmin.2100030</v>
      </c>
      <c r="BG215" t="s">
        <v>74</v>
      </c>
      <c r="BH215" t="s">
        <v>74</v>
      </c>
      <c r="BI215">
        <v>23</v>
      </c>
      <c r="BJ215" t="s">
        <v>4615</v>
      </c>
      <c r="BK215" t="s">
        <v>101</v>
      </c>
      <c r="BL215" t="s">
        <v>4615</v>
      </c>
      <c r="BM215" t="s">
        <v>4616</v>
      </c>
      <c r="BN215" t="s">
        <v>74</v>
      </c>
      <c r="BO215" t="s">
        <v>74</v>
      </c>
      <c r="BP215" t="s">
        <v>74</v>
      </c>
      <c r="BQ215" t="s">
        <v>74</v>
      </c>
      <c r="BR215" t="s">
        <v>105</v>
      </c>
      <c r="BS215" t="s">
        <v>4617</v>
      </c>
      <c r="BT215" t="str">
        <f>HYPERLINK("https%3A%2F%2Fwww.webofscience.com%2Fwos%2Fwoscc%2Ffull-record%2FWOS:000731417400007","View Full Record in Web of Science")</f>
        <v>View Full Record in Web of Science</v>
      </c>
    </row>
    <row r="216" spans="1:72" x14ac:dyDescent="0.15">
      <c r="A216" t="s">
        <v>72</v>
      </c>
      <c r="B216" t="s">
        <v>4618</v>
      </c>
      <c r="C216" t="s">
        <v>74</v>
      </c>
      <c r="D216" t="s">
        <v>74</v>
      </c>
      <c r="E216" t="s">
        <v>74</v>
      </c>
      <c r="F216" t="s">
        <v>4619</v>
      </c>
      <c r="G216" t="s">
        <v>74</v>
      </c>
      <c r="H216" t="s">
        <v>74</v>
      </c>
      <c r="I216" t="s">
        <v>4620</v>
      </c>
      <c r="J216" t="s">
        <v>4621</v>
      </c>
      <c r="K216" t="s">
        <v>74</v>
      </c>
      <c r="L216" t="s">
        <v>74</v>
      </c>
      <c r="M216" t="s">
        <v>78</v>
      </c>
      <c r="N216" t="s">
        <v>79</v>
      </c>
      <c r="O216" t="s">
        <v>74</v>
      </c>
      <c r="P216" t="s">
        <v>74</v>
      </c>
      <c r="Q216" t="s">
        <v>74</v>
      </c>
      <c r="R216" t="s">
        <v>74</v>
      </c>
      <c r="S216" t="s">
        <v>74</v>
      </c>
      <c r="T216" t="s">
        <v>4622</v>
      </c>
      <c r="U216" t="s">
        <v>4623</v>
      </c>
      <c r="V216" t="s">
        <v>4624</v>
      </c>
      <c r="W216" t="s">
        <v>4625</v>
      </c>
      <c r="X216" t="s">
        <v>4626</v>
      </c>
      <c r="Y216" t="s">
        <v>4627</v>
      </c>
      <c r="Z216" t="s">
        <v>4628</v>
      </c>
      <c r="AA216" t="s">
        <v>4629</v>
      </c>
      <c r="AB216" t="s">
        <v>4630</v>
      </c>
      <c r="AC216" t="s">
        <v>4631</v>
      </c>
      <c r="AD216" t="s">
        <v>4632</v>
      </c>
      <c r="AE216" t="s">
        <v>4633</v>
      </c>
      <c r="AF216" t="s">
        <v>74</v>
      </c>
      <c r="AG216">
        <v>125</v>
      </c>
      <c r="AH216">
        <v>8</v>
      </c>
      <c r="AI216">
        <v>8</v>
      </c>
      <c r="AJ216">
        <v>1</v>
      </c>
      <c r="AK216">
        <v>19</v>
      </c>
      <c r="AL216" t="s">
        <v>760</v>
      </c>
      <c r="AM216" t="s">
        <v>438</v>
      </c>
      <c r="AN216" t="s">
        <v>761</v>
      </c>
      <c r="AO216" t="s">
        <v>4634</v>
      </c>
      <c r="AP216" t="s">
        <v>4635</v>
      </c>
      <c r="AQ216" t="s">
        <v>74</v>
      </c>
      <c r="AR216" t="s">
        <v>4636</v>
      </c>
      <c r="AS216" t="s">
        <v>4637</v>
      </c>
      <c r="AT216" t="s">
        <v>310</v>
      </c>
      <c r="AU216">
        <v>2021</v>
      </c>
      <c r="AV216">
        <v>35</v>
      </c>
      <c r="AW216">
        <v>11</v>
      </c>
      <c r="AX216" t="s">
        <v>74</v>
      </c>
      <c r="AY216" t="s">
        <v>74</v>
      </c>
      <c r="AZ216" t="s">
        <v>74</v>
      </c>
      <c r="BA216" t="s">
        <v>74</v>
      </c>
      <c r="BB216" t="s">
        <v>74</v>
      </c>
      <c r="BC216" t="s">
        <v>74</v>
      </c>
      <c r="BD216" t="s">
        <v>4638</v>
      </c>
      <c r="BE216" t="s">
        <v>4639</v>
      </c>
      <c r="BF216" t="str">
        <f>HYPERLINK("http://dx.doi.org/10.1029/2020GB006921","http://dx.doi.org/10.1029/2020GB006921")</f>
        <v>http://dx.doi.org/10.1029/2020GB006921</v>
      </c>
      <c r="BG216" t="s">
        <v>74</v>
      </c>
      <c r="BH216" t="s">
        <v>74</v>
      </c>
      <c r="BI216">
        <v>21</v>
      </c>
      <c r="BJ216" t="s">
        <v>1353</v>
      </c>
      <c r="BK216" t="s">
        <v>101</v>
      </c>
      <c r="BL216" t="s">
        <v>1354</v>
      </c>
      <c r="BM216" t="s">
        <v>4640</v>
      </c>
      <c r="BN216" t="s">
        <v>74</v>
      </c>
      <c r="BO216" t="s">
        <v>343</v>
      </c>
      <c r="BP216" t="s">
        <v>74</v>
      </c>
      <c r="BQ216" t="s">
        <v>74</v>
      </c>
      <c r="BR216" t="s">
        <v>105</v>
      </c>
      <c r="BS216" t="s">
        <v>4641</v>
      </c>
      <c r="BT216" t="str">
        <f>HYPERLINK("https%3A%2F%2Fwww.webofscience.com%2Fwos%2Fwoscc%2Ffull-record%2FWOS:000723020500006","View Full Record in Web of Science")</f>
        <v>View Full Record in Web of Science</v>
      </c>
    </row>
    <row r="217" spans="1:72" x14ac:dyDescent="0.15">
      <c r="A217" t="s">
        <v>72</v>
      </c>
      <c r="B217" t="s">
        <v>4642</v>
      </c>
      <c r="C217" t="s">
        <v>74</v>
      </c>
      <c r="D217" t="s">
        <v>74</v>
      </c>
      <c r="E217" t="s">
        <v>74</v>
      </c>
      <c r="F217" t="s">
        <v>4643</v>
      </c>
      <c r="G217" t="s">
        <v>74</v>
      </c>
      <c r="H217" t="s">
        <v>74</v>
      </c>
      <c r="I217" t="s">
        <v>4644</v>
      </c>
      <c r="J217" t="s">
        <v>4222</v>
      </c>
      <c r="K217" t="s">
        <v>74</v>
      </c>
      <c r="L217" t="s">
        <v>74</v>
      </c>
      <c r="M217" t="s">
        <v>78</v>
      </c>
      <c r="N217" t="s">
        <v>79</v>
      </c>
      <c r="O217" t="s">
        <v>74</v>
      </c>
      <c r="P217" t="s">
        <v>74</v>
      </c>
      <c r="Q217" t="s">
        <v>74</v>
      </c>
      <c r="R217" t="s">
        <v>74</v>
      </c>
      <c r="S217" t="s">
        <v>74</v>
      </c>
      <c r="T217" t="s">
        <v>4645</v>
      </c>
      <c r="U217" t="s">
        <v>4646</v>
      </c>
      <c r="V217" t="s">
        <v>4647</v>
      </c>
      <c r="W217" t="s">
        <v>4648</v>
      </c>
      <c r="X217" t="s">
        <v>4649</v>
      </c>
      <c r="Y217" t="s">
        <v>4650</v>
      </c>
      <c r="Z217" t="s">
        <v>4651</v>
      </c>
      <c r="AA217" t="s">
        <v>4652</v>
      </c>
      <c r="AB217" t="s">
        <v>4653</v>
      </c>
      <c r="AC217" t="s">
        <v>4654</v>
      </c>
      <c r="AD217" t="s">
        <v>4655</v>
      </c>
      <c r="AE217" t="s">
        <v>4656</v>
      </c>
      <c r="AF217" t="s">
        <v>74</v>
      </c>
      <c r="AG217">
        <v>65</v>
      </c>
      <c r="AH217">
        <v>2</v>
      </c>
      <c r="AI217">
        <v>3</v>
      </c>
      <c r="AJ217">
        <v>8</v>
      </c>
      <c r="AK217">
        <v>34</v>
      </c>
      <c r="AL217" t="s">
        <v>4192</v>
      </c>
      <c r="AM217" t="s">
        <v>4193</v>
      </c>
      <c r="AN217" t="s">
        <v>4194</v>
      </c>
      <c r="AO217" t="s">
        <v>74</v>
      </c>
      <c r="AP217" t="s">
        <v>4233</v>
      </c>
      <c r="AQ217" t="s">
        <v>74</v>
      </c>
      <c r="AR217" t="s">
        <v>4234</v>
      </c>
      <c r="AS217" t="s">
        <v>4235</v>
      </c>
      <c r="AT217" t="s">
        <v>310</v>
      </c>
      <c r="AU217">
        <v>2021</v>
      </c>
      <c r="AV217">
        <v>13</v>
      </c>
      <c r="AW217">
        <v>22</v>
      </c>
      <c r="AX217" t="s">
        <v>74</v>
      </c>
      <c r="AY217" t="s">
        <v>74</v>
      </c>
      <c r="AZ217" t="s">
        <v>74</v>
      </c>
      <c r="BA217" t="s">
        <v>74</v>
      </c>
      <c r="BB217" t="s">
        <v>74</v>
      </c>
      <c r="BC217" t="s">
        <v>74</v>
      </c>
      <c r="BD217">
        <v>4673</v>
      </c>
      <c r="BE217" t="s">
        <v>4657</v>
      </c>
      <c r="BF217" t="str">
        <f>HYPERLINK("http://dx.doi.org/10.3390/rs13224673","http://dx.doi.org/10.3390/rs13224673")</f>
        <v>http://dx.doi.org/10.3390/rs13224673</v>
      </c>
      <c r="BG217" t="s">
        <v>74</v>
      </c>
      <c r="BH217" t="s">
        <v>74</v>
      </c>
      <c r="BI217">
        <v>19</v>
      </c>
      <c r="BJ217" t="s">
        <v>4237</v>
      </c>
      <c r="BK217" t="s">
        <v>101</v>
      </c>
      <c r="BL217" t="s">
        <v>4238</v>
      </c>
      <c r="BM217" t="s">
        <v>4658</v>
      </c>
      <c r="BN217" t="s">
        <v>74</v>
      </c>
      <c r="BO217" t="s">
        <v>394</v>
      </c>
      <c r="BP217" t="s">
        <v>74</v>
      </c>
      <c r="BQ217" t="s">
        <v>74</v>
      </c>
      <c r="BR217" t="s">
        <v>105</v>
      </c>
      <c r="BS217" t="s">
        <v>4659</v>
      </c>
      <c r="BT217" t="str">
        <f>HYPERLINK("https%3A%2F%2Fwww.webofscience.com%2Fwos%2Fwoscc%2Ffull-record%2FWOS:000727138200001","View Full Record in Web of Science")</f>
        <v>View Full Record in Web of Science</v>
      </c>
    </row>
    <row r="218" spans="1:72" x14ac:dyDescent="0.15">
      <c r="A218" t="s">
        <v>72</v>
      </c>
      <c r="B218" t="s">
        <v>4660</v>
      </c>
      <c r="C218" t="s">
        <v>74</v>
      </c>
      <c r="D218" t="s">
        <v>74</v>
      </c>
      <c r="E218" t="s">
        <v>74</v>
      </c>
      <c r="F218" t="s">
        <v>4661</v>
      </c>
      <c r="G218" t="s">
        <v>74</v>
      </c>
      <c r="H218" t="s">
        <v>74</v>
      </c>
      <c r="I218" t="s">
        <v>4662</v>
      </c>
      <c r="J218" t="s">
        <v>4663</v>
      </c>
      <c r="K218" t="s">
        <v>74</v>
      </c>
      <c r="L218" t="s">
        <v>74</v>
      </c>
      <c r="M218" t="s">
        <v>78</v>
      </c>
      <c r="N218" t="s">
        <v>79</v>
      </c>
      <c r="O218" t="s">
        <v>74</v>
      </c>
      <c r="P218" t="s">
        <v>74</v>
      </c>
      <c r="Q218" t="s">
        <v>74</v>
      </c>
      <c r="R218" t="s">
        <v>74</v>
      </c>
      <c r="S218" t="s">
        <v>74</v>
      </c>
      <c r="T218" t="s">
        <v>4664</v>
      </c>
      <c r="U218" t="s">
        <v>4665</v>
      </c>
      <c r="V218" t="s">
        <v>4666</v>
      </c>
      <c r="W218" t="s">
        <v>4667</v>
      </c>
      <c r="X218" t="s">
        <v>4668</v>
      </c>
      <c r="Y218" t="s">
        <v>4669</v>
      </c>
      <c r="Z218" t="s">
        <v>4670</v>
      </c>
      <c r="AA218" t="s">
        <v>74</v>
      </c>
      <c r="AB218" t="s">
        <v>74</v>
      </c>
      <c r="AC218" t="s">
        <v>4671</v>
      </c>
      <c r="AD218" t="s">
        <v>4672</v>
      </c>
      <c r="AE218" t="s">
        <v>4673</v>
      </c>
      <c r="AF218" t="s">
        <v>74</v>
      </c>
      <c r="AG218">
        <v>27</v>
      </c>
      <c r="AH218">
        <v>1</v>
      </c>
      <c r="AI218">
        <v>4</v>
      </c>
      <c r="AJ218">
        <v>6</v>
      </c>
      <c r="AK218">
        <v>50</v>
      </c>
      <c r="AL218" t="s">
        <v>4192</v>
      </c>
      <c r="AM218" t="s">
        <v>4193</v>
      </c>
      <c r="AN218" t="s">
        <v>4194</v>
      </c>
      <c r="AO218" t="s">
        <v>74</v>
      </c>
      <c r="AP218" t="s">
        <v>4674</v>
      </c>
      <c r="AQ218" t="s">
        <v>74</v>
      </c>
      <c r="AR218" t="s">
        <v>4663</v>
      </c>
      <c r="AS218" t="s">
        <v>4675</v>
      </c>
      <c r="AT218" t="s">
        <v>310</v>
      </c>
      <c r="AU218">
        <v>2021</v>
      </c>
      <c r="AV218">
        <v>10</v>
      </c>
      <c r="AW218">
        <v>11</v>
      </c>
      <c r="AX218" t="s">
        <v>74</v>
      </c>
      <c r="AY218" t="s">
        <v>74</v>
      </c>
      <c r="AZ218" t="s">
        <v>74</v>
      </c>
      <c r="BA218" t="s">
        <v>74</v>
      </c>
      <c r="BB218" t="s">
        <v>74</v>
      </c>
      <c r="BC218" t="s">
        <v>74</v>
      </c>
      <c r="BD218">
        <v>2797</v>
      </c>
      <c r="BE218" t="s">
        <v>4676</v>
      </c>
      <c r="BF218" t="str">
        <f>HYPERLINK("http://dx.doi.org/10.3390/foods10112797","http://dx.doi.org/10.3390/foods10112797")</f>
        <v>http://dx.doi.org/10.3390/foods10112797</v>
      </c>
      <c r="BG218" t="s">
        <v>74</v>
      </c>
      <c r="BH218" t="s">
        <v>74</v>
      </c>
      <c r="BI218">
        <v>15</v>
      </c>
      <c r="BJ218" t="s">
        <v>1206</v>
      </c>
      <c r="BK218" t="s">
        <v>101</v>
      </c>
      <c r="BL218" t="s">
        <v>1206</v>
      </c>
      <c r="BM218" t="s">
        <v>4677</v>
      </c>
      <c r="BN218">
        <v>34829078</v>
      </c>
      <c r="BO218" t="s">
        <v>1094</v>
      </c>
      <c r="BP218" t="s">
        <v>74</v>
      </c>
      <c r="BQ218" t="s">
        <v>74</v>
      </c>
      <c r="BR218" t="s">
        <v>105</v>
      </c>
      <c r="BS218" t="s">
        <v>4678</v>
      </c>
      <c r="BT218" t="str">
        <f>HYPERLINK("https%3A%2F%2Fwww.webofscience.com%2Fwos%2Fwoscc%2Ffull-record%2FWOS:000727855500001","View Full Record in Web of Science")</f>
        <v>View Full Record in Web of Science</v>
      </c>
    </row>
    <row r="219" spans="1:72" x14ac:dyDescent="0.15">
      <c r="A219" t="s">
        <v>72</v>
      </c>
      <c r="B219" t="s">
        <v>4679</v>
      </c>
      <c r="C219" t="s">
        <v>74</v>
      </c>
      <c r="D219" t="s">
        <v>74</v>
      </c>
      <c r="E219" t="s">
        <v>74</v>
      </c>
      <c r="F219" t="s">
        <v>4680</v>
      </c>
      <c r="G219" t="s">
        <v>74</v>
      </c>
      <c r="H219" t="s">
        <v>74</v>
      </c>
      <c r="I219" t="s">
        <v>4681</v>
      </c>
      <c r="J219" t="s">
        <v>4682</v>
      </c>
      <c r="K219" t="s">
        <v>74</v>
      </c>
      <c r="L219" t="s">
        <v>74</v>
      </c>
      <c r="M219" t="s">
        <v>78</v>
      </c>
      <c r="N219" t="s">
        <v>79</v>
      </c>
      <c r="O219" t="s">
        <v>74</v>
      </c>
      <c r="P219" t="s">
        <v>74</v>
      </c>
      <c r="Q219" t="s">
        <v>74</v>
      </c>
      <c r="R219" t="s">
        <v>74</v>
      </c>
      <c r="S219" t="s">
        <v>74</v>
      </c>
      <c r="T219" t="s">
        <v>4683</v>
      </c>
      <c r="U219" t="s">
        <v>4684</v>
      </c>
      <c r="V219" t="s">
        <v>4685</v>
      </c>
      <c r="W219" t="s">
        <v>4686</v>
      </c>
      <c r="X219" t="s">
        <v>4687</v>
      </c>
      <c r="Y219" t="s">
        <v>4688</v>
      </c>
      <c r="Z219" t="s">
        <v>4689</v>
      </c>
      <c r="AA219" t="s">
        <v>4690</v>
      </c>
      <c r="AB219" t="s">
        <v>4691</v>
      </c>
      <c r="AC219" t="s">
        <v>4692</v>
      </c>
      <c r="AD219" t="s">
        <v>4693</v>
      </c>
      <c r="AE219" t="s">
        <v>4694</v>
      </c>
      <c r="AF219" t="s">
        <v>74</v>
      </c>
      <c r="AG219">
        <v>55</v>
      </c>
      <c r="AH219">
        <v>7</v>
      </c>
      <c r="AI219">
        <v>7</v>
      </c>
      <c r="AJ219">
        <v>1</v>
      </c>
      <c r="AK219">
        <v>8</v>
      </c>
      <c r="AL219" t="s">
        <v>760</v>
      </c>
      <c r="AM219" t="s">
        <v>438</v>
      </c>
      <c r="AN219" t="s">
        <v>761</v>
      </c>
      <c r="AO219" t="s">
        <v>4695</v>
      </c>
      <c r="AP219" t="s">
        <v>4696</v>
      </c>
      <c r="AQ219" t="s">
        <v>74</v>
      </c>
      <c r="AR219" t="s">
        <v>4697</v>
      </c>
      <c r="AS219" t="s">
        <v>4698</v>
      </c>
      <c r="AT219" t="s">
        <v>310</v>
      </c>
      <c r="AU219">
        <v>2021</v>
      </c>
      <c r="AV219">
        <v>126</v>
      </c>
      <c r="AW219">
        <v>11</v>
      </c>
      <c r="AX219" t="s">
        <v>74</v>
      </c>
      <c r="AY219" t="s">
        <v>74</v>
      </c>
      <c r="AZ219" t="s">
        <v>74</v>
      </c>
      <c r="BA219" t="s">
        <v>74</v>
      </c>
      <c r="BB219" t="s">
        <v>74</v>
      </c>
      <c r="BC219" t="s">
        <v>74</v>
      </c>
      <c r="BD219" t="s">
        <v>4699</v>
      </c>
      <c r="BE219" t="s">
        <v>4700</v>
      </c>
      <c r="BF219" t="str">
        <f>HYPERLINK("http://dx.doi.org/10.1029/2021JC017858","http://dx.doi.org/10.1029/2021JC017858")</f>
        <v>http://dx.doi.org/10.1029/2021JC017858</v>
      </c>
      <c r="BG219" t="s">
        <v>74</v>
      </c>
      <c r="BH219" t="s">
        <v>74</v>
      </c>
      <c r="BI219">
        <v>15</v>
      </c>
      <c r="BJ219" t="s">
        <v>264</v>
      </c>
      <c r="BK219" t="s">
        <v>101</v>
      </c>
      <c r="BL219" t="s">
        <v>264</v>
      </c>
      <c r="BM219" t="s">
        <v>4701</v>
      </c>
      <c r="BN219" t="s">
        <v>74</v>
      </c>
      <c r="BO219" t="s">
        <v>419</v>
      </c>
      <c r="BP219" t="s">
        <v>74</v>
      </c>
      <c r="BQ219" t="s">
        <v>74</v>
      </c>
      <c r="BR219" t="s">
        <v>105</v>
      </c>
      <c r="BS219" t="s">
        <v>4702</v>
      </c>
      <c r="BT219" t="str">
        <f>HYPERLINK("https%3A%2F%2Fwww.webofscience.com%2Fwos%2Fwoscc%2Ffull-record%2FWOS:000723095600035","View Full Record in Web of Science")</f>
        <v>View Full Record in Web of Science</v>
      </c>
    </row>
    <row r="220" spans="1:72" x14ac:dyDescent="0.15">
      <c r="A220" t="s">
        <v>72</v>
      </c>
      <c r="B220" t="s">
        <v>4703</v>
      </c>
      <c r="C220" t="s">
        <v>74</v>
      </c>
      <c r="D220" t="s">
        <v>74</v>
      </c>
      <c r="E220" t="s">
        <v>74</v>
      </c>
      <c r="F220" t="s">
        <v>4704</v>
      </c>
      <c r="G220" t="s">
        <v>74</v>
      </c>
      <c r="H220" t="s">
        <v>74</v>
      </c>
      <c r="I220" t="s">
        <v>4705</v>
      </c>
      <c r="J220" t="s">
        <v>4682</v>
      </c>
      <c r="K220" t="s">
        <v>74</v>
      </c>
      <c r="L220" t="s">
        <v>74</v>
      </c>
      <c r="M220" t="s">
        <v>78</v>
      </c>
      <c r="N220" t="s">
        <v>79</v>
      </c>
      <c r="O220" t="s">
        <v>74</v>
      </c>
      <c r="P220" t="s">
        <v>74</v>
      </c>
      <c r="Q220" t="s">
        <v>74</v>
      </c>
      <c r="R220" t="s">
        <v>74</v>
      </c>
      <c r="S220" t="s">
        <v>74</v>
      </c>
      <c r="T220" t="s">
        <v>4706</v>
      </c>
      <c r="U220" t="s">
        <v>4707</v>
      </c>
      <c r="V220" t="s">
        <v>4708</v>
      </c>
      <c r="W220" t="s">
        <v>4709</v>
      </c>
      <c r="X220" t="s">
        <v>4710</v>
      </c>
      <c r="Y220" t="s">
        <v>4711</v>
      </c>
      <c r="Z220" t="s">
        <v>4712</v>
      </c>
      <c r="AA220" t="s">
        <v>4713</v>
      </c>
      <c r="AB220" t="s">
        <v>4714</v>
      </c>
      <c r="AC220" t="s">
        <v>4715</v>
      </c>
      <c r="AD220" t="s">
        <v>4310</v>
      </c>
      <c r="AE220" t="s">
        <v>4716</v>
      </c>
      <c r="AF220" t="s">
        <v>74</v>
      </c>
      <c r="AG220">
        <v>69</v>
      </c>
      <c r="AH220">
        <v>6</v>
      </c>
      <c r="AI220">
        <v>10</v>
      </c>
      <c r="AJ220">
        <v>0</v>
      </c>
      <c r="AK220">
        <v>5</v>
      </c>
      <c r="AL220" t="s">
        <v>760</v>
      </c>
      <c r="AM220" t="s">
        <v>438</v>
      </c>
      <c r="AN220" t="s">
        <v>761</v>
      </c>
      <c r="AO220" t="s">
        <v>4695</v>
      </c>
      <c r="AP220" t="s">
        <v>4696</v>
      </c>
      <c r="AQ220" t="s">
        <v>74</v>
      </c>
      <c r="AR220" t="s">
        <v>4697</v>
      </c>
      <c r="AS220" t="s">
        <v>4698</v>
      </c>
      <c r="AT220" t="s">
        <v>310</v>
      </c>
      <c r="AU220">
        <v>2021</v>
      </c>
      <c r="AV220">
        <v>126</v>
      </c>
      <c r="AW220">
        <v>11</v>
      </c>
      <c r="AX220" t="s">
        <v>74</v>
      </c>
      <c r="AY220" t="s">
        <v>74</v>
      </c>
      <c r="AZ220" t="s">
        <v>74</v>
      </c>
      <c r="BA220" t="s">
        <v>74</v>
      </c>
      <c r="BB220" t="s">
        <v>74</v>
      </c>
      <c r="BC220" t="s">
        <v>74</v>
      </c>
      <c r="BD220" t="s">
        <v>4717</v>
      </c>
      <c r="BE220" t="s">
        <v>4718</v>
      </c>
      <c r="BF220" t="str">
        <f>HYPERLINK("http://dx.doi.org/10.1029/2021JC017304","http://dx.doi.org/10.1029/2021JC017304")</f>
        <v>http://dx.doi.org/10.1029/2021JC017304</v>
      </c>
      <c r="BG220" t="s">
        <v>74</v>
      </c>
      <c r="BH220" t="s">
        <v>74</v>
      </c>
      <c r="BI220">
        <v>19</v>
      </c>
      <c r="BJ220" t="s">
        <v>264</v>
      </c>
      <c r="BK220" t="s">
        <v>101</v>
      </c>
      <c r="BL220" t="s">
        <v>264</v>
      </c>
      <c r="BM220" t="s">
        <v>4701</v>
      </c>
      <c r="BN220" t="s">
        <v>74</v>
      </c>
      <c r="BO220" t="s">
        <v>2241</v>
      </c>
      <c r="BP220" t="s">
        <v>74</v>
      </c>
      <c r="BQ220" t="s">
        <v>74</v>
      </c>
      <c r="BR220" t="s">
        <v>105</v>
      </c>
      <c r="BS220" t="s">
        <v>4719</v>
      </c>
      <c r="BT220" t="str">
        <f>HYPERLINK("https%3A%2F%2Fwww.webofscience.com%2Fwos%2Fwoscc%2Ffull-record%2FWOS:000723095600007","View Full Record in Web of Science")</f>
        <v>View Full Record in Web of Science</v>
      </c>
    </row>
    <row r="221" spans="1:72" x14ac:dyDescent="0.15">
      <c r="A221" t="s">
        <v>72</v>
      </c>
      <c r="B221" t="s">
        <v>4720</v>
      </c>
      <c r="C221" t="s">
        <v>74</v>
      </c>
      <c r="D221" t="s">
        <v>74</v>
      </c>
      <c r="E221" t="s">
        <v>74</v>
      </c>
      <c r="F221" t="s">
        <v>4721</v>
      </c>
      <c r="G221" t="s">
        <v>74</v>
      </c>
      <c r="H221" t="s">
        <v>74</v>
      </c>
      <c r="I221" t="s">
        <v>4722</v>
      </c>
      <c r="J221" t="s">
        <v>4682</v>
      </c>
      <c r="K221" t="s">
        <v>74</v>
      </c>
      <c r="L221" t="s">
        <v>74</v>
      </c>
      <c r="M221" t="s">
        <v>78</v>
      </c>
      <c r="N221" t="s">
        <v>79</v>
      </c>
      <c r="O221" t="s">
        <v>74</v>
      </c>
      <c r="P221" t="s">
        <v>74</v>
      </c>
      <c r="Q221" t="s">
        <v>74</v>
      </c>
      <c r="R221" t="s">
        <v>74</v>
      </c>
      <c r="S221" t="s">
        <v>74</v>
      </c>
      <c r="T221" t="s">
        <v>4723</v>
      </c>
      <c r="U221" t="s">
        <v>4724</v>
      </c>
      <c r="V221" t="s">
        <v>4725</v>
      </c>
      <c r="W221" t="s">
        <v>4726</v>
      </c>
      <c r="X221" t="s">
        <v>4727</v>
      </c>
      <c r="Y221" t="s">
        <v>4728</v>
      </c>
      <c r="Z221" t="s">
        <v>4729</v>
      </c>
      <c r="AA221" t="s">
        <v>4730</v>
      </c>
      <c r="AB221" t="s">
        <v>4731</v>
      </c>
      <c r="AC221" t="s">
        <v>4732</v>
      </c>
      <c r="AD221" t="s">
        <v>4733</v>
      </c>
      <c r="AE221" t="s">
        <v>4734</v>
      </c>
      <c r="AF221" t="s">
        <v>74</v>
      </c>
      <c r="AG221">
        <v>79</v>
      </c>
      <c r="AH221">
        <v>13</v>
      </c>
      <c r="AI221">
        <v>13</v>
      </c>
      <c r="AJ221">
        <v>4</v>
      </c>
      <c r="AK221">
        <v>12</v>
      </c>
      <c r="AL221" t="s">
        <v>760</v>
      </c>
      <c r="AM221" t="s">
        <v>438</v>
      </c>
      <c r="AN221" t="s">
        <v>761</v>
      </c>
      <c r="AO221" t="s">
        <v>4695</v>
      </c>
      <c r="AP221" t="s">
        <v>4696</v>
      </c>
      <c r="AQ221" t="s">
        <v>74</v>
      </c>
      <c r="AR221" t="s">
        <v>4697</v>
      </c>
      <c r="AS221" t="s">
        <v>4698</v>
      </c>
      <c r="AT221" t="s">
        <v>310</v>
      </c>
      <c r="AU221">
        <v>2021</v>
      </c>
      <c r="AV221">
        <v>126</v>
      </c>
      <c r="AW221">
        <v>11</v>
      </c>
      <c r="AX221" t="s">
        <v>74</v>
      </c>
      <c r="AY221" t="s">
        <v>74</v>
      </c>
      <c r="AZ221" t="s">
        <v>74</v>
      </c>
      <c r="BA221" t="s">
        <v>74</v>
      </c>
      <c r="BB221" t="s">
        <v>74</v>
      </c>
      <c r="BC221" t="s">
        <v>74</v>
      </c>
      <c r="BD221" t="s">
        <v>4735</v>
      </c>
      <c r="BE221" t="s">
        <v>4736</v>
      </c>
      <c r="BF221" t="str">
        <f>HYPERLINK("http://dx.doi.org/10.1029/2021JC017930","http://dx.doi.org/10.1029/2021JC017930")</f>
        <v>http://dx.doi.org/10.1029/2021JC017930</v>
      </c>
      <c r="BG221" t="s">
        <v>74</v>
      </c>
      <c r="BH221" t="s">
        <v>74</v>
      </c>
      <c r="BI221">
        <v>24</v>
      </c>
      <c r="BJ221" t="s">
        <v>264</v>
      </c>
      <c r="BK221" t="s">
        <v>101</v>
      </c>
      <c r="BL221" t="s">
        <v>264</v>
      </c>
      <c r="BM221" t="s">
        <v>4701</v>
      </c>
      <c r="BN221" t="s">
        <v>74</v>
      </c>
      <c r="BO221" t="s">
        <v>582</v>
      </c>
      <c r="BP221" t="s">
        <v>74</v>
      </c>
      <c r="BQ221" t="s">
        <v>74</v>
      </c>
      <c r="BR221" t="s">
        <v>105</v>
      </c>
      <c r="BS221" t="s">
        <v>4737</v>
      </c>
      <c r="BT221" t="str">
        <f>HYPERLINK("https%3A%2F%2Fwww.webofscience.com%2Fwos%2Fwoscc%2Ffull-record%2FWOS:000723095600002","View Full Record in Web of Science")</f>
        <v>View Full Record in Web of Science</v>
      </c>
    </row>
    <row r="222" spans="1:72" x14ac:dyDescent="0.15">
      <c r="A222" t="s">
        <v>72</v>
      </c>
      <c r="B222" t="s">
        <v>4738</v>
      </c>
      <c r="C222" t="s">
        <v>74</v>
      </c>
      <c r="D222" t="s">
        <v>74</v>
      </c>
      <c r="E222" t="s">
        <v>74</v>
      </c>
      <c r="F222" t="s">
        <v>4739</v>
      </c>
      <c r="G222" t="s">
        <v>74</v>
      </c>
      <c r="H222" t="s">
        <v>74</v>
      </c>
      <c r="I222" t="s">
        <v>4740</v>
      </c>
      <c r="J222" t="s">
        <v>4682</v>
      </c>
      <c r="K222" t="s">
        <v>74</v>
      </c>
      <c r="L222" t="s">
        <v>74</v>
      </c>
      <c r="M222" t="s">
        <v>78</v>
      </c>
      <c r="N222" t="s">
        <v>79</v>
      </c>
      <c r="O222" t="s">
        <v>74</v>
      </c>
      <c r="P222" t="s">
        <v>74</v>
      </c>
      <c r="Q222" t="s">
        <v>74</v>
      </c>
      <c r="R222" t="s">
        <v>74</v>
      </c>
      <c r="S222" t="s">
        <v>74</v>
      </c>
      <c r="T222" t="s">
        <v>4741</v>
      </c>
      <c r="U222" t="s">
        <v>4742</v>
      </c>
      <c r="V222" t="s">
        <v>4743</v>
      </c>
      <c r="W222" t="s">
        <v>4744</v>
      </c>
      <c r="X222" t="s">
        <v>4745</v>
      </c>
      <c r="Y222" t="s">
        <v>4746</v>
      </c>
      <c r="Z222" t="s">
        <v>4747</v>
      </c>
      <c r="AA222" t="s">
        <v>4748</v>
      </c>
      <c r="AB222" t="s">
        <v>4749</v>
      </c>
      <c r="AC222" t="s">
        <v>4750</v>
      </c>
      <c r="AD222" t="s">
        <v>4751</v>
      </c>
      <c r="AE222" t="s">
        <v>4752</v>
      </c>
      <c r="AF222" t="s">
        <v>74</v>
      </c>
      <c r="AG222">
        <v>63</v>
      </c>
      <c r="AH222">
        <v>11</v>
      </c>
      <c r="AI222">
        <v>11</v>
      </c>
      <c r="AJ222">
        <v>0</v>
      </c>
      <c r="AK222">
        <v>5</v>
      </c>
      <c r="AL222" t="s">
        <v>760</v>
      </c>
      <c r="AM222" t="s">
        <v>438</v>
      </c>
      <c r="AN222" t="s">
        <v>761</v>
      </c>
      <c r="AO222" t="s">
        <v>4695</v>
      </c>
      <c r="AP222" t="s">
        <v>4696</v>
      </c>
      <c r="AQ222" t="s">
        <v>74</v>
      </c>
      <c r="AR222" t="s">
        <v>4697</v>
      </c>
      <c r="AS222" t="s">
        <v>4698</v>
      </c>
      <c r="AT222" t="s">
        <v>310</v>
      </c>
      <c r="AU222">
        <v>2021</v>
      </c>
      <c r="AV222">
        <v>126</v>
      </c>
      <c r="AW222">
        <v>11</v>
      </c>
      <c r="AX222" t="s">
        <v>74</v>
      </c>
      <c r="AY222" t="s">
        <v>74</v>
      </c>
      <c r="AZ222" t="s">
        <v>74</v>
      </c>
      <c r="BA222" t="s">
        <v>74</v>
      </c>
      <c r="BB222" t="s">
        <v>74</v>
      </c>
      <c r="BC222" t="s">
        <v>74</v>
      </c>
      <c r="BD222" t="s">
        <v>4753</v>
      </c>
      <c r="BE222" t="s">
        <v>4754</v>
      </c>
      <c r="BF222" t="str">
        <f>HYPERLINK("http://dx.doi.org/10.1029/2021JC017662","http://dx.doi.org/10.1029/2021JC017662")</f>
        <v>http://dx.doi.org/10.1029/2021JC017662</v>
      </c>
      <c r="BG222" t="s">
        <v>74</v>
      </c>
      <c r="BH222" t="s">
        <v>74</v>
      </c>
      <c r="BI222">
        <v>19</v>
      </c>
      <c r="BJ222" t="s">
        <v>264</v>
      </c>
      <c r="BK222" t="s">
        <v>101</v>
      </c>
      <c r="BL222" t="s">
        <v>264</v>
      </c>
      <c r="BM222" t="s">
        <v>4701</v>
      </c>
      <c r="BN222" t="s">
        <v>74</v>
      </c>
      <c r="BO222" t="s">
        <v>343</v>
      </c>
      <c r="BP222" t="s">
        <v>74</v>
      </c>
      <c r="BQ222" t="s">
        <v>74</v>
      </c>
      <c r="BR222" t="s">
        <v>105</v>
      </c>
      <c r="BS222" t="s">
        <v>4755</v>
      </c>
      <c r="BT222" t="str">
        <f>HYPERLINK("https%3A%2F%2Fwww.webofscience.com%2Fwos%2Fwoscc%2Ffull-record%2FWOS:000723095600022","View Full Record in Web of Science")</f>
        <v>View Full Record in Web of Science</v>
      </c>
    </row>
    <row r="223" spans="1:72" x14ac:dyDescent="0.15">
      <c r="A223" t="s">
        <v>72</v>
      </c>
      <c r="B223" t="s">
        <v>4756</v>
      </c>
      <c r="C223" t="s">
        <v>74</v>
      </c>
      <c r="D223" t="s">
        <v>74</v>
      </c>
      <c r="E223" t="s">
        <v>74</v>
      </c>
      <c r="F223" t="s">
        <v>4757</v>
      </c>
      <c r="G223" t="s">
        <v>74</v>
      </c>
      <c r="H223" t="s">
        <v>74</v>
      </c>
      <c r="I223" t="s">
        <v>4758</v>
      </c>
      <c r="J223" t="s">
        <v>4759</v>
      </c>
      <c r="K223" t="s">
        <v>74</v>
      </c>
      <c r="L223" t="s">
        <v>74</v>
      </c>
      <c r="M223" t="s">
        <v>78</v>
      </c>
      <c r="N223" t="s">
        <v>79</v>
      </c>
      <c r="O223" t="s">
        <v>74</v>
      </c>
      <c r="P223" t="s">
        <v>74</v>
      </c>
      <c r="Q223" t="s">
        <v>74</v>
      </c>
      <c r="R223" t="s">
        <v>74</v>
      </c>
      <c r="S223" t="s">
        <v>74</v>
      </c>
      <c r="T223" t="s">
        <v>4760</v>
      </c>
      <c r="U223" t="s">
        <v>4761</v>
      </c>
      <c r="V223" t="s">
        <v>4762</v>
      </c>
      <c r="W223" t="s">
        <v>4763</v>
      </c>
      <c r="X223" t="s">
        <v>4764</v>
      </c>
      <c r="Y223" t="s">
        <v>4765</v>
      </c>
      <c r="Z223" t="s">
        <v>4766</v>
      </c>
      <c r="AA223" t="s">
        <v>4767</v>
      </c>
      <c r="AB223" t="s">
        <v>4768</v>
      </c>
      <c r="AC223" t="s">
        <v>4769</v>
      </c>
      <c r="AD223" t="s">
        <v>4769</v>
      </c>
      <c r="AE223" t="s">
        <v>4770</v>
      </c>
      <c r="AF223" t="s">
        <v>74</v>
      </c>
      <c r="AG223">
        <v>109</v>
      </c>
      <c r="AH223">
        <v>19</v>
      </c>
      <c r="AI223">
        <v>19</v>
      </c>
      <c r="AJ223">
        <v>0</v>
      </c>
      <c r="AK223">
        <v>3</v>
      </c>
      <c r="AL223" t="s">
        <v>760</v>
      </c>
      <c r="AM223" t="s">
        <v>438</v>
      </c>
      <c r="AN223" t="s">
        <v>761</v>
      </c>
      <c r="AO223" t="s">
        <v>4771</v>
      </c>
      <c r="AP223" t="s">
        <v>4772</v>
      </c>
      <c r="AQ223" t="s">
        <v>74</v>
      </c>
      <c r="AR223" t="s">
        <v>4773</v>
      </c>
      <c r="AS223" t="s">
        <v>4774</v>
      </c>
      <c r="AT223" t="s">
        <v>310</v>
      </c>
      <c r="AU223">
        <v>2021</v>
      </c>
      <c r="AV223">
        <v>126</v>
      </c>
      <c r="AW223">
        <v>11</v>
      </c>
      <c r="AX223" t="s">
        <v>74</v>
      </c>
      <c r="AY223" t="s">
        <v>74</v>
      </c>
      <c r="AZ223" t="s">
        <v>74</v>
      </c>
      <c r="BA223" t="s">
        <v>74</v>
      </c>
      <c r="BB223" t="s">
        <v>74</v>
      </c>
      <c r="BC223" t="s">
        <v>74</v>
      </c>
      <c r="BD223" t="s">
        <v>4775</v>
      </c>
      <c r="BE223" t="s">
        <v>4776</v>
      </c>
      <c r="BF223" t="str">
        <f>HYPERLINK("http://dx.doi.org/10.1029/2021JB022622","http://dx.doi.org/10.1029/2021JB022622")</f>
        <v>http://dx.doi.org/10.1029/2021JB022622</v>
      </c>
      <c r="BG223" t="s">
        <v>74</v>
      </c>
      <c r="BH223" t="s">
        <v>74</v>
      </c>
      <c r="BI223">
        <v>26</v>
      </c>
      <c r="BJ223" t="s">
        <v>365</v>
      </c>
      <c r="BK223" t="s">
        <v>101</v>
      </c>
      <c r="BL223" t="s">
        <v>365</v>
      </c>
      <c r="BM223" t="s">
        <v>4777</v>
      </c>
      <c r="BN223" t="s">
        <v>74</v>
      </c>
      <c r="BO223" t="s">
        <v>419</v>
      </c>
      <c r="BP223" t="s">
        <v>74</v>
      </c>
      <c r="BQ223" t="s">
        <v>74</v>
      </c>
      <c r="BR223" t="s">
        <v>105</v>
      </c>
      <c r="BS223" t="s">
        <v>4778</v>
      </c>
      <c r="BT223" t="str">
        <f>HYPERLINK("https%3A%2F%2Fwww.webofscience.com%2Fwos%2Fwoscc%2Ffull-record%2FWOS:000723102600005","View Full Record in Web of Science")</f>
        <v>View Full Record in Web of Science</v>
      </c>
    </row>
    <row r="224" spans="1:72" x14ac:dyDescent="0.15">
      <c r="A224" t="s">
        <v>72</v>
      </c>
      <c r="B224" t="s">
        <v>4779</v>
      </c>
      <c r="C224" t="s">
        <v>74</v>
      </c>
      <c r="D224" t="s">
        <v>74</v>
      </c>
      <c r="E224" t="s">
        <v>74</v>
      </c>
      <c r="F224" t="s">
        <v>4780</v>
      </c>
      <c r="G224" t="s">
        <v>74</v>
      </c>
      <c r="H224" t="s">
        <v>74</v>
      </c>
      <c r="I224" t="s">
        <v>4781</v>
      </c>
      <c r="J224" t="s">
        <v>4782</v>
      </c>
      <c r="K224" t="s">
        <v>74</v>
      </c>
      <c r="L224" t="s">
        <v>74</v>
      </c>
      <c r="M224" t="s">
        <v>78</v>
      </c>
      <c r="N224" t="s">
        <v>79</v>
      </c>
      <c r="O224" t="s">
        <v>74</v>
      </c>
      <c r="P224" t="s">
        <v>74</v>
      </c>
      <c r="Q224" t="s">
        <v>74</v>
      </c>
      <c r="R224" t="s">
        <v>74</v>
      </c>
      <c r="S224" t="s">
        <v>74</v>
      </c>
      <c r="T224" t="s">
        <v>4783</v>
      </c>
      <c r="U224" t="s">
        <v>4784</v>
      </c>
      <c r="V224" t="s">
        <v>4785</v>
      </c>
      <c r="W224" t="s">
        <v>4786</v>
      </c>
      <c r="X224" t="s">
        <v>1768</v>
      </c>
      <c r="Y224" t="s">
        <v>4787</v>
      </c>
      <c r="Z224" t="s">
        <v>4788</v>
      </c>
      <c r="AA224" t="s">
        <v>4789</v>
      </c>
      <c r="AB224" t="s">
        <v>4790</v>
      </c>
      <c r="AC224" t="s">
        <v>4791</v>
      </c>
      <c r="AD224" t="s">
        <v>4792</v>
      </c>
      <c r="AE224" t="s">
        <v>4793</v>
      </c>
      <c r="AF224" t="s">
        <v>74</v>
      </c>
      <c r="AG224">
        <v>50</v>
      </c>
      <c r="AH224">
        <v>3</v>
      </c>
      <c r="AI224">
        <v>3</v>
      </c>
      <c r="AJ224">
        <v>2</v>
      </c>
      <c r="AK224">
        <v>10</v>
      </c>
      <c r="AL224" t="s">
        <v>4794</v>
      </c>
      <c r="AM224" t="s">
        <v>333</v>
      </c>
      <c r="AN224" t="s">
        <v>4795</v>
      </c>
      <c r="AO224" t="s">
        <v>4796</v>
      </c>
      <c r="AP224" t="s">
        <v>4797</v>
      </c>
      <c r="AQ224" t="s">
        <v>74</v>
      </c>
      <c r="AR224" t="s">
        <v>4798</v>
      </c>
      <c r="AS224" t="s">
        <v>4799</v>
      </c>
      <c r="AT224" t="s">
        <v>310</v>
      </c>
      <c r="AU224">
        <v>2021</v>
      </c>
      <c r="AV224">
        <v>167</v>
      </c>
      <c r="AW224">
        <v>11</v>
      </c>
      <c r="AX224" t="s">
        <v>74</v>
      </c>
      <c r="AY224" t="s">
        <v>74</v>
      </c>
      <c r="AZ224" t="s">
        <v>74</v>
      </c>
      <c r="BA224" t="s">
        <v>74</v>
      </c>
      <c r="BB224" t="s">
        <v>74</v>
      </c>
      <c r="BC224" t="s">
        <v>74</v>
      </c>
      <c r="BD224">
        <v>1113</v>
      </c>
      <c r="BE224" t="s">
        <v>4800</v>
      </c>
      <c r="BF224" t="str">
        <f>HYPERLINK("http://dx.doi.org/10.1099/mic.0.001113","http://dx.doi.org/10.1099/mic.0.001113")</f>
        <v>http://dx.doi.org/10.1099/mic.0.001113</v>
      </c>
      <c r="BG224" t="s">
        <v>74</v>
      </c>
      <c r="BH224" t="s">
        <v>74</v>
      </c>
      <c r="BI224">
        <v>12</v>
      </c>
      <c r="BJ224" t="s">
        <v>975</v>
      </c>
      <c r="BK224" t="s">
        <v>101</v>
      </c>
      <c r="BL224" t="s">
        <v>975</v>
      </c>
      <c r="BM224" t="s">
        <v>4801</v>
      </c>
      <c r="BN224">
        <v>34846286</v>
      </c>
      <c r="BO224" t="s">
        <v>582</v>
      </c>
      <c r="BP224" t="s">
        <v>74</v>
      </c>
      <c r="BQ224" t="s">
        <v>74</v>
      </c>
      <c r="BR224" t="s">
        <v>105</v>
      </c>
      <c r="BS224" t="s">
        <v>4802</v>
      </c>
      <c r="BT224" t="str">
        <f>HYPERLINK("https%3A%2F%2Fwww.webofscience.com%2Fwos%2Fwoscc%2Ffull-record%2FWOS:000726576600003","View Full Record in Web of Science")</f>
        <v>View Full Record in Web of Science</v>
      </c>
    </row>
    <row r="225" spans="1:72" x14ac:dyDescent="0.15">
      <c r="A225" t="s">
        <v>72</v>
      </c>
      <c r="B225" t="s">
        <v>4803</v>
      </c>
      <c r="C225" t="s">
        <v>74</v>
      </c>
      <c r="D225" t="s">
        <v>74</v>
      </c>
      <c r="E225" t="s">
        <v>74</v>
      </c>
      <c r="F225" t="s">
        <v>4804</v>
      </c>
      <c r="G225" t="s">
        <v>74</v>
      </c>
      <c r="H225" t="s">
        <v>74</v>
      </c>
      <c r="I225" t="s">
        <v>4805</v>
      </c>
      <c r="J225" t="s">
        <v>4806</v>
      </c>
      <c r="K225" t="s">
        <v>74</v>
      </c>
      <c r="L225" t="s">
        <v>74</v>
      </c>
      <c r="M225" t="s">
        <v>78</v>
      </c>
      <c r="N225" t="s">
        <v>373</v>
      </c>
      <c r="O225" t="s">
        <v>74</v>
      </c>
      <c r="P225" t="s">
        <v>74</v>
      </c>
      <c r="Q225" t="s">
        <v>74</v>
      </c>
      <c r="R225" t="s">
        <v>74</v>
      </c>
      <c r="S225" t="s">
        <v>74</v>
      </c>
      <c r="T225" t="s">
        <v>4807</v>
      </c>
      <c r="U225" t="s">
        <v>4808</v>
      </c>
      <c r="V225" t="s">
        <v>4809</v>
      </c>
      <c r="W225" t="s">
        <v>4810</v>
      </c>
      <c r="X225" t="s">
        <v>4811</v>
      </c>
      <c r="Y225" t="s">
        <v>4812</v>
      </c>
      <c r="Z225" t="s">
        <v>4813</v>
      </c>
      <c r="AA225" t="s">
        <v>74</v>
      </c>
      <c r="AB225" t="s">
        <v>4814</v>
      </c>
      <c r="AC225" t="s">
        <v>4815</v>
      </c>
      <c r="AD225" t="s">
        <v>4816</v>
      </c>
      <c r="AE225" t="s">
        <v>4817</v>
      </c>
      <c r="AF225" t="s">
        <v>74</v>
      </c>
      <c r="AG225">
        <v>106</v>
      </c>
      <c r="AH225">
        <v>9</v>
      </c>
      <c r="AI225">
        <v>10</v>
      </c>
      <c r="AJ225">
        <v>8</v>
      </c>
      <c r="AK225">
        <v>19</v>
      </c>
      <c r="AL225" t="s">
        <v>4192</v>
      </c>
      <c r="AM225" t="s">
        <v>4193</v>
      </c>
      <c r="AN225" t="s">
        <v>4194</v>
      </c>
      <c r="AO225" t="s">
        <v>74</v>
      </c>
      <c r="AP225" t="s">
        <v>4818</v>
      </c>
      <c r="AQ225" t="s">
        <v>74</v>
      </c>
      <c r="AR225" t="s">
        <v>4819</v>
      </c>
      <c r="AS225" t="s">
        <v>4820</v>
      </c>
      <c r="AT225" t="s">
        <v>310</v>
      </c>
      <c r="AU225">
        <v>2021</v>
      </c>
      <c r="AV225">
        <v>13</v>
      </c>
      <c r="AW225">
        <v>22</v>
      </c>
      <c r="AX225" t="s">
        <v>74</v>
      </c>
      <c r="AY225" t="s">
        <v>74</v>
      </c>
      <c r="AZ225" t="s">
        <v>74</v>
      </c>
      <c r="BA225" t="s">
        <v>74</v>
      </c>
      <c r="BB225" t="s">
        <v>74</v>
      </c>
      <c r="BC225" t="s">
        <v>74</v>
      </c>
      <c r="BD225">
        <v>3220</v>
      </c>
      <c r="BE225" t="s">
        <v>4821</v>
      </c>
      <c r="BF225" t="str">
        <f>HYPERLINK("http://dx.doi.org/10.3390/w13223220","http://dx.doi.org/10.3390/w13223220")</f>
        <v>http://dx.doi.org/10.3390/w13223220</v>
      </c>
      <c r="BG225" t="s">
        <v>74</v>
      </c>
      <c r="BH225" t="s">
        <v>74</v>
      </c>
      <c r="BI225">
        <v>14</v>
      </c>
      <c r="BJ225" t="s">
        <v>4822</v>
      </c>
      <c r="BK225" t="s">
        <v>101</v>
      </c>
      <c r="BL225" t="s">
        <v>4823</v>
      </c>
      <c r="BM225" t="s">
        <v>4824</v>
      </c>
      <c r="BN225" t="s">
        <v>74</v>
      </c>
      <c r="BO225" t="s">
        <v>1094</v>
      </c>
      <c r="BP225" t="s">
        <v>74</v>
      </c>
      <c r="BQ225" t="s">
        <v>74</v>
      </c>
      <c r="BR225" t="s">
        <v>105</v>
      </c>
      <c r="BS225" t="s">
        <v>4825</v>
      </c>
      <c r="BT225" t="str">
        <f>HYPERLINK("https%3A%2F%2Fwww.webofscience.com%2Fwos%2Fwoscc%2Ffull-record%2FWOS:000726908300001","View Full Record in Web of Science")</f>
        <v>View Full Record in Web of Science</v>
      </c>
    </row>
    <row r="226" spans="1:72" x14ac:dyDescent="0.15">
      <c r="A226" t="s">
        <v>72</v>
      </c>
      <c r="B226" t="s">
        <v>4826</v>
      </c>
      <c r="C226" t="s">
        <v>74</v>
      </c>
      <c r="D226" t="s">
        <v>74</v>
      </c>
      <c r="E226" t="s">
        <v>74</v>
      </c>
      <c r="F226" t="s">
        <v>4827</v>
      </c>
      <c r="G226" t="s">
        <v>74</v>
      </c>
      <c r="H226" t="s">
        <v>74</v>
      </c>
      <c r="I226" t="s">
        <v>4828</v>
      </c>
      <c r="J226" t="s">
        <v>4829</v>
      </c>
      <c r="K226" t="s">
        <v>74</v>
      </c>
      <c r="L226" t="s">
        <v>74</v>
      </c>
      <c r="M226" t="s">
        <v>78</v>
      </c>
      <c r="N226" t="s">
        <v>79</v>
      </c>
      <c r="O226" t="s">
        <v>74</v>
      </c>
      <c r="P226" t="s">
        <v>74</v>
      </c>
      <c r="Q226" t="s">
        <v>74</v>
      </c>
      <c r="R226" t="s">
        <v>74</v>
      </c>
      <c r="S226" t="s">
        <v>74</v>
      </c>
      <c r="T226" t="s">
        <v>4830</v>
      </c>
      <c r="U226" t="s">
        <v>4831</v>
      </c>
      <c r="V226" t="s">
        <v>4832</v>
      </c>
      <c r="W226" t="s">
        <v>4833</v>
      </c>
      <c r="X226" t="s">
        <v>4834</v>
      </c>
      <c r="Y226" t="s">
        <v>4835</v>
      </c>
      <c r="Z226" t="s">
        <v>4836</v>
      </c>
      <c r="AA226" t="s">
        <v>74</v>
      </c>
      <c r="AB226" t="s">
        <v>4837</v>
      </c>
      <c r="AC226" t="s">
        <v>4838</v>
      </c>
      <c r="AD226" t="s">
        <v>4839</v>
      </c>
      <c r="AE226" t="s">
        <v>4840</v>
      </c>
      <c r="AF226" t="s">
        <v>74</v>
      </c>
      <c r="AG226">
        <v>27</v>
      </c>
      <c r="AH226">
        <v>7</v>
      </c>
      <c r="AI226">
        <v>7</v>
      </c>
      <c r="AJ226">
        <v>2</v>
      </c>
      <c r="AK226">
        <v>15</v>
      </c>
      <c r="AL226" t="s">
        <v>4192</v>
      </c>
      <c r="AM226" t="s">
        <v>4193</v>
      </c>
      <c r="AN226" t="s">
        <v>4194</v>
      </c>
      <c r="AO226" t="s">
        <v>4841</v>
      </c>
      <c r="AP226" t="s">
        <v>74</v>
      </c>
      <c r="AQ226" t="s">
        <v>74</v>
      </c>
      <c r="AR226" t="s">
        <v>4842</v>
      </c>
      <c r="AS226" t="s">
        <v>4843</v>
      </c>
      <c r="AT226" t="s">
        <v>310</v>
      </c>
      <c r="AU226">
        <v>2021</v>
      </c>
      <c r="AV226">
        <v>11</v>
      </c>
      <c r="AW226">
        <v>11</v>
      </c>
      <c r="AX226" t="s">
        <v>74</v>
      </c>
      <c r="AY226" t="s">
        <v>74</v>
      </c>
      <c r="AZ226" t="s">
        <v>74</v>
      </c>
      <c r="BA226" t="s">
        <v>74</v>
      </c>
      <c r="BB226" t="s">
        <v>74</v>
      </c>
      <c r="BC226" t="s">
        <v>74</v>
      </c>
      <c r="BD226">
        <v>3186</v>
      </c>
      <c r="BE226" t="s">
        <v>4844</v>
      </c>
      <c r="BF226" t="str">
        <f>HYPERLINK("http://dx.doi.org/10.3390/ani11113186","http://dx.doi.org/10.3390/ani11113186")</f>
        <v>http://dx.doi.org/10.3390/ani11113186</v>
      </c>
      <c r="BG226" t="s">
        <v>74</v>
      </c>
      <c r="BH226" t="s">
        <v>74</v>
      </c>
      <c r="BI226">
        <v>8</v>
      </c>
      <c r="BJ226" t="s">
        <v>4845</v>
      </c>
      <c r="BK226" t="s">
        <v>101</v>
      </c>
      <c r="BL226" t="s">
        <v>4846</v>
      </c>
      <c r="BM226" t="s">
        <v>4847</v>
      </c>
      <c r="BN226">
        <v>34827918</v>
      </c>
      <c r="BO226" t="s">
        <v>394</v>
      </c>
      <c r="BP226" t="s">
        <v>74</v>
      </c>
      <c r="BQ226" t="s">
        <v>74</v>
      </c>
      <c r="BR226" t="s">
        <v>105</v>
      </c>
      <c r="BS226" t="s">
        <v>4848</v>
      </c>
      <c r="BT226" t="str">
        <f>HYPERLINK("https%3A%2F%2Fwww.webofscience.com%2Fwos%2Fwoscc%2Ffull-record%2FWOS:000724591700001","View Full Record in Web of Science")</f>
        <v>View Full Record in Web of Science</v>
      </c>
    </row>
    <row r="227" spans="1:72" x14ac:dyDescent="0.15">
      <c r="A227" t="s">
        <v>72</v>
      </c>
      <c r="B227" t="s">
        <v>4849</v>
      </c>
      <c r="C227" t="s">
        <v>74</v>
      </c>
      <c r="D227" t="s">
        <v>74</v>
      </c>
      <c r="E227" t="s">
        <v>74</v>
      </c>
      <c r="F227" t="s">
        <v>4850</v>
      </c>
      <c r="G227" t="s">
        <v>74</v>
      </c>
      <c r="H227" t="s">
        <v>74</v>
      </c>
      <c r="I227" t="s">
        <v>4851</v>
      </c>
      <c r="J227" t="s">
        <v>4852</v>
      </c>
      <c r="K227" t="s">
        <v>74</v>
      </c>
      <c r="L227" t="s">
        <v>74</v>
      </c>
      <c r="M227" t="s">
        <v>78</v>
      </c>
      <c r="N227" t="s">
        <v>79</v>
      </c>
      <c r="O227" t="s">
        <v>74</v>
      </c>
      <c r="P227" t="s">
        <v>74</v>
      </c>
      <c r="Q227" t="s">
        <v>74</v>
      </c>
      <c r="R227" t="s">
        <v>74</v>
      </c>
      <c r="S227" t="s">
        <v>74</v>
      </c>
      <c r="T227" t="s">
        <v>4853</v>
      </c>
      <c r="U227" t="s">
        <v>4854</v>
      </c>
      <c r="V227" t="s">
        <v>4855</v>
      </c>
      <c r="W227" t="s">
        <v>4856</v>
      </c>
      <c r="X227" t="s">
        <v>4857</v>
      </c>
      <c r="Y227" t="s">
        <v>4858</v>
      </c>
      <c r="Z227" t="s">
        <v>4859</v>
      </c>
      <c r="AA227" t="s">
        <v>4860</v>
      </c>
      <c r="AB227" t="s">
        <v>4861</v>
      </c>
      <c r="AC227" t="s">
        <v>4862</v>
      </c>
      <c r="AD227" t="s">
        <v>4863</v>
      </c>
      <c r="AE227" t="s">
        <v>4864</v>
      </c>
      <c r="AF227" t="s">
        <v>74</v>
      </c>
      <c r="AG227">
        <v>39</v>
      </c>
      <c r="AH227">
        <v>11</v>
      </c>
      <c r="AI227">
        <v>11</v>
      </c>
      <c r="AJ227">
        <v>1</v>
      </c>
      <c r="AK227">
        <v>20</v>
      </c>
      <c r="AL227" t="s">
        <v>4192</v>
      </c>
      <c r="AM227" t="s">
        <v>4193</v>
      </c>
      <c r="AN227" t="s">
        <v>4194</v>
      </c>
      <c r="AO227" t="s">
        <v>74</v>
      </c>
      <c r="AP227" t="s">
        <v>4865</v>
      </c>
      <c r="AQ227" t="s">
        <v>74</v>
      </c>
      <c r="AR227" t="s">
        <v>4852</v>
      </c>
      <c r="AS227" t="s">
        <v>4866</v>
      </c>
      <c r="AT227" t="s">
        <v>310</v>
      </c>
      <c r="AU227">
        <v>2021</v>
      </c>
      <c r="AV227">
        <v>11</v>
      </c>
      <c r="AW227">
        <v>11</v>
      </c>
      <c r="AX227" t="s">
        <v>74</v>
      </c>
      <c r="AY227" t="s">
        <v>74</v>
      </c>
      <c r="AZ227" t="s">
        <v>74</v>
      </c>
      <c r="BA227" t="s">
        <v>74</v>
      </c>
      <c r="BB227" t="s">
        <v>74</v>
      </c>
      <c r="BC227" t="s">
        <v>74</v>
      </c>
      <c r="BD227">
        <v>1552</v>
      </c>
      <c r="BE227" t="s">
        <v>4867</v>
      </c>
      <c r="BF227" t="str">
        <f>HYPERLINK("http://dx.doi.org/10.3390/biom11111552","http://dx.doi.org/10.3390/biom11111552")</f>
        <v>http://dx.doi.org/10.3390/biom11111552</v>
      </c>
      <c r="BG227" t="s">
        <v>74</v>
      </c>
      <c r="BH227" t="s">
        <v>74</v>
      </c>
      <c r="BI227">
        <v>14</v>
      </c>
      <c r="BJ227" t="s">
        <v>4007</v>
      </c>
      <c r="BK227" t="s">
        <v>101</v>
      </c>
      <c r="BL227" t="s">
        <v>4007</v>
      </c>
      <c r="BM227" t="s">
        <v>4868</v>
      </c>
      <c r="BN227">
        <v>34827549</v>
      </c>
      <c r="BO227" t="s">
        <v>394</v>
      </c>
      <c r="BP227" t="s">
        <v>74</v>
      </c>
      <c r="BQ227" t="s">
        <v>74</v>
      </c>
      <c r="BR227" t="s">
        <v>105</v>
      </c>
      <c r="BS227" t="s">
        <v>4869</v>
      </c>
      <c r="BT227" t="str">
        <f>HYPERLINK("https%3A%2F%2Fwww.webofscience.com%2Fwos%2Fwoscc%2Ffull-record%2FWOS:000725540700001","View Full Record in Web of Science")</f>
        <v>View Full Record in Web of Science</v>
      </c>
    </row>
    <row r="228" spans="1:72" x14ac:dyDescent="0.15">
      <c r="A228" t="s">
        <v>72</v>
      </c>
      <c r="B228" t="s">
        <v>4870</v>
      </c>
      <c r="C228" t="s">
        <v>74</v>
      </c>
      <c r="D228" t="s">
        <v>74</v>
      </c>
      <c r="E228" t="s">
        <v>74</v>
      </c>
      <c r="F228" t="s">
        <v>4871</v>
      </c>
      <c r="G228" t="s">
        <v>74</v>
      </c>
      <c r="H228" t="s">
        <v>74</v>
      </c>
      <c r="I228" t="s">
        <v>4872</v>
      </c>
      <c r="J228" t="s">
        <v>4179</v>
      </c>
      <c r="K228" t="s">
        <v>74</v>
      </c>
      <c r="L228" t="s">
        <v>74</v>
      </c>
      <c r="M228" t="s">
        <v>78</v>
      </c>
      <c r="N228" t="s">
        <v>79</v>
      </c>
      <c r="O228" t="s">
        <v>74</v>
      </c>
      <c r="P228" t="s">
        <v>74</v>
      </c>
      <c r="Q228" t="s">
        <v>74</v>
      </c>
      <c r="R228" t="s">
        <v>74</v>
      </c>
      <c r="S228" t="s">
        <v>74</v>
      </c>
      <c r="T228" t="s">
        <v>4873</v>
      </c>
      <c r="U228" t="s">
        <v>4874</v>
      </c>
      <c r="V228" t="s">
        <v>4875</v>
      </c>
      <c r="W228" t="s">
        <v>4876</v>
      </c>
      <c r="X228" t="s">
        <v>4877</v>
      </c>
      <c r="Y228" t="s">
        <v>4878</v>
      </c>
      <c r="Z228" t="s">
        <v>4879</v>
      </c>
      <c r="AA228" t="s">
        <v>4880</v>
      </c>
      <c r="AB228" t="s">
        <v>4881</v>
      </c>
      <c r="AC228" t="s">
        <v>74</v>
      </c>
      <c r="AD228" t="s">
        <v>74</v>
      </c>
      <c r="AE228" t="s">
        <v>74</v>
      </c>
      <c r="AF228" t="s">
        <v>74</v>
      </c>
      <c r="AG228">
        <v>39</v>
      </c>
      <c r="AH228">
        <v>0</v>
      </c>
      <c r="AI228">
        <v>0</v>
      </c>
      <c r="AJ228">
        <v>0</v>
      </c>
      <c r="AK228">
        <v>9</v>
      </c>
      <c r="AL228" t="s">
        <v>4192</v>
      </c>
      <c r="AM228" t="s">
        <v>4193</v>
      </c>
      <c r="AN228" t="s">
        <v>4194</v>
      </c>
      <c r="AO228" t="s">
        <v>74</v>
      </c>
      <c r="AP228" t="s">
        <v>4195</v>
      </c>
      <c r="AQ228" t="s">
        <v>74</v>
      </c>
      <c r="AR228" t="s">
        <v>4179</v>
      </c>
      <c r="AS228" t="s">
        <v>4196</v>
      </c>
      <c r="AT228" t="s">
        <v>310</v>
      </c>
      <c r="AU228">
        <v>2021</v>
      </c>
      <c r="AV228">
        <v>13</v>
      </c>
      <c r="AW228">
        <v>11</v>
      </c>
      <c r="AX228" t="s">
        <v>74</v>
      </c>
      <c r="AY228" t="s">
        <v>74</v>
      </c>
      <c r="AZ228" t="s">
        <v>74</v>
      </c>
      <c r="BA228" t="s">
        <v>74</v>
      </c>
      <c r="BB228" t="s">
        <v>74</v>
      </c>
      <c r="BC228" t="s">
        <v>74</v>
      </c>
      <c r="BD228">
        <v>586</v>
      </c>
      <c r="BE228" t="s">
        <v>4882</v>
      </c>
      <c r="BF228" t="str">
        <f>HYPERLINK("http://dx.doi.org/10.3390/d13110586","http://dx.doi.org/10.3390/d13110586")</f>
        <v>http://dx.doi.org/10.3390/d13110586</v>
      </c>
      <c r="BG228" t="s">
        <v>74</v>
      </c>
      <c r="BH228" t="s">
        <v>74</v>
      </c>
      <c r="BI228">
        <v>14</v>
      </c>
      <c r="BJ228" t="s">
        <v>605</v>
      </c>
      <c r="BK228" t="s">
        <v>101</v>
      </c>
      <c r="BL228" t="s">
        <v>606</v>
      </c>
      <c r="BM228" t="s">
        <v>4883</v>
      </c>
      <c r="BN228" t="s">
        <v>74</v>
      </c>
      <c r="BO228" t="s">
        <v>394</v>
      </c>
      <c r="BP228" t="s">
        <v>74</v>
      </c>
      <c r="BQ228" t="s">
        <v>74</v>
      </c>
      <c r="BR228" t="s">
        <v>105</v>
      </c>
      <c r="BS228" t="s">
        <v>4884</v>
      </c>
      <c r="BT228" t="str">
        <f>HYPERLINK("https%3A%2F%2Fwww.webofscience.com%2Fwos%2Fwoscc%2Ffull-record%2FWOS:000725787400001","View Full Record in Web of Science")</f>
        <v>View Full Record in Web of Science</v>
      </c>
    </row>
    <row r="229" spans="1:72" x14ac:dyDescent="0.15">
      <c r="A229" t="s">
        <v>72</v>
      </c>
      <c r="B229" t="s">
        <v>4885</v>
      </c>
      <c r="C229" t="s">
        <v>74</v>
      </c>
      <c r="D229" t="s">
        <v>74</v>
      </c>
      <c r="E229" t="s">
        <v>74</v>
      </c>
      <c r="F229" t="s">
        <v>4886</v>
      </c>
      <c r="G229" t="s">
        <v>74</v>
      </c>
      <c r="H229" t="s">
        <v>74</v>
      </c>
      <c r="I229" t="s">
        <v>4887</v>
      </c>
      <c r="J229" t="s">
        <v>4663</v>
      </c>
      <c r="K229" t="s">
        <v>74</v>
      </c>
      <c r="L229" t="s">
        <v>74</v>
      </c>
      <c r="M229" t="s">
        <v>78</v>
      </c>
      <c r="N229" t="s">
        <v>79</v>
      </c>
      <c r="O229" t="s">
        <v>74</v>
      </c>
      <c r="P229" t="s">
        <v>74</v>
      </c>
      <c r="Q229" t="s">
        <v>74</v>
      </c>
      <c r="R229" t="s">
        <v>74</v>
      </c>
      <c r="S229" t="s">
        <v>74</v>
      </c>
      <c r="T229" t="s">
        <v>4888</v>
      </c>
      <c r="U229" t="s">
        <v>4889</v>
      </c>
      <c r="V229" t="s">
        <v>4890</v>
      </c>
      <c r="W229" t="s">
        <v>4891</v>
      </c>
      <c r="X229" t="s">
        <v>4892</v>
      </c>
      <c r="Y229" t="s">
        <v>4893</v>
      </c>
      <c r="Z229" t="s">
        <v>4894</v>
      </c>
      <c r="AA229" t="s">
        <v>4895</v>
      </c>
      <c r="AB229" t="s">
        <v>4896</v>
      </c>
      <c r="AC229" t="s">
        <v>4897</v>
      </c>
      <c r="AD229" t="s">
        <v>4898</v>
      </c>
      <c r="AE229" t="s">
        <v>4899</v>
      </c>
      <c r="AF229" t="s">
        <v>74</v>
      </c>
      <c r="AG229">
        <v>55</v>
      </c>
      <c r="AH229">
        <v>3</v>
      </c>
      <c r="AI229">
        <v>4</v>
      </c>
      <c r="AJ229">
        <v>7</v>
      </c>
      <c r="AK229">
        <v>42</v>
      </c>
      <c r="AL229" t="s">
        <v>4192</v>
      </c>
      <c r="AM229" t="s">
        <v>4193</v>
      </c>
      <c r="AN229" t="s">
        <v>4194</v>
      </c>
      <c r="AO229" t="s">
        <v>74</v>
      </c>
      <c r="AP229" t="s">
        <v>4674</v>
      </c>
      <c r="AQ229" t="s">
        <v>74</v>
      </c>
      <c r="AR229" t="s">
        <v>4663</v>
      </c>
      <c r="AS229" t="s">
        <v>4675</v>
      </c>
      <c r="AT229" t="s">
        <v>310</v>
      </c>
      <c r="AU229">
        <v>2021</v>
      </c>
      <c r="AV229">
        <v>10</v>
      </c>
      <c r="AW229">
        <v>11</v>
      </c>
      <c r="AX229" t="s">
        <v>74</v>
      </c>
      <c r="AY229" t="s">
        <v>74</v>
      </c>
      <c r="AZ229" t="s">
        <v>74</v>
      </c>
      <c r="BA229" t="s">
        <v>74</v>
      </c>
      <c r="BB229" t="s">
        <v>74</v>
      </c>
      <c r="BC229" t="s">
        <v>74</v>
      </c>
      <c r="BD229">
        <v>2887</v>
      </c>
      <c r="BE229" t="s">
        <v>4900</v>
      </c>
      <c r="BF229" t="str">
        <f>HYPERLINK("http://dx.doi.org/10.3390/foods10112887","http://dx.doi.org/10.3390/foods10112887")</f>
        <v>http://dx.doi.org/10.3390/foods10112887</v>
      </c>
      <c r="BG229" t="s">
        <v>74</v>
      </c>
      <c r="BH229" t="s">
        <v>74</v>
      </c>
      <c r="BI229">
        <v>15</v>
      </c>
      <c r="BJ229" t="s">
        <v>1206</v>
      </c>
      <c r="BK229" t="s">
        <v>101</v>
      </c>
      <c r="BL229" t="s">
        <v>1206</v>
      </c>
      <c r="BM229" t="s">
        <v>4901</v>
      </c>
      <c r="BN229">
        <v>34829168</v>
      </c>
      <c r="BO229" t="s">
        <v>1094</v>
      </c>
      <c r="BP229" t="s">
        <v>74</v>
      </c>
      <c r="BQ229" t="s">
        <v>74</v>
      </c>
      <c r="BR229" t="s">
        <v>105</v>
      </c>
      <c r="BS229" t="s">
        <v>4902</v>
      </c>
      <c r="BT229" t="str">
        <f>HYPERLINK("https%3A%2F%2Fwww.webofscience.com%2Fwos%2Fwoscc%2Ffull-record%2FWOS:000725295100001","View Full Record in Web of Science")</f>
        <v>View Full Record in Web of Science</v>
      </c>
    </row>
    <row r="230" spans="1:72" x14ac:dyDescent="0.15">
      <c r="A230" t="s">
        <v>72</v>
      </c>
      <c r="B230" t="s">
        <v>4903</v>
      </c>
      <c r="C230" t="s">
        <v>74</v>
      </c>
      <c r="D230" t="s">
        <v>74</v>
      </c>
      <c r="E230" t="s">
        <v>74</v>
      </c>
      <c r="F230" t="s">
        <v>4904</v>
      </c>
      <c r="G230" t="s">
        <v>74</v>
      </c>
      <c r="H230" t="s">
        <v>74</v>
      </c>
      <c r="I230" t="s">
        <v>4905</v>
      </c>
      <c r="J230" t="s">
        <v>4663</v>
      </c>
      <c r="K230" t="s">
        <v>74</v>
      </c>
      <c r="L230" t="s">
        <v>74</v>
      </c>
      <c r="M230" t="s">
        <v>78</v>
      </c>
      <c r="N230" t="s">
        <v>79</v>
      </c>
      <c r="O230" t="s">
        <v>74</v>
      </c>
      <c r="P230" t="s">
        <v>74</v>
      </c>
      <c r="Q230" t="s">
        <v>74</v>
      </c>
      <c r="R230" t="s">
        <v>74</v>
      </c>
      <c r="S230" t="s">
        <v>74</v>
      </c>
      <c r="T230" t="s">
        <v>4906</v>
      </c>
      <c r="U230" t="s">
        <v>4907</v>
      </c>
      <c r="V230" t="s">
        <v>4908</v>
      </c>
      <c r="W230" t="s">
        <v>4909</v>
      </c>
      <c r="X230" t="s">
        <v>4910</v>
      </c>
      <c r="Y230" t="s">
        <v>4911</v>
      </c>
      <c r="Z230" t="s">
        <v>4912</v>
      </c>
      <c r="AA230" t="s">
        <v>4913</v>
      </c>
      <c r="AB230" t="s">
        <v>4914</v>
      </c>
      <c r="AC230" t="s">
        <v>4915</v>
      </c>
      <c r="AD230" t="s">
        <v>4916</v>
      </c>
      <c r="AE230" t="s">
        <v>4917</v>
      </c>
      <c r="AF230" t="s">
        <v>74</v>
      </c>
      <c r="AG230">
        <v>86</v>
      </c>
      <c r="AH230">
        <v>1</v>
      </c>
      <c r="AI230">
        <v>1</v>
      </c>
      <c r="AJ230">
        <v>0</v>
      </c>
      <c r="AK230">
        <v>11</v>
      </c>
      <c r="AL230" t="s">
        <v>4192</v>
      </c>
      <c r="AM230" t="s">
        <v>4193</v>
      </c>
      <c r="AN230" t="s">
        <v>4194</v>
      </c>
      <c r="AO230" t="s">
        <v>74</v>
      </c>
      <c r="AP230" t="s">
        <v>4674</v>
      </c>
      <c r="AQ230" t="s">
        <v>74</v>
      </c>
      <c r="AR230" t="s">
        <v>4663</v>
      </c>
      <c r="AS230" t="s">
        <v>4675</v>
      </c>
      <c r="AT230" t="s">
        <v>310</v>
      </c>
      <c r="AU230">
        <v>2021</v>
      </c>
      <c r="AV230">
        <v>10</v>
      </c>
      <c r="AW230">
        <v>11</v>
      </c>
      <c r="AX230" t="s">
        <v>74</v>
      </c>
      <c r="AY230" t="s">
        <v>74</v>
      </c>
      <c r="AZ230" t="s">
        <v>74</v>
      </c>
      <c r="BA230" t="s">
        <v>74</v>
      </c>
      <c r="BB230" t="s">
        <v>74</v>
      </c>
      <c r="BC230" t="s">
        <v>74</v>
      </c>
      <c r="BD230">
        <v>2801</v>
      </c>
      <c r="BE230" t="s">
        <v>4918</v>
      </c>
      <c r="BF230" t="str">
        <f>HYPERLINK("http://dx.doi.org/10.3390/foods10112801","http://dx.doi.org/10.3390/foods10112801")</f>
        <v>http://dx.doi.org/10.3390/foods10112801</v>
      </c>
      <c r="BG230" t="s">
        <v>74</v>
      </c>
      <c r="BH230" t="s">
        <v>74</v>
      </c>
      <c r="BI230">
        <v>22</v>
      </c>
      <c r="BJ230" t="s">
        <v>1206</v>
      </c>
      <c r="BK230" t="s">
        <v>101</v>
      </c>
      <c r="BL230" t="s">
        <v>1206</v>
      </c>
      <c r="BM230" t="s">
        <v>4919</v>
      </c>
      <c r="BN230">
        <v>34829082</v>
      </c>
      <c r="BO230" t="s">
        <v>2114</v>
      </c>
      <c r="BP230" t="s">
        <v>74</v>
      </c>
      <c r="BQ230" t="s">
        <v>74</v>
      </c>
      <c r="BR230" t="s">
        <v>105</v>
      </c>
      <c r="BS230" t="s">
        <v>4920</v>
      </c>
      <c r="BT230" t="str">
        <f>HYPERLINK("https%3A%2F%2Fwww.webofscience.com%2Fwos%2Fwoscc%2Ffull-record%2FWOS:000724981500001","View Full Record in Web of Science")</f>
        <v>View Full Record in Web of Science</v>
      </c>
    </row>
    <row r="231" spans="1:72" x14ac:dyDescent="0.15">
      <c r="A231" t="s">
        <v>72</v>
      </c>
      <c r="B231" t="s">
        <v>4921</v>
      </c>
      <c r="C231" t="s">
        <v>74</v>
      </c>
      <c r="D231" t="s">
        <v>74</v>
      </c>
      <c r="E231" t="s">
        <v>74</v>
      </c>
      <c r="F231" t="s">
        <v>4922</v>
      </c>
      <c r="G231" t="s">
        <v>74</v>
      </c>
      <c r="H231" t="s">
        <v>74</v>
      </c>
      <c r="I231" t="s">
        <v>4923</v>
      </c>
      <c r="J231" t="s">
        <v>4924</v>
      </c>
      <c r="K231" t="s">
        <v>74</v>
      </c>
      <c r="L231" t="s">
        <v>74</v>
      </c>
      <c r="M231" t="s">
        <v>78</v>
      </c>
      <c r="N231" t="s">
        <v>79</v>
      </c>
      <c r="O231" t="s">
        <v>74</v>
      </c>
      <c r="P231" t="s">
        <v>74</v>
      </c>
      <c r="Q231" t="s">
        <v>74</v>
      </c>
      <c r="R231" t="s">
        <v>74</v>
      </c>
      <c r="S231" t="s">
        <v>74</v>
      </c>
      <c r="T231" t="s">
        <v>4925</v>
      </c>
      <c r="U231" t="s">
        <v>4926</v>
      </c>
      <c r="V231" t="s">
        <v>4927</v>
      </c>
      <c r="W231" t="s">
        <v>4928</v>
      </c>
      <c r="X231" t="s">
        <v>4929</v>
      </c>
      <c r="Y231" t="s">
        <v>4930</v>
      </c>
      <c r="Z231" t="s">
        <v>4931</v>
      </c>
      <c r="AA231" t="s">
        <v>4932</v>
      </c>
      <c r="AB231" t="s">
        <v>4933</v>
      </c>
      <c r="AC231" t="s">
        <v>4934</v>
      </c>
      <c r="AD231" t="s">
        <v>4935</v>
      </c>
      <c r="AE231" t="s">
        <v>4936</v>
      </c>
      <c r="AF231" t="s">
        <v>74</v>
      </c>
      <c r="AG231">
        <v>101</v>
      </c>
      <c r="AH231">
        <v>1</v>
      </c>
      <c r="AI231">
        <v>1</v>
      </c>
      <c r="AJ231">
        <v>0</v>
      </c>
      <c r="AK231">
        <v>5</v>
      </c>
      <c r="AL231" t="s">
        <v>4192</v>
      </c>
      <c r="AM231" t="s">
        <v>4193</v>
      </c>
      <c r="AN231" t="s">
        <v>4194</v>
      </c>
      <c r="AO231" t="s">
        <v>74</v>
      </c>
      <c r="AP231" t="s">
        <v>4937</v>
      </c>
      <c r="AQ231" t="s">
        <v>74</v>
      </c>
      <c r="AR231" t="s">
        <v>4924</v>
      </c>
      <c r="AS231" t="s">
        <v>4938</v>
      </c>
      <c r="AT231" t="s">
        <v>310</v>
      </c>
      <c r="AU231">
        <v>2021</v>
      </c>
      <c r="AV231">
        <v>11</v>
      </c>
      <c r="AW231">
        <v>11</v>
      </c>
      <c r="AX231" t="s">
        <v>74</v>
      </c>
      <c r="AY231" t="s">
        <v>74</v>
      </c>
      <c r="AZ231" t="s">
        <v>74</v>
      </c>
      <c r="BA231" t="s">
        <v>74</v>
      </c>
      <c r="BB231" t="s">
        <v>74</v>
      </c>
      <c r="BC231" t="s">
        <v>74</v>
      </c>
      <c r="BD231">
        <v>474</v>
      </c>
      <c r="BE231" t="s">
        <v>4939</v>
      </c>
      <c r="BF231" t="str">
        <f>HYPERLINK("http://dx.doi.org/10.3390/geosciences11110474","http://dx.doi.org/10.3390/geosciences11110474")</f>
        <v>http://dx.doi.org/10.3390/geosciences11110474</v>
      </c>
      <c r="BG231" t="s">
        <v>74</v>
      </c>
      <c r="BH231" t="s">
        <v>74</v>
      </c>
      <c r="BI231">
        <v>23</v>
      </c>
      <c r="BJ231" t="s">
        <v>236</v>
      </c>
      <c r="BK231" t="s">
        <v>1629</v>
      </c>
      <c r="BL231" t="s">
        <v>237</v>
      </c>
      <c r="BM231" t="s">
        <v>4940</v>
      </c>
      <c r="BN231" t="s">
        <v>74</v>
      </c>
      <c r="BO231" t="s">
        <v>1094</v>
      </c>
      <c r="BP231" t="s">
        <v>74</v>
      </c>
      <c r="BQ231" t="s">
        <v>74</v>
      </c>
      <c r="BR231" t="s">
        <v>105</v>
      </c>
      <c r="BS231" t="s">
        <v>4941</v>
      </c>
      <c r="BT231" t="str">
        <f>HYPERLINK("https%3A%2F%2Fwww.webofscience.com%2Fwos%2Fwoscc%2Ffull-record%2FWOS:000725136600001","View Full Record in Web of Science")</f>
        <v>View Full Record in Web of Science</v>
      </c>
    </row>
    <row r="232" spans="1:72" x14ac:dyDescent="0.15">
      <c r="A232" t="s">
        <v>72</v>
      </c>
      <c r="B232" t="s">
        <v>4942</v>
      </c>
      <c r="C232" t="s">
        <v>74</v>
      </c>
      <c r="D232" t="s">
        <v>74</v>
      </c>
      <c r="E232" t="s">
        <v>74</v>
      </c>
      <c r="F232" t="s">
        <v>4943</v>
      </c>
      <c r="G232" t="s">
        <v>74</v>
      </c>
      <c r="H232" t="s">
        <v>74</v>
      </c>
      <c r="I232" t="s">
        <v>4944</v>
      </c>
      <c r="J232" t="s">
        <v>4945</v>
      </c>
      <c r="K232" t="s">
        <v>74</v>
      </c>
      <c r="L232" t="s">
        <v>74</v>
      </c>
      <c r="M232" t="s">
        <v>78</v>
      </c>
      <c r="N232" t="s">
        <v>79</v>
      </c>
      <c r="O232" t="s">
        <v>74</v>
      </c>
      <c r="P232" t="s">
        <v>74</v>
      </c>
      <c r="Q232" t="s">
        <v>74</v>
      </c>
      <c r="R232" t="s">
        <v>74</v>
      </c>
      <c r="S232" t="s">
        <v>74</v>
      </c>
      <c r="T232" t="s">
        <v>4946</v>
      </c>
      <c r="U232" t="s">
        <v>4947</v>
      </c>
      <c r="V232" t="s">
        <v>4948</v>
      </c>
      <c r="W232" t="s">
        <v>4949</v>
      </c>
      <c r="X232" t="s">
        <v>4950</v>
      </c>
      <c r="Y232" t="s">
        <v>4951</v>
      </c>
      <c r="Z232" t="s">
        <v>4952</v>
      </c>
      <c r="AA232" t="s">
        <v>4953</v>
      </c>
      <c r="AB232" t="s">
        <v>4954</v>
      </c>
      <c r="AC232" t="s">
        <v>4955</v>
      </c>
      <c r="AD232" t="s">
        <v>4955</v>
      </c>
      <c r="AE232" t="s">
        <v>4956</v>
      </c>
      <c r="AF232" t="s">
        <v>74</v>
      </c>
      <c r="AG232">
        <v>80</v>
      </c>
      <c r="AH232">
        <v>4</v>
      </c>
      <c r="AI232">
        <v>4</v>
      </c>
      <c r="AJ232">
        <v>0</v>
      </c>
      <c r="AK232">
        <v>5</v>
      </c>
      <c r="AL232" t="s">
        <v>4192</v>
      </c>
      <c r="AM232" t="s">
        <v>4193</v>
      </c>
      <c r="AN232" t="s">
        <v>4194</v>
      </c>
      <c r="AO232" t="s">
        <v>74</v>
      </c>
      <c r="AP232" t="s">
        <v>4957</v>
      </c>
      <c r="AQ232" t="s">
        <v>74</v>
      </c>
      <c r="AR232" t="s">
        <v>4958</v>
      </c>
      <c r="AS232" t="s">
        <v>4959</v>
      </c>
      <c r="AT232" t="s">
        <v>310</v>
      </c>
      <c r="AU232">
        <v>2021</v>
      </c>
      <c r="AV232">
        <v>7</v>
      </c>
      <c r="AW232">
        <v>11</v>
      </c>
      <c r="AX232" t="s">
        <v>74</v>
      </c>
      <c r="AY232" t="s">
        <v>74</v>
      </c>
      <c r="AZ232" t="s">
        <v>74</v>
      </c>
      <c r="BA232" t="s">
        <v>74</v>
      </c>
      <c r="BB232" t="s">
        <v>74</v>
      </c>
      <c r="BC232" t="s">
        <v>74</v>
      </c>
      <c r="BD232">
        <v>935</v>
      </c>
      <c r="BE232" t="s">
        <v>4960</v>
      </c>
      <c r="BF232" t="str">
        <f>HYPERLINK("http://dx.doi.org/10.3390/jof7110935","http://dx.doi.org/10.3390/jof7110935")</f>
        <v>http://dx.doi.org/10.3390/jof7110935</v>
      </c>
      <c r="BG232" t="s">
        <v>74</v>
      </c>
      <c r="BH232" t="s">
        <v>74</v>
      </c>
      <c r="BI232">
        <v>17</v>
      </c>
      <c r="BJ232" t="s">
        <v>4961</v>
      </c>
      <c r="BK232" t="s">
        <v>101</v>
      </c>
      <c r="BL232" t="s">
        <v>4961</v>
      </c>
      <c r="BM232" t="s">
        <v>4962</v>
      </c>
      <c r="BN232">
        <v>34829222</v>
      </c>
      <c r="BO232" t="s">
        <v>4963</v>
      </c>
      <c r="BP232" t="s">
        <v>74</v>
      </c>
      <c r="BQ232" t="s">
        <v>74</v>
      </c>
      <c r="BR232" t="s">
        <v>105</v>
      </c>
      <c r="BS232" t="s">
        <v>4964</v>
      </c>
      <c r="BT232" t="str">
        <f>HYPERLINK("https%3A%2F%2Fwww.webofscience.com%2Fwos%2Fwoscc%2Ffull-record%2FWOS:000726523500001","View Full Record in Web of Science")</f>
        <v>View Full Record in Web of Science</v>
      </c>
    </row>
    <row r="233" spans="1:72" x14ac:dyDescent="0.15">
      <c r="A233" t="s">
        <v>72</v>
      </c>
      <c r="B233" t="s">
        <v>4965</v>
      </c>
      <c r="C233" t="s">
        <v>74</v>
      </c>
      <c r="D233" t="s">
        <v>74</v>
      </c>
      <c r="E233" t="s">
        <v>74</v>
      </c>
      <c r="F233" t="s">
        <v>4966</v>
      </c>
      <c r="G233" t="s">
        <v>74</v>
      </c>
      <c r="H233" t="s">
        <v>74</v>
      </c>
      <c r="I233" t="s">
        <v>4967</v>
      </c>
      <c r="J233" t="s">
        <v>4968</v>
      </c>
      <c r="K233" t="s">
        <v>74</v>
      </c>
      <c r="L233" t="s">
        <v>74</v>
      </c>
      <c r="M233" t="s">
        <v>78</v>
      </c>
      <c r="N233" t="s">
        <v>1764</v>
      </c>
      <c r="O233" t="s">
        <v>74</v>
      </c>
      <c r="P233" t="s">
        <v>74</v>
      </c>
      <c r="Q233" t="s">
        <v>74</v>
      </c>
      <c r="R233" t="s">
        <v>74</v>
      </c>
      <c r="S233" t="s">
        <v>74</v>
      </c>
      <c r="T233" t="s">
        <v>74</v>
      </c>
      <c r="U233" t="s">
        <v>4969</v>
      </c>
      <c r="V233" t="s">
        <v>74</v>
      </c>
      <c r="W233" t="s">
        <v>4970</v>
      </c>
      <c r="X233" t="s">
        <v>4971</v>
      </c>
      <c r="Y233" t="s">
        <v>4972</v>
      </c>
      <c r="Z233" t="s">
        <v>4973</v>
      </c>
      <c r="AA233" t="s">
        <v>4974</v>
      </c>
      <c r="AB233" t="s">
        <v>4975</v>
      </c>
      <c r="AC233" t="s">
        <v>4976</v>
      </c>
      <c r="AD233" t="s">
        <v>4977</v>
      </c>
      <c r="AE233" t="s">
        <v>4978</v>
      </c>
      <c r="AF233" t="s">
        <v>74</v>
      </c>
      <c r="AG233">
        <v>26</v>
      </c>
      <c r="AH233">
        <v>2</v>
      </c>
      <c r="AI233">
        <v>2</v>
      </c>
      <c r="AJ233">
        <v>0</v>
      </c>
      <c r="AK233">
        <v>2</v>
      </c>
      <c r="AL233" t="s">
        <v>4192</v>
      </c>
      <c r="AM233" t="s">
        <v>4193</v>
      </c>
      <c r="AN233" t="s">
        <v>4194</v>
      </c>
      <c r="AO233" t="s">
        <v>74</v>
      </c>
      <c r="AP233" t="s">
        <v>4979</v>
      </c>
      <c r="AQ233" t="s">
        <v>74</v>
      </c>
      <c r="AR233" t="s">
        <v>4980</v>
      </c>
      <c r="AS233" t="s">
        <v>4981</v>
      </c>
      <c r="AT233" t="s">
        <v>310</v>
      </c>
      <c r="AU233">
        <v>2021</v>
      </c>
      <c r="AV233">
        <v>19</v>
      </c>
      <c r="AW233">
        <v>11</v>
      </c>
      <c r="AX233" t="s">
        <v>74</v>
      </c>
      <c r="AY233" t="s">
        <v>74</v>
      </c>
      <c r="AZ233" t="s">
        <v>74</v>
      </c>
      <c r="BA233" t="s">
        <v>74</v>
      </c>
      <c r="BB233" t="s">
        <v>74</v>
      </c>
      <c r="BC233" t="s">
        <v>74</v>
      </c>
      <c r="BD233">
        <v>642</v>
      </c>
      <c r="BE233" t="s">
        <v>4982</v>
      </c>
      <c r="BF233" t="str">
        <f>HYPERLINK("http://dx.doi.org/10.3390/md19110642","http://dx.doi.org/10.3390/md19110642")</f>
        <v>http://dx.doi.org/10.3390/md19110642</v>
      </c>
      <c r="BG233" t="s">
        <v>74</v>
      </c>
      <c r="BH233" t="s">
        <v>74</v>
      </c>
      <c r="BI233">
        <v>5</v>
      </c>
      <c r="BJ233" t="s">
        <v>4983</v>
      </c>
      <c r="BK233" t="s">
        <v>101</v>
      </c>
      <c r="BL233" t="s">
        <v>4984</v>
      </c>
      <c r="BM233" t="s">
        <v>4985</v>
      </c>
      <c r="BN233">
        <v>34822513</v>
      </c>
      <c r="BO233" t="s">
        <v>1094</v>
      </c>
      <c r="BP233" t="s">
        <v>74</v>
      </c>
      <c r="BQ233" t="s">
        <v>74</v>
      </c>
      <c r="BR233" t="s">
        <v>105</v>
      </c>
      <c r="BS233" t="s">
        <v>4986</v>
      </c>
      <c r="BT233" t="str">
        <f>HYPERLINK("https%3A%2F%2Fwww.webofscience.com%2Fwos%2Fwoscc%2Ffull-record%2FWOS:000726222200001","View Full Record in Web of Science")</f>
        <v>View Full Record in Web of Science</v>
      </c>
    </row>
    <row r="234" spans="1:72" x14ac:dyDescent="0.15">
      <c r="A234" t="s">
        <v>72</v>
      </c>
      <c r="B234" t="s">
        <v>4987</v>
      </c>
      <c r="C234" t="s">
        <v>74</v>
      </c>
      <c r="D234" t="s">
        <v>74</v>
      </c>
      <c r="E234" t="s">
        <v>74</v>
      </c>
      <c r="F234" t="s">
        <v>4988</v>
      </c>
      <c r="G234" t="s">
        <v>74</v>
      </c>
      <c r="H234" t="s">
        <v>74</v>
      </c>
      <c r="I234" t="s">
        <v>4989</v>
      </c>
      <c r="J234" t="s">
        <v>4968</v>
      </c>
      <c r="K234" t="s">
        <v>74</v>
      </c>
      <c r="L234" t="s">
        <v>74</v>
      </c>
      <c r="M234" t="s">
        <v>78</v>
      </c>
      <c r="N234" t="s">
        <v>79</v>
      </c>
      <c r="O234" t="s">
        <v>74</v>
      </c>
      <c r="P234" t="s">
        <v>74</v>
      </c>
      <c r="Q234" t="s">
        <v>74</v>
      </c>
      <c r="R234" t="s">
        <v>74</v>
      </c>
      <c r="S234" t="s">
        <v>74</v>
      </c>
      <c r="T234" t="s">
        <v>4990</v>
      </c>
      <c r="U234" t="s">
        <v>4991</v>
      </c>
      <c r="V234" t="s">
        <v>4992</v>
      </c>
      <c r="W234" t="s">
        <v>4993</v>
      </c>
      <c r="X234" t="s">
        <v>4994</v>
      </c>
      <c r="Y234" t="s">
        <v>4995</v>
      </c>
      <c r="Z234" t="s">
        <v>4996</v>
      </c>
      <c r="AA234" t="s">
        <v>4997</v>
      </c>
      <c r="AB234" t="s">
        <v>4998</v>
      </c>
      <c r="AC234" t="s">
        <v>4999</v>
      </c>
      <c r="AD234" t="s">
        <v>5000</v>
      </c>
      <c r="AE234" t="s">
        <v>5001</v>
      </c>
      <c r="AF234" t="s">
        <v>74</v>
      </c>
      <c r="AG234">
        <v>56</v>
      </c>
      <c r="AH234">
        <v>11</v>
      </c>
      <c r="AI234">
        <v>12</v>
      </c>
      <c r="AJ234">
        <v>1</v>
      </c>
      <c r="AK234">
        <v>10</v>
      </c>
      <c r="AL234" t="s">
        <v>4192</v>
      </c>
      <c r="AM234" t="s">
        <v>4193</v>
      </c>
      <c r="AN234" t="s">
        <v>4194</v>
      </c>
      <c r="AO234" t="s">
        <v>74</v>
      </c>
      <c r="AP234" t="s">
        <v>4979</v>
      </c>
      <c r="AQ234" t="s">
        <v>74</v>
      </c>
      <c r="AR234" t="s">
        <v>4980</v>
      </c>
      <c r="AS234" t="s">
        <v>4981</v>
      </c>
      <c r="AT234" t="s">
        <v>310</v>
      </c>
      <c r="AU234">
        <v>2021</v>
      </c>
      <c r="AV234">
        <v>19</v>
      </c>
      <c r="AW234">
        <v>11</v>
      </c>
      <c r="AX234" t="s">
        <v>74</v>
      </c>
      <c r="AY234" t="s">
        <v>74</v>
      </c>
      <c r="AZ234" t="s">
        <v>74</v>
      </c>
      <c r="BA234" t="s">
        <v>74</v>
      </c>
      <c r="BB234" t="s">
        <v>74</v>
      </c>
      <c r="BC234" t="s">
        <v>74</v>
      </c>
      <c r="BD234">
        <v>607</v>
      </c>
      <c r="BE234" t="s">
        <v>5002</v>
      </c>
      <c r="BF234" t="str">
        <f>HYPERLINK("http://dx.doi.org/10.3390/md19110607","http://dx.doi.org/10.3390/md19110607")</f>
        <v>http://dx.doi.org/10.3390/md19110607</v>
      </c>
      <c r="BG234" t="s">
        <v>74</v>
      </c>
      <c r="BH234" t="s">
        <v>74</v>
      </c>
      <c r="BI234">
        <v>13</v>
      </c>
      <c r="BJ234" t="s">
        <v>4983</v>
      </c>
      <c r="BK234" t="s">
        <v>101</v>
      </c>
      <c r="BL234" t="s">
        <v>4984</v>
      </c>
      <c r="BM234" t="s">
        <v>5003</v>
      </c>
      <c r="BN234">
        <v>34822478</v>
      </c>
      <c r="BO234" t="s">
        <v>394</v>
      </c>
      <c r="BP234" t="s">
        <v>74</v>
      </c>
      <c r="BQ234" t="s">
        <v>74</v>
      </c>
      <c r="BR234" t="s">
        <v>105</v>
      </c>
      <c r="BS234" t="s">
        <v>5004</v>
      </c>
      <c r="BT234" t="str">
        <f>HYPERLINK("https%3A%2F%2Fwww.webofscience.com%2Fwos%2Fwoscc%2Ffull-record%2FWOS:000725071100001","View Full Record in Web of Science")</f>
        <v>View Full Record in Web of Science</v>
      </c>
    </row>
    <row r="235" spans="1:72" x14ac:dyDescent="0.15">
      <c r="A235" t="s">
        <v>72</v>
      </c>
      <c r="B235" t="s">
        <v>5005</v>
      </c>
      <c r="C235" t="s">
        <v>74</v>
      </c>
      <c r="D235" t="s">
        <v>74</v>
      </c>
      <c r="E235" t="s">
        <v>74</v>
      </c>
      <c r="F235" t="s">
        <v>5006</v>
      </c>
      <c r="G235" t="s">
        <v>74</v>
      </c>
      <c r="H235" t="s">
        <v>74</v>
      </c>
      <c r="I235" t="s">
        <v>5007</v>
      </c>
      <c r="J235" t="s">
        <v>4222</v>
      </c>
      <c r="K235" t="s">
        <v>74</v>
      </c>
      <c r="L235" t="s">
        <v>74</v>
      </c>
      <c r="M235" t="s">
        <v>78</v>
      </c>
      <c r="N235" t="s">
        <v>79</v>
      </c>
      <c r="O235" t="s">
        <v>74</v>
      </c>
      <c r="P235" t="s">
        <v>74</v>
      </c>
      <c r="Q235" t="s">
        <v>74</v>
      </c>
      <c r="R235" t="s">
        <v>74</v>
      </c>
      <c r="S235" t="s">
        <v>74</v>
      </c>
      <c r="T235" t="s">
        <v>5008</v>
      </c>
      <c r="U235" t="s">
        <v>5009</v>
      </c>
      <c r="V235" t="s">
        <v>5010</v>
      </c>
      <c r="W235" t="s">
        <v>5011</v>
      </c>
      <c r="X235" t="s">
        <v>5012</v>
      </c>
      <c r="Y235" t="s">
        <v>5013</v>
      </c>
      <c r="Z235" t="s">
        <v>5014</v>
      </c>
      <c r="AA235" t="s">
        <v>74</v>
      </c>
      <c r="AB235" t="s">
        <v>5015</v>
      </c>
      <c r="AC235" t="s">
        <v>5016</v>
      </c>
      <c r="AD235" t="s">
        <v>5017</v>
      </c>
      <c r="AE235" t="s">
        <v>5018</v>
      </c>
      <c r="AF235" t="s">
        <v>74</v>
      </c>
      <c r="AG235">
        <v>44</v>
      </c>
      <c r="AH235">
        <v>6</v>
      </c>
      <c r="AI235">
        <v>7</v>
      </c>
      <c r="AJ235">
        <v>1</v>
      </c>
      <c r="AK235">
        <v>18</v>
      </c>
      <c r="AL235" t="s">
        <v>4192</v>
      </c>
      <c r="AM235" t="s">
        <v>4193</v>
      </c>
      <c r="AN235" t="s">
        <v>4194</v>
      </c>
      <c r="AO235" t="s">
        <v>74</v>
      </c>
      <c r="AP235" t="s">
        <v>4233</v>
      </c>
      <c r="AQ235" t="s">
        <v>74</v>
      </c>
      <c r="AR235" t="s">
        <v>4234</v>
      </c>
      <c r="AS235" t="s">
        <v>4235</v>
      </c>
      <c r="AT235" t="s">
        <v>310</v>
      </c>
      <c r="AU235">
        <v>2021</v>
      </c>
      <c r="AV235">
        <v>13</v>
      </c>
      <c r="AW235">
        <v>22</v>
      </c>
      <c r="AX235" t="s">
        <v>74</v>
      </c>
      <c r="AY235" t="s">
        <v>74</v>
      </c>
      <c r="AZ235" t="s">
        <v>74</v>
      </c>
      <c r="BA235" t="s">
        <v>74</v>
      </c>
      <c r="BB235" t="s">
        <v>74</v>
      </c>
      <c r="BC235" t="s">
        <v>74</v>
      </c>
      <c r="BD235">
        <v>4686</v>
      </c>
      <c r="BE235" t="s">
        <v>5019</v>
      </c>
      <c r="BF235" t="str">
        <f>HYPERLINK("http://dx.doi.org/10.3390/rs13224686","http://dx.doi.org/10.3390/rs13224686")</f>
        <v>http://dx.doi.org/10.3390/rs13224686</v>
      </c>
      <c r="BG235" t="s">
        <v>74</v>
      </c>
      <c r="BH235" t="s">
        <v>74</v>
      </c>
      <c r="BI235">
        <v>25</v>
      </c>
      <c r="BJ235" t="s">
        <v>4237</v>
      </c>
      <c r="BK235" t="s">
        <v>101</v>
      </c>
      <c r="BL235" t="s">
        <v>4238</v>
      </c>
      <c r="BM235" t="s">
        <v>5020</v>
      </c>
      <c r="BN235" t="s">
        <v>74</v>
      </c>
      <c r="BO235" t="s">
        <v>210</v>
      </c>
      <c r="BP235" t="s">
        <v>74</v>
      </c>
      <c r="BQ235" t="s">
        <v>74</v>
      </c>
      <c r="BR235" t="s">
        <v>105</v>
      </c>
      <c r="BS235" t="s">
        <v>5021</v>
      </c>
      <c r="BT235" t="str">
        <f>HYPERLINK("https%3A%2F%2Fwww.webofscience.com%2Fwos%2Fwoscc%2Ffull-record%2FWOS:000725288000001","View Full Record in Web of Science")</f>
        <v>View Full Record in Web of Science</v>
      </c>
    </row>
    <row r="236" spans="1:72" x14ac:dyDescent="0.15">
      <c r="A236" t="s">
        <v>72</v>
      </c>
      <c r="B236" t="s">
        <v>5022</v>
      </c>
      <c r="C236" t="s">
        <v>74</v>
      </c>
      <c r="D236" t="s">
        <v>74</v>
      </c>
      <c r="E236" t="s">
        <v>74</v>
      </c>
      <c r="F236" t="s">
        <v>5023</v>
      </c>
      <c r="G236" t="s">
        <v>74</v>
      </c>
      <c r="H236" t="s">
        <v>74</v>
      </c>
      <c r="I236" t="s">
        <v>5024</v>
      </c>
      <c r="J236" t="s">
        <v>4261</v>
      </c>
      <c r="K236" t="s">
        <v>74</v>
      </c>
      <c r="L236" t="s">
        <v>74</v>
      </c>
      <c r="M236" t="s">
        <v>78</v>
      </c>
      <c r="N236" t="s">
        <v>79</v>
      </c>
      <c r="O236" t="s">
        <v>74</v>
      </c>
      <c r="P236" t="s">
        <v>74</v>
      </c>
      <c r="Q236" t="s">
        <v>74</v>
      </c>
      <c r="R236" t="s">
        <v>74</v>
      </c>
      <c r="S236" t="s">
        <v>74</v>
      </c>
      <c r="T236" t="s">
        <v>5025</v>
      </c>
      <c r="U236" t="s">
        <v>5026</v>
      </c>
      <c r="V236" t="s">
        <v>5027</v>
      </c>
      <c r="W236" t="s">
        <v>5028</v>
      </c>
      <c r="X236" t="s">
        <v>74</v>
      </c>
      <c r="Y236" t="s">
        <v>5029</v>
      </c>
      <c r="Z236" t="s">
        <v>5030</v>
      </c>
      <c r="AA236" t="s">
        <v>5031</v>
      </c>
      <c r="AB236" t="s">
        <v>5032</v>
      </c>
      <c r="AC236" t="s">
        <v>5033</v>
      </c>
      <c r="AD236" t="s">
        <v>5034</v>
      </c>
      <c r="AE236" t="s">
        <v>5035</v>
      </c>
      <c r="AF236" t="s">
        <v>74</v>
      </c>
      <c r="AG236">
        <v>62</v>
      </c>
      <c r="AH236">
        <v>5</v>
      </c>
      <c r="AI236">
        <v>5</v>
      </c>
      <c r="AJ236">
        <v>3</v>
      </c>
      <c r="AK236">
        <v>32</v>
      </c>
      <c r="AL236" t="s">
        <v>4192</v>
      </c>
      <c r="AM236" t="s">
        <v>4193</v>
      </c>
      <c r="AN236" t="s">
        <v>4194</v>
      </c>
      <c r="AO236" t="s">
        <v>74</v>
      </c>
      <c r="AP236" t="s">
        <v>4274</v>
      </c>
      <c r="AQ236" t="s">
        <v>74</v>
      </c>
      <c r="AR236" t="s">
        <v>4275</v>
      </c>
      <c r="AS236" t="s">
        <v>4276</v>
      </c>
      <c r="AT236" t="s">
        <v>310</v>
      </c>
      <c r="AU236">
        <v>2021</v>
      </c>
      <c r="AV236">
        <v>12</v>
      </c>
      <c r="AW236">
        <v>11</v>
      </c>
      <c r="AX236" t="s">
        <v>74</v>
      </c>
      <c r="AY236" t="s">
        <v>74</v>
      </c>
      <c r="AZ236" t="s">
        <v>74</v>
      </c>
      <c r="BA236" t="s">
        <v>74</v>
      </c>
      <c r="BB236" t="s">
        <v>74</v>
      </c>
      <c r="BC236" t="s">
        <v>74</v>
      </c>
      <c r="BD236">
        <v>1494</v>
      </c>
      <c r="BE236" t="s">
        <v>5036</v>
      </c>
      <c r="BF236" t="str">
        <f>HYPERLINK("http://dx.doi.org/10.3390/atmos12111494","http://dx.doi.org/10.3390/atmos12111494")</f>
        <v>http://dx.doi.org/10.3390/atmos12111494</v>
      </c>
      <c r="BG236" t="s">
        <v>74</v>
      </c>
      <c r="BH236" t="s">
        <v>74</v>
      </c>
      <c r="BI236">
        <v>17</v>
      </c>
      <c r="BJ236" t="s">
        <v>100</v>
      </c>
      <c r="BK236" t="s">
        <v>101</v>
      </c>
      <c r="BL236" t="s">
        <v>102</v>
      </c>
      <c r="BM236" t="s">
        <v>5037</v>
      </c>
      <c r="BN236" t="s">
        <v>74</v>
      </c>
      <c r="BO236" t="s">
        <v>1094</v>
      </c>
      <c r="BP236" t="s">
        <v>74</v>
      </c>
      <c r="BQ236" t="s">
        <v>74</v>
      </c>
      <c r="BR236" t="s">
        <v>105</v>
      </c>
      <c r="BS236" t="s">
        <v>5038</v>
      </c>
      <c r="BT236" t="str">
        <f>HYPERLINK("https%3A%2F%2Fwww.webofscience.com%2Fwos%2Fwoscc%2Ffull-record%2FWOS:000724709500001","View Full Record in Web of Science")</f>
        <v>View Full Record in Web of Science</v>
      </c>
    </row>
    <row r="237" spans="1:72" x14ac:dyDescent="0.15">
      <c r="A237" t="s">
        <v>72</v>
      </c>
      <c r="B237" t="s">
        <v>5039</v>
      </c>
      <c r="C237" t="s">
        <v>74</v>
      </c>
      <c r="D237" t="s">
        <v>74</v>
      </c>
      <c r="E237" t="s">
        <v>74</v>
      </c>
      <c r="F237" t="s">
        <v>5040</v>
      </c>
      <c r="G237" t="s">
        <v>74</v>
      </c>
      <c r="H237" t="s">
        <v>74</v>
      </c>
      <c r="I237" t="s">
        <v>5041</v>
      </c>
      <c r="J237" t="s">
        <v>5042</v>
      </c>
      <c r="K237" t="s">
        <v>74</v>
      </c>
      <c r="L237" t="s">
        <v>74</v>
      </c>
      <c r="M237" t="s">
        <v>78</v>
      </c>
      <c r="N237" t="s">
        <v>79</v>
      </c>
      <c r="O237" t="s">
        <v>74</v>
      </c>
      <c r="P237" t="s">
        <v>74</v>
      </c>
      <c r="Q237" t="s">
        <v>74</v>
      </c>
      <c r="R237" t="s">
        <v>74</v>
      </c>
      <c r="S237" t="s">
        <v>74</v>
      </c>
      <c r="T237" t="s">
        <v>5043</v>
      </c>
      <c r="U237" t="s">
        <v>5044</v>
      </c>
      <c r="V237" t="s">
        <v>5045</v>
      </c>
      <c r="W237" t="s">
        <v>5046</v>
      </c>
      <c r="X237" t="s">
        <v>5047</v>
      </c>
      <c r="Y237" t="s">
        <v>5048</v>
      </c>
      <c r="Z237" t="s">
        <v>5049</v>
      </c>
      <c r="AA237" t="s">
        <v>5050</v>
      </c>
      <c r="AB237" t="s">
        <v>5051</v>
      </c>
      <c r="AC237" t="s">
        <v>5052</v>
      </c>
      <c r="AD237" t="s">
        <v>5053</v>
      </c>
      <c r="AE237" t="s">
        <v>5054</v>
      </c>
      <c r="AF237" t="s">
        <v>74</v>
      </c>
      <c r="AG237">
        <v>42</v>
      </c>
      <c r="AH237">
        <v>2</v>
      </c>
      <c r="AI237">
        <v>3</v>
      </c>
      <c r="AJ237">
        <v>1</v>
      </c>
      <c r="AK237">
        <v>5</v>
      </c>
      <c r="AL237" t="s">
        <v>4192</v>
      </c>
      <c r="AM237" t="s">
        <v>4193</v>
      </c>
      <c r="AN237" t="s">
        <v>4194</v>
      </c>
      <c r="AO237" t="s">
        <v>74</v>
      </c>
      <c r="AP237" t="s">
        <v>5055</v>
      </c>
      <c r="AQ237" t="s">
        <v>74</v>
      </c>
      <c r="AR237" t="s">
        <v>5056</v>
      </c>
      <c r="AS237" t="s">
        <v>5057</v>
      </c>
      <c r="AT237" t="s">
        <v>310</v>
      </c>
      <c r="AU237">
        <v>2021</v>
      </c>
      <c r="AV237">
        <v>10</v>
      </c>
      <c r="AW237">
        <v>11</v>
      </c>
      <c r="AX237" t="s">
        <v>74</v>
      </c>
      <c r="AY237" t="s">
        <v>74</v>
      </c>
      <c r="AZ237" t="s">
        <v>74</v>
      </c>
      <c r="BA237" t="s">
        <v>74</v>
      </c>
      <c r="BB237" t="s">
        <v>74</v>
      </c>
      <c r="BC237" t="s">
        <v>74</v>
      </c>
      <c r="BD237">
        <v>1162</v>
      </c>
      <c r="BE237" t="s">
        <v>5058</v>
      </c>
      <c r="BF237" t="str">
        <f>HYPERLINK("http://dx.doi.org/10.3390/land10111162","http://dx.doi.org/10.3390/land10111162")</f>
        <v>http://dx.doi.org/10.3390/land10111162</v>
      </c>
      <c r="BG237" t="s">
        <v>74</v>
      </c>
      <c r="BH237" t="s">
        <v>74</v>
      </c>
      <c r="BI237">
        <v>12</v>
      </c>
      <c r="BJ237" t="s">
        <v>5059</v>
      </c>
      <c r="BK237" t="s">
        <v>2299</v>
      </c>
      <c r="BL237" t="s">
        <v>630</v>
      </c>
      <c r="BM237" t="s">
        <v>5060</v>
      </c>
      <c r="BN237" t="s">
        <v>74</v>
      </c>
      <c r="BO237" t="s">
        <v>1094</v>
      </c>
      <c r="BP237" t="s">
        <v>74</v>
      </c>
      <c r="BQ237" t="s">
        <v>74</v>
      </c>
      <c r="BR237" t="s">
        <v>105</v>
      </c>
      <c r="BS237" t="s">
        <v>5061</v>
      </c>
      <c r="BT237" t="str">
        <f>HYPERLINK("https%3A%2F%2Fwww.webofscience.com%2Fwos%2Fwoscc%2Ffull-record%2FWOS:000723432700001","View Full Record in Web of Science")</f>
        <v>View Full Record in Web of Science</v>
      </c>
    </row>
    <row r="238" spans="1:72" x14ac:dyDescent="0.15">
      <c r="A238" t="s">
        <v>72</v>
      </c>
      <c r="B238" t="s">
        <v>5062</v>
      </c>
      <c r="C238" t="s">
        <v>74</v>
      </c>
      <c r="D238" t="s">
        <v>74</v>
      </c>
      <c r="E238" t="s">
        <v>74</v>
      </c>
      <c r="F238" t="s">
        <v>5063</v>
      </c>
      <c r="G238" t="s">
        <v>74</v>
      </c>
      <c r="H238" t="s">
        <v>74</v>
      </c>
      <c r="I238" t="s">
        <v>5064</v>
      </c>
      <c r="J238" t="s">
        <v>5065</v>
      </c>
      <c r="K238" t="s">
        <v>74</v>
      </c>
      <c r="L238" t="s">
        <v>74</v>
      </c>
      <c r="M238" t="s">
        <v>78</v>
      </c>
      <c r="N238" t="s">
        <v>79</v>
      </c>
      <c r="O238" t="s">
        <v>74</v>
      </c>
      <c r="P238" t="s">
        <v>74</v>
      </c>
      <c r="Q238" t="s">
        <v>74</v>
      </c>
      <c r="R238" t="s">
        <v>74</v>
      </c>
      <c r="S238" t="s">
        <v>74</v>
      </c>
      <c r="T238" t="s">
        <v>74</v>
      </c>
      <c r="U238" t="s">
        <v>5066</v>
      </c>
      <c r="V238" t="s">
        <v>5067</v>
      </c>
      <c r="W238" t="s">
        <v>5068</v>
      </c>
      <c r="X238" t="s">
        <v>5069</v>
      </c>
      <c r="Y238" t="s">
        <v>5070</v>
      </c>
      <c r="Z238" t="s">
        <v>5071</v>
      </c>
      <c r="AA238" t="s">
        <v>5072</v>
      </c>
      <c r="AB238" t="s">
        <v>5073</v>
      </c>
      <c r="AC238" t="s">
        <v>74</v>
      </c>
      <c r="AD238" t="s">
        <v>74</v>
      </c>
      <c r="AE238" t="s">
        <v>74</v>
      </c>
      <c r="AF238" t="s">
        <v>74</v>
      </c>
      <c r="AG238">
        <v>112</v>
      </c>
      <c r="AH238">
        <v>4</v>
      </c>
      <c r="AI238">
        <v>4</v>
      </c>
      <c r="AJ238">
        <v>0</v>
      </c>
      <c r="AK238">
        <v>2</v>
      </c>
      <c r="AL238" t="s">
        <v>666</v>
      </c>
      <c r="AM238" t="s">
        <v>170</v>
      </c>
      <c r="AN238" t="s">
        <v>667</v>
      </c>
      <c r="AO238" t="s">
        <v>5074</v>
      </c>
      <c r="AP238" t="s">
        <v>5075</v>
      </c>
      <c r="AQ238" t="s">
        <v>74</v>
      </c>
      <c r="AR238" t="s">
        <v>5065</v>
      </c>
      <c r="AS238" t="s">
        <v>5076</v>
      </c>
      <c r="AT238" t="s">
        <v>310</v>
      </c>
      <c r="AU238">
        <v>2021</v>
      </c>
      <c r="AV238">
        <v>47</v>
      </c>
      <c r="AW238">
        <v>4</v>
      </c>
      <c r="AX238" t="s">
        <v>74</v>
      </c>
      <c r="AY238" t="s">
        <v>74</v>
      </c>
      <c r="AZ238" t="s">
        <v>74</v>
      </c>
      <c r="BA238" t="s">
        <v>74</v>
      </c>
      <c r="BB238">
        <v>648</v>
      </c>
      <c r="BC238">
        <v>665</v>
      </c>
      <c r="BD238" t="s">
        <v>5077</v>
      </c>
      <c r="BE238" t="s">
        <v>5078</v>
      </c>
      <c r="BF238" t="str">
        <f>HYPERLINK("http://dx.doi.org/10.1017/pab.2021.8","http://dx.doi.org/10.1017/pab.2021.8")</f>
        <v>http://dx.doi.org/10.1017/pab.2021.8</v>
      </c>
      <c r="BG238" t="s">
        <v>74</v>
      </c>
      <c r="BH238" t="s">
        <v>74</v>
      </c>
      <c r="BI238">
        <v>18</v>
      </c>
      <c r="BJ238" t="s">
        <v>5079</v>
      </c>
      <c r="BK238" t="s">
        <v>101</v>
      </c>
      <c r="BL238" t="s">
        <v>5080</v>
      </c>
      <c r="BM238" t="s">
        <v>5081</v>
      </c>
      <c r="BN238" t="s">
        <v>74</v>
      </c>
      <c r="BO238" t="s">
        <v>74</v>
      </c>
      <c r="BP238" t="s">
        <v>74</v>
      </c>
      <c r="BQ238" t="s">
        <v>74</v>
      </c>
      <c r="BR238" t="s">
        <v>105</v>
      </c>
      <c r="BS238" t="s">
        <v>5082</v>
      </c>
      <c r="BT238" t="str">
        <f>HYPERLINK("https%3A%2F%2Fwww.webofscience.com%2Fwos%2Fwoscc%2Ffull-record%2FWOS:000723750300008","View Full Record in Web of Science")</f>
        <v>View Full Record in Web of Science</v>
      </c>
    </row>
    <row r="239" spans="1:72" x14ac:dyDescent="0.15">
      <c r="A239" t="s">
        <v>72</v>
      </c>
      <c r="B239" t="s">
        <v>5083</v>
      </c>
      <c r="C239" t="s">
        <v>74</v>
      </c>
      <c r="D239" t="s">
        <v>74</v>
      </c>
      <c r="E239" t="s">
        <v>74</v>
      </c>
      <c r="F239" t="s">
        <v>5084</v>
      </c>
      <c r="G239" t="s">
        <v>74</v>
      </c>
      <c r="H239" t="s">
        <v>74</v>
      </c>
      <c r="I239" t="s">
        <v>5085</v>
      </c>
      <c r="J239" t="s">
        <v>5086</v>
      </c>
      <c r="K239" t="s">
        <v>74</v>
      </c>
      <c r="L239" t="s">
        <v>74</v>
      </c>
      <c r="M239" t="s">
        <v>78</v>
      </c>
      <c r="N239" t="s">
        <v>79</v>
      </c>
      <c r="O239" t="s">
        <v>74</v>
      </c>
      <c r="P239" t="s">
        <v>74</v>
      </c>
      <c r="Q239" t="s">
        <v>74</v>
      </c>
      <c r="R239" t="s">
        <v>74</v>
      </c>
      <c r="S239" t="s">
        <v>74</v>
      </c>
      <c r="T239" t="s">
        <v>74</v>
      </c>
      <c r="U239" t="s">
        <v>5087</v>
      </c>
      <c r="V239" t="s">
        <v>5088</v>
      </c>
      <c r="W239" t="s">
        <v>5089</v>
      </c>
      <c r="X239" t="s">
        <v>5090</v>
      </c>
      <c r="Y239" t="s">
        <v>5091</v>
      </c>
      <c r="Z239" t="s">
        <v>5092</v>
      </c>
      <c r="AA239" t="s">
        <v>5093</v>
      </c>
      <c r="AB239" t="s">
        <v>5094</v>
      </c>
      <c r="AC239" t="s">
        <v>5095</v>
      </c>
      <c r="AD239" t="s">
        <v>5096</v>
      </c>
      <c r="AE239" t="s">
        <v>5097</v>
      </c>
      <c r="AF239" t="s">
        <v>74</v>
      </c>
      <c r="AG239">
        <v>167</v>
      </c>
      <c r="AH239">
        <v>8</v>
      </c>
      <c r="AI239">
        <v>8</v>
      </c>
      <c r="AJ239">
        <v>3</v>
      </c>
      <c r="AK239">
        <v>39</v>
      </c>
      <c r="AL239" t="s">
        <v>760</v>
      </c>
      <c r="AM239" t="s">
        <v>438</v>
      </c>
      <c r="AN239" t="s">
        <v>761</v>
      </c>
      <c r="AO239" t="s">
        <v>5098</v>
      </c>
      <c r="AP239" t="s">
        <v>5099</v>
      </c>
      <c r="AQ239" t="s">
        <v>74</v>
      </c>
      <c r="AR239" t="s">
        <v>5100</v>
      </c>
      <c r="AS239" t="s">
        <v>5101</v>
      </c>
      <c r="AT239" t="s">
        <v>310</v>
      </c>
      <c r="AU239">
        <v>2021</v>
      </c>
      <c r="AV239">
        <v>36</v>
      </c>
      <c r="AW239">
        <v>11</v>
      </c>
      <c r="AX239" t="s">
        <v>74</v>
      </c>
      <c r="AY239" t="s">
        <v>74</v>
      </c>
      <c r="AZ239" t="s">
        <v>74</v>
      </c>
      <c r="BA239" t="s">
        <v>74</v>
      </c>
      <c r="BB239" t="s">
        <v>74</v>
      </c>
      <c r="BC239" t="s">
        <v>74</v>
      </c>
      <c r="BD239" t="s">
        <v>5102</v>
      </c>
      <c r="BE239" t="s">
        <v>5103</v>
      </c>
      <c r="BF239" t="str">
        <f>HYPERLINK("http://dx.doi.org/10.1029/2021PA004298","http://dx.doi.org/10.1029/2021PA004298")</f>
        <v>http://dx.doi.org/10.1029/2021PA004298</v>
      </c>
      <c r="BG239" t="s">
        <v>74</v>
      </c>
      <c r="BH239" t="s">
        <v>74</v>
      </c>
      <c r="BI239">
        <v>21</v>
      </c>
      <c r="BJ239" t="s">
        <v>5104</v>
      </c>
      <c r="BK239" t="s">
        <v>101</v>
      </c>
      <c r="BL239" t="s">
        <v>5105</v>
      </c>
      <c r="BM239" t="s">
        <v>5106</v>
      </c>
      <c r="BN239" t="s">
        <v>74</v>
      </c>
      <c r="BO239" t="s">
        <v>74</v>
      </c>
      <c r="BP239" t="s">
        <v>74</v>
      </c>
      <c r="BQ239" t="s">
        <v>74</v>
      </c>
      <c r="BR239" t="s">
        <v>105</v>
      </c>
      <c r="BS239" t="s">
        <v>5107</v>
      </c>
      <c r="BT239" t="str">
        <f>HYPERLINK("https%3A%2F%2Fwww.webofscience.com%2Fwos%2Fwoscc%2Ffull-record%2FWOS:000722490500003","View Full Record in Web of Science")</f>
        <v>View Full Record in Web of Science</v>
      </c>
    </row>
    <row r="240" spans="1:72" x14ac:dyDescent="0.15">
      <c r="A240" t="s">
        <v>72</v>
      </c>
      <c r="B240" t="s">
        <v>5108</v>
      </c>
      <c r="C240" t="s">
        <v>74</v>
      </c>
      <c r="D240" t="s">
        <v>74</v>
      </c>
      <c r="E240" t="s">
        <v>74</v>
      </c>
      <c r="F240" t="s">
        <v>5109</v>
      </c>
      <c r="G240" t="s">
        <v>74</v>
      </c>
      <c r="H240" t="s">
        <v>74</v>
      </c>
      <c r="I240" t="s">
        <v>5110</v>
      </c>
      <c r="J240" t="s">
        <v>5111</v>
      </c>
      <c r="K240" t="s">
        <v>74</v>
      </c>
      <c r="L240" t="s">
        <v>74</v>
      </c>
      <c r="M240" t="s">
        <v>78</v>
      </c>
      <c r="N240" t="s">
        <v>79</v>
      </c>
      <c r="O240" t="s">
        <v>74</v>
      </c>
      <c r="P240" t="s">
        <v>74</v>
      </c>
      <c r="Q240" t="s">
        <v>74</v>
      </c>
      <c r="R240" t="s">
        <v>74</v>
      </c>
      <c r="S240" t="s">
        <v>74</v>
      </c>
      <c r="T240" t="s">
        <v>5112</v>
      </c>
      <c r="U240" t="s">
        <v>5113</v>
      </c>
      <c r="V240" t="s">
        <v>5114</v>
      </c>
      <c r="W240" t="s">
        <v>5115</v>
      </c>
      <c r="X240" t="s">
        <v>5116</v>
      </c>
      <c r="Y240" t="s">
        <v>5117</v>
      </c>
      <c r="Z240" t="s">
        <v>5118</v>
      </c>
      <c r="AA240" t="s">
        <v>5119</v>
      </c>
      <c r="AB240" t="s">
        <v>74</v>
      </c>
      <c r="AC240" t="s">
        <v>74</v>
      </c>
      <c r="AD240" t="s">
        <v>74</v>
      </c>
      <c r="AE240" t="s">
        <v>74</v>
      </c>
      <c r="AF240" t="s">
        <v>74</v>
      </c>
      <c r="AG240">
        <v>53</v>
      </c>
      <c r="AH240">
        <v>0</v>
      </c>
      <c r="AI240">
        <v>0</v>
      </c>
      <c r="AJ240">
        <v>1</v>
      </c>
      <c r="AK240">
        <v>3</v>
      </c>
      <c r="AL240" t="s">
        <v>5120</v>
      </c>
      <c r="AM240" t="s">
        <v>5121</v>
      </c>
      <c r="AN240" t="s">
        <v>5122</v>
      </c>
      <c r="AO240" t="s">
        <v>5123</v>
      </c>
      <c r="AP240" t="s">
        <v>5124</v>
      </c>
      <c r="AQ240" t="s">
        <v>74</v>
      </c>
      <c r="AR240" t="s">
        <v>5125</v>
      </c>
      <c r="AS240" t="s">
        <v>5126</v>
      </c>
      <c r="AT240" t="s">
        <v>310</v>
      </c>
      <c r="AU240">
        <v>2021</v>
      </c>
      <c r="AV240">
        <v>42</v>
      </c>
      <c r="AW240">
        <v>15</v>
      </c>
      <c r="AX240" t="s">
        <v>74</v>
      </c>
      <c r="AY240" t="s">
        <v>74</v>
      </c>
      <c r="AZ240" t="s">
        <v>74</v>
      </c>
      <c r="BA240" t="s">
        <v>74</v>
      </c>
      <c r="BB240">
        <v>241</v>
      </c>
      <c r="BC240">
        <v>251</v>
      </c>
      <c r="BD240" t="s">
        <v>74</v>
      </c>
      <c r="BE240" t="s">
        <v>5127</v>
      </c>
      <c r="BF240" t="str">
        <f>HYPERLINK("http://dx.doi.org/10.5252/cryptogamie-algologie2021v42a15","http://dx.doi.org/10.5252/cryptogamie-algologie2021v42a15")</f>
        <v>http://dx.doi.org/10.5252/cryptogamie-algologie2021v42a15</v>
      </c>
      <c r="BG240" t="s">
        <v>74</v>
      </c>
      <c r="BH240" t="s">
        <v>74</v>
      </c>
      <c r="BI240">
        <v>11</v>
      </c>
      <c r="BJ240" t="s">
        <v>2215</v>
      </c>
      <c r="BK240" t="s">
        <v>101</v>
      </c>
      <c r="BL240" t="s">
        <v>2215</v>
      </c>
      <c r="BM240" t="s">
        <v>5128</v>
      </c>
      <c r="BN240" t="s">
        <v>74</v>
      </c>
      <c r="BO240" t="s">
        <v>74</v>
      </c>
      <c r="BP240" t="s">
        <v>74</v>
      </c>
      <c r="BQ240" t="s">
        <v>74</v>
      </c>
      <c r="BR240" t="s">
        <v>105</v>
      </c>
      <c r="BS240" t="s">
        <v>5129</v>
      </c>
      <c r="BT240" t="str">
        <f>HYPERLINK("https%3A%2F%2Fwww.webofscience.com%2Fwos%2Fwoscc%2Ffull-record%2FWOS:000723671000001","View Full Record in Web of Science")</f>
        <v>View Full Record in Web of Science</v>
      </c>
    </row>
    <row r="241" spans="1:72" x14ac:dyDescent="0.15">
      <c r="A241" t="s">
        <v>72</v>
      </c>
      <c r="B241" t="s">
        <v>5130</v>
      </c>
      <c r="C241" t="s">
        <v>74</v>
      </c>
      <c r="D241" t="s">
        <v>74</v>
      </c>
      <c r="E241" t="s">
        <v>74</v>
      </c>
      <c r="F241" t="s">
        <v>5131</v>
      </c>
      <c r="G241" t="s">
        <v>74</v>
      </c>
      <c r="H241" t="s">
        <v>74</v>
      </c>
      <c r="I241" t="s">
        <v>5132</v>
      </c>
      <c r="J241" t="s">
        <v>5133</v>
      </c>
      <c r="K241" t="s">
        <v>74</v>
      </c>
      <c r="L241" t="s">
        <v>74</v>
      </c>
      <c r="M241" t="s">
        <v>78</v>
      </c>
      <c r="N241" t="s">
        <v>79</v>
      </c>
      <c r="O241" t="s">
        <v>74</v>
      </c>
      <c r="P241" t="s">
        <v>74</v>
      </c>
      <c r="Q241" t="s">
        <v>74</v>
      </c>
      <c r="R241" t="s">
        <v>74</v>
      </c>
      <c r="S241" t="s">
        <v>74</v>
      </c>
      <c r="T241" t="s">
        <v>5134</v>
      </c>
      <c r="U241" t="s">
        <v>5135</v>
      </c>
      <c r="V241" t="s">
        <v>5136</v>
      </c>
      <c r="W241" t="s">
        <v>5137</v>
      </c>
      <c r="X241" t="s">
        <v>5138</v>
      </c>
      <c r="Y241" t="s">
        <v>5139</v>
      </c>
      <c r="Z241" t="s">
        <v>5140</v>
      </c>
      <c r="AA241" t="s">
        <v>5141</v>
      </c>
      <c r="AB241" t="s">
        <v>5142</v>
      </c>
      <c r="AC241" t="s">
        <v>5143</v>
      </c>
      <c r="AD241" t="s">
        <v>5144</v>
      </c>
      <c r="AE241" t="s">
        <v>5145</v>
      </c>
      <c r="AF241" t="s">
        <v>74</v>
      </c>
      <c r="AG241">
        <v>44</v>
      </c>
      <c r="AH241">
        <v>14</v>
      </c>
      <c r="AI241">
        <v>15</v>
      </c>
      <c r="AJ241">
        <v>2</v>
      </c>
      <c r="AK241">
        <v>17</v>
      </c>
      <c r="AL241" t="s">
        <v>760</v>
      </c>
      <c r="AM241" t="s">
        <v>438</v>
      </c>
      <c r="AN241" t="s">
        <v>761</v>
      </c>
      <c r="AO241" t="s">
        <v>74</v>
      </c>
      <c r="AP241" t="s">
        <v>5146</v>
      </c>
      <c r="AQ241" t="s">
        <v>74</v>
      </c>
      <c r="AR241" t="s">
        <v>5147</v>
      </c>
      <c r="AS241" t="s">
        <v>5148</v>
      </c>
      <c r="AT241" t="s">
        <v>310</v>
      </c>
      <c r="AU241">
        <v>2021</v>
      </c>
      <c r="AV241">
        <v>13</v>
      </c>
      <c r="AW241">
        <v>11</v>
      </c>
      <c r="AX241" t="s">
        <v>74</v>
      </c>
      <c r="AY241" t="s">
        <v>74</v>
      </c>
      <c r="AZ241" t="s">
        <v>74</v>
      </c>
      <c r="BA241" t="s">
        <v>74</v>
      </c>
      <c r="BB241" t="s">
        <v>74</v>
      </c>
      <c r="BC241" t="s">
        <v>74</v>
      </c>
      <c r="BD241" t="s">
        <v>5149</v>
      </c>
      <c r="BE241" t="s">
        <v>5150</v>
      </c>
      <c r="BF241" t="str">
        <f>HYPERLINK("http://dx.doi.org/10.1029/2021MS002532","http://dx.doi.org/10.1029/2021MS002532")</f>
        <v>http://dx.doi.org/10.1029/2021MS002532</v>
      </c>
      <c r="BG241" t="s">
        <v>74</v>
      </c>
      <c r="BH241" t="s">
        <v>74</v>
      </c>
      <c r="BI241">
        <v>19</v>
      </c>
      <c r="BJ241" t="s">
        <v>829</v>
      </c>
      <c r="BK241" t="s">
        <v>101</v>
      </c>
      <c r="BL241" t="s">
        <v>829</v>
      </c>
      <c r="BM241" t="s">
        <v>5151</v>
      </c>
      <c r="BN241" t="s">
        <v>74</v>
      </c>
      <c r="BO241" t="s">
        <v>74</v>
      </c>
      <c r="BP241" t="s">
        <v>74</v>
      </c>
      <c r="BQ241" t="s">
        <v>74</v>
      </c>
      <c r="BR241" t="s">
        <v>105</v>
      </c>
      <c r="BS241" t="s">
        <v>5152</v>
      </c>
      <c r="BT241" t="str">
        <f>HYPERLINK("https%3A%2F%2Fwww.webofscience.com%2Fwos%2Fwoscc%2Ffull-record%2FWOS:000723144900015","View Full Record in Web of Science")</f>
        <v>View Full Record in Web of Science</v>
      </c>
    </row>
    <row r="242" spans="1:72" x14ac:dyDescent="0.15">
      <c r="A242" t="s">
        <v>72</v>
      </c>
      <c r="B242" t="s">
        <v>5153</v>
      </c>
      <c r="C242" t="s">
        <v>74</v>
      </c>
      <c r="D242" t="s">
        <v>74</v>
      </c>
      <c r="E242" t="s">
        <v>74</v>
      </c>
      <c r="F242" t="s">
        <v>5154</v>
      </c>
      <c r="G242" t="s">
        <v>74</v>
      </c>
      <c r="H242" t="s">
        <v>74</v>
      </c>
      <c r="I242" t="s">
        <v>5155</v>
      </c>
      <c r="J242" t="s">
        <v>5133</v>
      </c>
      <c r="K242" t="s">
        <v>74</v>
      </c>
      <c r="L242" t="s">
        <v>74</v>
      </c>
      <c r="M242" t="s">
        <v>78</v>
      </c>
      <c r="N242" t="s">
        <v>79</v>
      </c>
      <c r="O242" t="s">
        <v>74</v>
      </c>
      <c r="P242" t="s">
        <v>74</v>
      </c>
      <c r="Q242" t="s">
        <v>74</v>
      </c>
      <c r="R242" t="s">
        <v>74</v>
      </c>
      <c r="S242" t="s">
        <v>74</v>
      </c>
      <c r="T242" t="s">
        <v>74</v>
      </c>
      <c r="U242" t="s">
        <v>5156</v>
      </c>
      <c r="V242" t="s">
        <v>5157</v>
      </c>
      <c r="W242" t="s">
        <v>5158</v>
      </c>
      <c r="X242" t="s">
        <v>5159</v>
      </c>
      <c r="Y242" t="s">
        <v>5160</v>
      </c>
      <c r="Z242" t="s">
        <v>5161</v>
      </c>
      <c r="AA242" t="s">
        <v>5162</v>
      </c>
      <c r="AB242" t="s">
        <v>5163</v>
      </c>
      <c r="AC242" t="s">
        <v>2822</v>
      </c>
      <c r="AD242" t="s">
        <v>2822</v>
      </c>
      <c r="AE242" t="s">
        <v>5164</v>
      </c>
      <c r="AF242" t="s">
        <v>74</v>
      </c>
      <c r="AG242">
        <v>49</v>
      </c>
      <c r="AH242">
        <v>20</v>
      </c>
      <c r="AI242">
        <v>20</v>
      </c>
      <c r="AJ242">
        <v>0</v>
      </c>
      <c r="AK242">
        <v>4</v>
      </c>
      <c r="AL242" t="s">
        <v>760</v>
      </c>
      <c r="AM242" t="s">
        <v>438</v>
      </c>
      <c r="AN242" t="s">
        <v>761</v>
      </c>
      <c r="AO242" t="s">
        <v>74</v>
      </c>
      <c r="AP242" t="s">
        <v>5146</v>
      </c>
      <c r="AQ242" t="s">
        <v>74</v>
      </c>
      <c r="AR242" t="s">
        <v>5147</v>
      </c>
      <c r="AS242" t="s">
        <v>5148</v>
      </c>
      <c r="AT242" t="s">
        <v>310</v>
      </c>
      <c r="AU242">
        <v>2021</v>
      </c>
      <c r="AV242">
        <v>13</v>
      </c>
      <c r="AW242">
        <v>11</v>
      </c>
      <c r="AX242" t="s">
        <v>74</v>
      </c>
      <c r="AY242" t="s">
        <v>74</v>
      </c>
      <c r="AZ242" t="s">
        <v>74</v>
      </c>
      <c r="BA242" t="s">
        <v>74</v>
      </c>
      <c r="BB242" t="s">
        <v>74</v>
      </c>
      <c r="BC242" t="s">
        <v>74</v>
      </c>
      <c r="BD242" t="s">
        <v>5165</v>
      </c>
      <c r="BE242" t="s">
        <v>5166</v>
      </c>
      <c r="BF242" t="str">
        <f>HYPERLINK("http://dx.doi.org/10.1029/2021MS002523","http://dx.doi.org/10.1029/2021MS002523")</f>
        <v>http://dx.doi.org/10.1029/2021MS002523</v>
      </c>
      <c r="BG242" t="s">
        <v>74</v>
      </c>
      <c r="BH242" t="s">
        <v>74</v>
      </c>
      <c r="BI242">
        <v>16</v>
      </c>
      <c r="BJ242" t="s">
        <v>829</v>
      </c>
      <c r="BK242" t="s">
        <v>101</v>
      </c>
      <c r="BL242" t="s">
        <v>829</v>
      </c>
      <c r="BM242" t="s">
        <v>5151</v>
      </c>
      <c r="BN242" t="s">
        <v>74</v>
      </c>
      <c r="BO242" t="s">
        <v>3779</v>
      </c>
      <c r="BP242" t="s">
        <v>74</v>
      </c>
      <c r="BQ242" t="s">
        <v>74</v>
      </c>
      <c r="BR242" t="s">
        <v>105</v>
      </c>
      <c r="BS242" t="s">
        <v>5167</v>
      </c>
      <c r="BT242" t="str">
        <f>HYPERLINK("https%3A%2F%2Fwww.webofscience.com%2Fwos%2Fwoscc%2Ffull-record%2FWOS:000723144900001","View Full Record in Web of Science")</f>
        <v>View Full Record in Web of Science</v>
      </c>
    </row>
    <row r="243" spans="1:72" x14ac:dyDescent="0.15">
      <c r="A243" t="s">
        <v>72</v>
      </c>
      <c r="B243" t="s">
        <v>5168</v>
      </c>
      <c r="C243" t="s">
        <v>74</v>
      </c>
      <c r="D243" t="s">
        <v>74</v>
      </c>
      <c r="E243" t="s">
        <v>74</v>
      </c>
      <c r="F243" t="s">
        <v>5169</v>
      </c>
      <c r="G243" t="s">
        <v>74</v>
      </c>
      <c r="H243" t="s">
        <v>74</v>
      </c>
      <c r="I243" t="s">
        <v>5170</v>
      </c>
      <c r="J243" t="s">
        <v>5133</v>
      </c>
      <c r="K243" t="s">
        <v>74</v>
      </c>
      <c r="L243" t="s">
        <v>74</v>
      </c>
      <c r="M243" t="s">
        <v>78</v>
      </c>
      <c r="N243" t="s">
        <v>79</v>
      </c>
      <c r="O243" t="s">
        <v>74</v>
      </c>
      <c r="P243" t="s">
        <v>74</v>
      </c>
      <c r="Q243" t="s">
        <v>74</v>
      </c>
      <c r="R243" t="s">
        <v>74</v>
      </c>
      <c r="S243" t="s">
        <v>74</v>
      </c>
      <c r="T243" t="s">
        <v>74</v>
      </c>
      <c r="U243" t="s">
        <v>5171</v>
      </c>
      <c r="V243" t="s">
        <v>5172</v>
      </c>
      <c r="W243" t="s">
        <v>5173</v>
      </c>
      <c r="X243" t="s">
        <v>5174</v>
      </c>
      <c r="Y243" t="s">
        <v>5175</v>
      </c>
      <c r="Z243" t="s">
        <v>5176</v>
      </c>
      <c r="AA243" t="s">
        <v>74</v>
      </c>
      <c r="AB243" t="s">
        <v>5177</v>
      </c>
      <c r="AC243" t="s">
        <v>5178</v>
      </c>
      <c r="AD243" t="s">
        <v>5179</v>
      </c>
      <c r="AE243" t="s">
        <v>5180</v>
      </c>
      <c r="AF243" t="s">
        <v>74</v>
      </c>
      <c r="AG243">
        <v>94</v>
      </c>
      <c r="AH243">
        <v>12</v>
      </c>
      <c r="AI243">
        <v>13</v>
      </c>
      <c r="AJ243">
        <v>1</v>
      </c>
      <c r="AK243">
        <v>22</v>
      </c>
      <c r="AL243" t="s">
        <v>760</v>
      </c>
      <c r="AM243" t="s">
        <v>438</v>
      </c>
      <c r="AN243" t="s">
        <v>761</v>
      </c>
      <c r="AO243" t="s">
        <v>74</v>
      </c>
      <c r="AP243" t="s">
        <v>5146</v>
      </c>
      <c r="AQ243" t="s">
        <v>74</v>
      </c>
      <c r="AR243" t="s">
        <v>5147</v>
      </c>
      <c r="AS243" t="s">
        <v>5148</v>
      </c>
      <c r="AT243" t="s">
        <v>310</v>
      </c>
      <c r="AU243">
        <v>2021</v>
      </c>
      <c r="AV243">
        <v>13</v>
      </c>
      <c r="AW243">
        <v>11</v>
      </c>
      <c r="AX243" t="s">
        <v>74</v>
      </c>
      <c r="AY243" t="s">
        <v>74</v>
      </c>
      <c r="AZ243" t="s">
        <v>74</v>
      </c>
      <c r="BA243" t="s">
        <v>74</v>
      </c>
      <c r="BB243" t="s">
        <v>74</v>
      </c>
      <c r="BC243" t="s">
        <v>74</v>
      </c>
      <c r="BD243" t="s">
        <v>5181</v>
      </c>
      <c r="BE243" t="s">
        <v>5182</v>
      </c>
      <c r="BF243" t="str">
        <f>HYPERLINK("http://dx.doi.org/10.1029/2021MS002621","http://dx.doi.org/10.1029/2021MS002621")</f>
        <v>http://dx.doi.org/10.1029/2021MS002621</v>
      </c>
      <c r="BG243" t="s">
        <v>74</v>
      </c>
      <c r="BH243" t="s">
        <v>74</v>
      </c>
      <c r="BI243">
        <v>27</v>
      </c>
      <c r="BJ243" t="s">
        <v>829</v>
      </c>
      <c r="BK243" t="s">
        <v>101</v>
      </c>
      <c r="BL243" t="s">
        <v>829</v>
      </c>
      <c r="BM243" t="s">
        <v>5151</v>
      </c>
      <c r="BN243" t="s">
        <v>74</v>
      </c>
      <c r="BO243" t="s">
        <v>1070</v>
      </c>
      <c r="BP243" t="s">
        <v>74</v>
      </c>
      <c r="BQ243" t="s">
        <v>74</v>
      </c>
      <c r="BR243" t="s">
        <v>105</v>
      </c>
      <c r="BS243" t="s">
        <v>5183</v>
      </c>
      <c r="BT243" t="str">
        <f>HYPERLINK("https%3A%2F%2Fwww.webofscience.com%2Fwos%2Fwoscc%2Ffull-record%2FWOS:000723144900014","View Full Record in Web of Science")</f>
        <v>View Full Record in Web of Science</v>
      </c>
    </row>
    <row r="244" spans="1:72" x14ac:dyDescent="0.15">
      <c r="A244" t="s">
        <v>72</v>
      </c>
      <c r="B244" t="s">
        <v>5184</v>
      </c>
      <c r="C244" t="s">
        <v>74</v>
      </c>
      <c r="D244" t="s">
        <v>74</v>
      </c>
      <c r="E244" t="s">
        <v>74</v>
      </c>
      <c r="F244" t="s">
        <v>5185</v>
      </c>
      <c r="G244" t="s">
        <v>74</v>
      </c>
      <c r="H244" t="s">
        <v>74</v>
      </c>
      <c r="I244" t="s">
        <v>5186</v>
      </c>
      <c r="J244" t="s">
        <v>5187</v>
      </c>
      <c r="K244" t="s">
        <v>74</v>
      </c>
      <c r="L244" t="s">
        <v>74</v>
      </c>
      <c r="M244" t="s">
        <v>78</v>
      </c>
      <c r="N244" t="s">
        <v>79</v>
      </c>
      <c r="O244" t="s">
        <v>74</v>
      </c>
      <c r="P244" t="s">
        <v>74</v>
      </c>
      <c r="Q244" t="s">
        <v>74</v>
      </c>
      <c r="R244" t="s">
        <v>74</v>
      </c>
      <c r="S244" t="s">
        <v>74</v>
      </c>
      <c r="T244" t="s">
        <v>5188</v>
      </c>
      <c r="U244" t="s">
        <v>5189</v>
      </c>
      <c r="V244" t="s">
        <v>5190</v>
      </c>
      <c r="W244" t="s">
        <v>5191</v>
      </c>
      <c r="X244" t="s">
        <v>5192</v>
      </c>
      <c r="Y244" t="s">
        <v>5193</v>
      </c>
      <c r="Z244" t="s">
        <v>5194</v>
      </c>
      <c r="AA244" t="s">
        <v>5195</v>
      </c>
      <c r="AB244" t="s">
        <v>5196</v>
      </c>
      <c r="AC244" t="s">
        <v>5197</v>
      </c>
      <c r="AD244" t="s">
        <v>5198</v>
      </c>
      <c r="AE244" t="s">
        <v>5199</v>
      </c>
      <c r="AF244" t="s">
        <v>74</v>
      </c>
      <c r="AG244">
        <v>99</v>
      </c>
      <c r="AH244">
        <v>16</v>
      </c>
      <c r="AI244">
        <v>16</v>
      </c>
      <c r="AJ244">
        <v>10</v>
      </c>
      <c r="AK244">
        <v>60</v>
      </c>
      <c r="AL244" t="s">
        <v>760</v>
      </c>
      <c r="AM244" t="s">
        <v>438</v>
      </c>
      <c r="AN244" t="s">
        <v>761</v>
      </c>
      <c r="AO244" t="s">
        <v>5200</v>
      </c>
      <c r="AP244" t="s">
        <v>5201</v>
      </c>
      <c r="AQ244" t="s">
        <v>74</v>
      </c>
      <c r="AR244" t="s">
        <v>5202</v>
      </c>
      <c r="AS244" t="s">
        <v>5203</v>
      </c>
      <c r="AT244" t="s">
        <v>310</v>
      </c>
      <c r="AU244">
        <v>2021</v>
      </c>
      <c r="AV244">
        <v>126</v>
      </c>
      <c r="AW244">
        <v>11</v>
      </c>
      <c r="AX244" t="s">
        <v>74</v>
      </c>
      <c r="AY244" t="s">
        <v>74</v>
      </c>
      <c r="AZ244" t="s">
        <v>74</v>
      </c>
      <c r="BA244" t="s">
        <v>74</v>
      </c>
      <c r="BB244" t="s">
        <v>74</v>
      </c>
      <c r="BC244" t="s">
        <v>74</v>
      </c>
      <c r="BD244" t="s">
        <v>5204</v>
      </c>
      <c r="BE244" t="s">
        <v>5205</v>
      </c>
      <c r="BF244" t="str">
        <f>HYPERLINK("http://dx.doi.org/10.1029/2021JG006543","http://dx.doi.org/10.1029/2021JG006543")</f>
        <v>http://dx.doi.org/10.1029/2021JG006543</v>
      </c>
      <c r="BG244" t="s">
        <v>74</v>
      </c>
      <c r="BH244" t="s">
        <v>74</v>
      </c>
      <c r="BI244">
        <v>18</v>
      </c>
      <c r="BJ244" t="s">
        <v>5206</v>
      </c>
      <c r="BK244" t="s">
        <v>101</v>
      </c>
      <c r="BL244" t="s">
        <v>1573</v>
      </c>
      <c r="BM244" t="s">
        <v>5207</v>
      </c>
      <c r="BN244" t="s">
        <v>74</v>
      </c>
      <c r="BO244" t="s">
        <v>343</v>
      </c>
      <c r="BP244" t="s">
        <v>74</v>
      </c>
      <c r="BQ244" t="s">
        <v>74</v>
      </c>
      <c r="BR244" t="s">
        <v>105</v>
      </c>
      <c r="BS244" t="s">
        <v>5208</v>
      </c>
      <c r="BT244" t="str">
        <f>HYPERLINK("https%3A%2F%2Fwww.webofscience.com%2Fwos%2Fwoscc%2Ffull-record%2FWOS:000722469900003","View Full Record in Web of Science")</f>
        <v>View Full Record in Web of Science</v>
      </c>
    </row>
    <row r="245" spans="1:72" x14ac:dyDescent="0.15">
      <c r="A245" t="s">
        <v>72</v>
      </c>
      <c r="B245" t="s">
        <v>5209</v>
      </c>
      <c r="C245" t="s">
        <v>74</v>
      </c>
      <c r="D245" t="s">
        <v>74</v>
      </c>
      <c r="E245" t="s">
        <v>74</v>
      </c>
      <c r="F245" t="s">
        <v>5210</v>
      </c>
      <c r="G245" t="s">
        <v>74</v>
      </c>
      <c r="H245" t="s">
        <v>74</v>
      </c>
      <c r="I245" t="s">
        <v>5211</v>
      </c>
      <c r="J245" t="s">
        <v>5212</v>
      </c>
      <c r="K245" t="s">
        <v>74</v>
      </c>
      <c r="L245" t="s">
        <v>74</v>
      </c>
      <c r="M245" t="s">
        <v>78</v>
      </c>
      <c r="N245" t="s">
        <v>79</v>
      </c>
      <c r="O245" t="s">
        <v>74</v>
      </c>
      <c r="P245" t="s">
        <v>74</v>
      </c>
      <c r="Q245" t="s">
        <v>74</v>
      </c>
      <c r="R245" t="s">
        <v>74</v>
      </c>
      <c r="S245" t="s">
        <v>74</v>
      </c>
      <c r="T245" t="s">
        <v>74</v>
      </c>
      <c r="U245" t="s">
        <v>5213</v>
      </c>
      <c r="V245" t="s">
        <v>5214</v>
      </c>
      <c r="W245" t="s">
        <v>5215</v>
      </c>
      <c r="X245" t="s">
        <v>5216</v>
      </c>
      <c r="Y245" t="s">
        <v>5217</v>
      </c>
      <c r="Z245" t="s">
        <v>5218</v>
      </c>
      <c r="AA245" t="s">
        <v>5219</v>
      </c>
      <c r="AB245" t="s">
        <v>5220</v>
      </c>
      <c r="AC245" t="s">
        <v>5221</v>
      </c>
      <c r="AD245" t="s">
        <v>5222</v>
      </c>
      <c r="AE245" t="s">
        <v>5223</v>
      </c>
      <c r="AF245" t="s">
        <v>74</v>
      </c>
      <c r="AG245">
        <v>44</v>
      </c>
      <c r="AH245">
        <v>6</v>
      </c>
      <c r="AI245">
        <v>8</v>
      </c>
      <c r="AJ245">
        <v>1</v>
      </c>
      <c r="AK245">
        <v>8</v>
      </c>
      <c r="AL245" t="s">
        <v>760</v>
      </c>
      <c r="AM245" t="s">
        <v>438</v>
      </c>
      <c r="AN245" t="s">
        <v>761</v>
      </c>
      <c r="AO245" t="s">
        <v>5224</v>
      </c>
      <c r="AP245" t="s">
        <v>5225</v>
      </c>
      <c r="AQ245" t="s">
        <v>74</v>
      </c>
      <c r="AR245" t="s">
        <v>5226</v>
      </c>
      <c r="AS245" t="s">
        <v>5227</v>
      </c>
      <c r="AT245" t="s">
        <v>310</v>
      </c>
      <c r="AU245">
        <v>2021</v>
      </c>
      <c r="AV245">
        <v>126</v>
      </c>
      <c r="AW245">
        <v>11</v>
      </c>
      <c r="AX245" t="s">
        <v>74</v>
      </c>
      <c r="AY245" t="s">
        <v>74</v>
      </c>
      <c r="AZ245" t="s">
        <v>74</v>
      </c>
      <c r="BA245" t="s">
        <v>74</v>
      </c>
      <c r="BB245" t="s">
        <v>74</v>
      </c>
      <c r="BC245" t="s">
        <v>74</v>
      </c>
      <c r="BD245" t="s">
        <v>5228</v>
      </c>
      <c r="BE245" t="s">
        <v>5229</v>
      </c>
      <c r="BF245" t="str">
        <f>HYPERLINK("http://dx.doi.org/10.1029/2021JA029787","http://dx.doi.org/10.1029/2021JA029787")</f>
        <v>http://dx.doi.org/10.1029/2021JA029787</v>
      </c>
      <c r="BG245" t="s">
        <v>74</v>
      </c>
      <c r="BH245" t="s">
        <v>74</v>
      </c>
      <c r="BI245">
        <v>11</v>
      </c>
      <c r="BJ245" t="s">
        <v>1721</v>
      </c>
      <c r="BK245" t="s">
        <v>101</v>
      </c>
      <c r="BL245" t="s">
        <v>1721</v>
      </c>
      <c r="BM245" t="s">
        <v>5230</v>
      </c>
      <c r="BN245" t="s">
        <v>74</v>
      </c>
      <c r="BO245" t="s">
        <v>314</v>
      </c>
      <c r="BP245" t="s">
        <v>74</v>
      </c>
      <c r="BQ245" t="s">
        <v>74</v>
      </c>
      <c r="BR245" t="s">
        <v>105</v>
      </c>
      <c r="BS245" t="s">
        <v>5231</v>
      </c>
      <c r="BT245" t="str">
        <f>HYPERLINK("https%3A%2F%2Fwww.webofscience.com%2Fwos%2Fwoscc%2Ffull-record%2FWOS:000723106200027","View Full Record in Web of Science")</f>
        <v>View Full Record in Web of Science</v>
      </c>
    </row>
    <row r="246" spans="1:72" x14ac:dyDescent="0.15">
      <c r="A246" t="s">
        <v>72</v>
      </c>
      <c r="B246" t="s">
        <v>5232</v>
      </c>
      <c r="C246" t="s">
        <v>74</v>
      </c>
      <c r="D246" t="s">
        <v>74</v>
      </c>
      <c r="E246" t="s">
        <v>74</v>
      </c>
      <c r="F246" t="s">
        <v>5233</v>
      </c>
      <c r="G246" t="s">
        <v>74</v>
      </c>
      <c r="H246" t="s">
        <v>74</v>
      </c>
      <c r="I246" t="s">
        <v>5234</v>
      </c>
      <c r="J246" t="s">
        <v>5212</v>
      </c>
      <c r="K246" t="s">
        <v>74</v>
      </c>
      <c r="L246" t="s">
        <v>74</v>
      </c>
      <c r="M246" t="s">
        <v>78</v>
      </c>
      <c r="N246" t="s">
        <v>79</v>
      </c>
      <c r="O246" t="s">
        <v>74</v>
      </c>
      <c r="P246" t="s">
        <v>74</v>
      </c>
      <c r="Q246" t="s">
        <v>74</v>
      </c>
      <c r="R246" t="s">
        <v>74</v>
      </c>
      <c r="S246" t="s">
        <v>74</v>
      </c>
      <c r="T246" t="s">
        <v>5235</v>
      </c>
      <c r="U246" t="s">
        <v>5236</v>
      </c>
      <c r="V246" t="s">
        <v>5237</v>
      </c>
      <c r="W246" t="s">
        <v>5238</v>
      </c>
      <c r="X246" t="s">
        <v>940</v>
      </c>
      <c r="Y246" t="s">
        <v>5239</v>
      </c>
      <c r="Z246" t="s">
        <v>5240</v>
      </c>
      <c r="AA246" t="s">
        <v>5241</v>
      </c>
      <c r="AB246" t="s">
        <v>5242</v>
      </c>
      <c r="AC246" t="s">
        <v>5243</v>
      </c>
      <c r="AD246" t="s">
        <v>5244</v>
      </c>
      <c r="AE246" t="s">
        <v>5245</v>
      </c>
      <c r="AF246" t="s">
        <v>74</v>
      </c>
      <c r="AG246">
        <v>59</v>
      </c>
      <c r="AH246">
        <v>4</v>
      </c>
      <c r="AI246">
        <v>4</v>
      </c>
      <c r="AJ246">
        <v>1</v>
      </c>
      <c r="AK246">
        <v>6</v>
      </c>
      <c r="AL246" t="s">
        <v>760</v>
      </c>
      <c r="AM246" t="s">
        <v>438</v>
      </c>
      <c r="AN246" t="s">
        <v>761</v>
      </c>
      <c r="AO246" t="s">
        <v>5224</v>
      </c>
      <c r="AP246" t="s">
        <v>5225</v>
      </c>
      <c r="AQ246" t="s">
        <v>74</v>
      </c>
      <c r="AR246" t="s">
        <v>5226</v>
      </c>
      <c r="AS246" t="s">
        <v>5227</v>
      </c>
      <c r="AT246" t="s">
        <v>310</v>
      </c>
      <c r="AU246">
        <v>2021</v>
      </c>
      <c r="AV246">
        <v>126</v>
      </c>
      <c r="AW246">
        <v>11</v>
      </c>
      <c r="AX246" t="s">
        <v>74</v>
      </c>
      <c r="AY246" t="s">
        <v>74</v>
      </c>
      <c r="AZ246" t="s">
        <v>74</v>
      </c>
      <c r="BA246" t="s">
        <v>74</v>
      </c>
      <c r="BB246" t="s">
        <v>74</v>
      </c>
      <c r="BC246" t="s">
        <v>74</v>
      </c>
      <c r="BD246" t="s">
        <v>5246</v>
      </c>
      <c r="BE246" t="s">
        <v>5247</v>
      </c>
      <c r="BF246" t="str">
        <f>HYPERLINK("http://dx.doi.org/10.1029/2021JA029307","http://dx.doi.org/10.1029/2021JA029307")</f>
        <v>http://dx.doi.org/10.1029/2021JA029307</v>
      </c>
      <c r="BG246" t="s">
        <v>74</v>
      </c>
      <c r="BH246" t="s">
        <v>74</v>
      </c>
      <c r="BI246">
        <v>16</v>
      </c>
      <c r="BJ246" t="s">
        <v>1721</v>
      </c>
      <c r="BK246" t="s">
        <v>101</v>
      </c>
      <c r="BL246" t="s">
        <v>1721</v>
      </c>
      <c r="BM246" t="s">
        <v>5230</v>
      </c>
      <c r="BN246" t="s">
        <v>74</v>
      </c>
      <c r="BO246" t="s">
        <v>314</v>
      </c>
      <c r="BP246" t="s">
        <v>74</v>
      </c>
      <c r="BQ246" t="s">
        <v>74</v>
      </c>
      <c r="BR246" t="s">
        <v>105</v>
      </c>
      <c r="BS246" t="s">
        <v>5248</v>
      </c>
      <c r="BT246" t="str">
        <f>HYPERLINK("https%3A%2F%2Fwww.webofscience.com%2Fwos%2Fwoscc%2Ffull-record%2FWOS:000723106200024","View Full Record in Web of Science")</f>
        <v>View Full Record in Web of Science</v>
      </c>
    </row>
    <row r="247" spans="1:72" x14ac:dyDescent="0.15">
      <c r="A247" t="s">
        <v>72</v>
      </c>
      <c r="B247" t="s">
        <v>5249</v>
      </c>
      <c r="C247" t="s">
        <v>74</v>
      </c>
      <c r="D247" t="s">
        <v>74</v>
      </c>
      <c r="E247" t="s">
        <v>74</v>
      </c>
      <c r="F247" t="s">
        <v>5250</v>
      </c>
      <c r="G247" t="s">
        <v>74</v>
      </c>
      <c r="H247" t="s">
        <v>74</v>
      </c>
      <c r="I247" t="s">
        <v>5251</v>
      </c>
      <c r="J247" t="s">
        <v>5252</v>
      </c>
      <c r="K247" t="s">
        <v>74</v>
      </c>
      <c r="L247" t="s">
        <v>74</v>
      </c>
      <c r="M247" t="s">
        <v>78</v>
      </c>
      <c r="N247" t="s">
        <v>79</v>
      </c>
      <c r="O247" t="s">
        <v>74</v>
      </c>
      <c r="P247" t="s">
        <v>74</v>
      </c>
      <c r="Q247" t="s">
        <v>74</v>
      </c>
      <c r="R247" t="s">
        <v>74</v>
      </c>
      <c r="S247" t="s">
        <v>74</v>
      </c>
      <c r="T247" t="s">
        <v>5253</v>
      </c>
      <c r="U247" t="s">
        <v>5254</v>
      </c>
      <c r="V247" t="s">
        <v>5255</v>
      </c>
      <c r="W247" t="s">
        <v>5256</v>
      </c>
      <c r="X247" t="s">
        <v>5257</v>
      </c>
      <c r="Y247" t="s">
        <v>5258</v>
      </c>
      <c r="Z247" t="s">
        <v>5259</v>
      </c>
      <c r="AA247" t="s">
        <v>5260</v>
      </c>
      <c r="AB247" t="s">
        <v>5261</v>
      </c>
      <c r="AC247" t="s">
        <v>5262</v>
      </c>
      <c r="AD247" t="s">
        <v>5262</v>
      </c>
      <c r="AE247" t="s">
        <v>5263</v>
      </c>
      <c r="AF247" t="s">
        <v>74</v>
      </c>
      <c r="AG247">
        <v>69</v>
      </c>
      <c r="AH247">
        <v>7</v>
      </c>
      <c r="AI247">
        <v>7</v>
      </c>
      <c r="AJ247">
        <v>0</v>
      </c>
      <c r="AK247">
        <v>6</v>
      </c>
      <c r="AL247" t="s">
        <v>4192</v>
      </c>
      <c r="AM247" t="s">
        <v>4193</v>
      </c>
      <c r="AN247" t="s">
        <v>4194</v>
      </c>
      <c r="AO247" t="s">
        <v>74</v>
      </c>
      <c r="AP247" t="s">
        <v>5264</v>
      </c>
      <c r="AQ247" t="s">
        <v>74</v>
      </c>
      <c r="AR247" t="s">
        <v>5252</v>
      </c>
      <c r="AS247" t="s">
        <v>5265</v>
      </c>
      <c r="AT247" t="s">
        <v>310</v>
      </c>
      <c r="AU247">
        <v>2021</v>
      </c>
      <c r="AV247">
        <v>10</v>
      </c>
      <c r="AW247">
        <v>11</v>
      </c>
      <c r="AX247" t="s">
        <v>74</v>
      </c>
      <c r="AY247" t="s">
        <v>74</v>
      </c>
      <c r="AZ247" t="s">
        <v>74</v>
      </c>
      <c r="BA247" t="s">
        <v>74</v>
      </c>
      <c r="BB247" t="s">
        <v>74</v>
      </c>
      <c r="BC247" t="s">
        <v>74</v>
      </c>
      <c r="BD247">
        <v>2468</v>
      </c>
      <c r="BE247" t="s">
        <v>5266</v>
      </c>
      <c r="BF247" t="str">
        <f>HYPERLINK("http://dx.doi.org/10.3390/plants10112468","http://dx.doi.org/10.3390/plants10112468")</f>
        <v>http://dx.doi.org/10.3390/plants10112468</v>
      </c>
      <c r="BG247" t="s">
        <v>74</v>
      </c>
      <c r="BH247" t="s">
        <v>74</v>
      </c>
      <c r="BI247">
        <v>21</v>
      </c>
      <c r="BJ247" t="s">
        <v>4148</v>
      </c>
      <c r="BK247" t="s">
        <v>101</v>
      </c>
      <c r="BL247" t="s">
        <v>4148</v>
      </c>
      <c r="BM247" t="s">
        <v>5267</v>
      </c>
      <c r="BN247">
        <v>34834831</v>
      </c>
      <c r="BO247" t="s">
        <v>394</v>
      </c>
      <c r="BP247" t="s">
        <v>74</v>
      </c>
      <c r="BQ247" t="s">
        <v>74</v>
      </c>
      <c r="BR247" t="s">
        <v>105</v>
      </c>
      <c r="BS247" t="s">
        <v>5268</v>
      </c>
      <c r="BT247" t="str">
        <f>HYPERLINK("https%3A%2F%2Fwww.webofscience.com%2Fwos%2Fwoscc%2Ffull-record%2FWOS:000723382300001","View Full Record in Web of Science")</f>
        <v>View Full Record in Web of Science</v>
      </c>
    </row>
    <row r="248" spans="1:72" x14ac:dyDescent="0.15">
      <c r="A248" t="s">
        <v>72</v>
      </c>
      <c r="B248" t="s">
        <v>5269</v>
      </c>
      <c r="C248" t="s">
        <v>74</v>
      </c>
      <c r="D248" t="s">
        <v>74</v>
      </c>
      <c r="E248" t="s">
        <v>74</v>
      </c>
      <c r="F248" t="s">
        <v>5270</v>
      </c>
      <c r="G248" t="s">
        <v>74</v>
      </c>
      <c r="H248" t="s">
        <v>74</v>
      </c>
      <c r="I248" t="s">
        <v>5271</v>
      </c>
      <c r="J248" t="s">
        <v>5272</v>
      </c>
      <c r="K248" t="s">
        <v>74</v>
      </c>
      <c r="L248" t="s">
        <v>74</v>
      </c>
      <c r="M248" t="s">
        <v>78</v>
      </c>
      <c r="N248" t="s">
        <v>1764</v>
      </c>
      <c r="O248" t="s">
        <v>74</v>
      </c>
      <c r="P248" t="s">
        <v>74</v>
      </c>
      <c r="Q248" t="s">
        <v>74</v>
      </c>
      <c r="R248" t="s">
        <v>74</v>
      </c>
      <c r="S248" t="s">
        <v>74</v>
      </c>
      <c r="T248" t="s">
        <v>74</v>
      </c>
      <c r="U248" t="s">
        <v>5273</v>
      </c>
      <c r="V248" t="s">
        <v>74</v>
      </c>
      <c r="W248" t="s">
        <v>5274</v>
      </c>
      <c r="X248" t="s">
        <v>5275</v>
      </c>
      <c r="Y248" t="s">
        <v>5276</v>
      </c>
      <c r="Z248" t="s">
        <v>5277</v>
      </c>
      <c r="AA248" t="s">
        <v>74</v>
      </c>
      <c r="AB248" t="s">
        <v>74</v>
      </c>
      <c r="AC248" t="s">
        <v>74</v>
      </c>
      <c r="AD248" t="s">
        <v>74</v>
      </c>
      <c r="AE248" t="s">
        <v>74</v>
      </c>
      <c r="AF248" t="s">
        <v>74</v>
      </c>
      <c r="AG248">
        <v>16</v>
      </c>
      <c r="AH248">
        <v>3</v>
      </c>
      <c r="AI248">
        <v>3</v>
      </c>
      <c r="AJ248">
        <v>0</v>
      </c>
      <c r="AK248">
        <v>9</v>
      </c>
      <c r="AL248" t="s">
        <v>5278</v>
      </c>
      <c r="AM248" t="s">
        <v>5279</v>
      </c>
      <c r="AN248" t="s">
        <v>5280</v>
      </c>
      <c r="AO248" t="s">
        <v>5281</v>
      </c>
      <c r="AP248" t="s">
        <v>5282</v>
      </c>
      <c r="AQ248" t="s">
        <v>74</v>
      </c>
      <c r="AR248" t="s">
        <v>5272</v>
      </c>
      <c r="AS248" t="s">
        <v>237</v>
      </c>
      <c r="AT248" t="s">
        <v>4170</v>
      </c>
      <c r="AU248">
        <v>2021</v>
      </c>
      <c r="AV248">
        <v>49</v>
      </c>
      <c r="AW248">
        <v>11</v>
      </c>
      <c r="AX248" t="s">
        <v>74</v>
      </c>
      <c r="AY248" t="s">
        <v>74</v>
      </c>
      <c r="AZ248" t="s">
        <v>74</v>
      </c>
      <c r="BA248" t="s">
        <v>74</v>
      </c>
      <c r="BB248" t="s">
        <v>5283</v>
      </c>
      <c r="BC248" t="s">
        <v>5283</v>
      </c>
      <c r="BD248" t="s">
        <v>74</v>
      </c>
      <c r="BE248" t="s">
        <v>5284</v>
      </c>
      <c r="BF248" t="str">
        <f>HYPERLINK("http://dx.doi.org/10.1130/G49414C.1","http://dx.doi.org/10.1130/G49414C.1")</f>
        <v>http://dx.doi.org/10.1130/G49414C.1</v>
      </c>
      <c r="BG248" t="s">
        <v>74</v>
      </c>
      <c r="BH248" t="s">
        <v>74</v>
      </c>
      <c r="BI248">
        <v>1</v>
      </c>
      <c r="BJ248" t="s">
        <v>237</v>
      </c>
      <c r="BK248" t="s">
        <v>101</v>
      </c>
      <c r="BL248" t="s">
        <v>237</v>
      </c>
      <c r="BM248" t="s">
        <v>5285</v>
      </c>
      <c r="BN248" t="s">
        <v>74</v>
      </c>
      <c r="BO248" t="s">
        <v>2217</v>
      </c>
      <c r="BP248" t="s">
        <v>74</v>
      </c>
      <c r="BQ248" t="s">
        <v>74</v>
      </c>
      <c r="BR248" t="s">
        <v>105</v>
      </c>
      <c r="BS248" t="s">
        <v>5286</v>
      </c>
      <c r="BT248" t="str">
        <f>HYPERLINK("https%3A%2F%2Fwww.webofscience.com%2Fwos%2Fwoscc%2Ffull-record%2FWOS:000714680800003","View Full Record in Web of Science")</f>
        <v>View Full Record in Web of Science</v>
      </c>
    </row>
    <row r="249" spans="1:72" x14ac:dyDescent="0.15">
      <c r="A249" t="s">
        <v>72</v>
      </c>
      <c r="B249" t="s">
        <v>5287</v>
      </c>
      <c r="C249" t="s">
        <v>74</v>
      </c>
      <c r="D249" t="s">
        <v>74</v>
      </c>
      <c r="E249" t="s">
        <v>74</v>
      </c>
      <c r="F249" t="s">
        <v>5288</v>
      </c>
      <c r="G249" t="s">
        <v>74</v>
      </c>
      <c r="H249" t="s">
        <v>74</v>
      </c>
      <c r="I249" t="s">
        <v>5289</v>
      </c>
      <c r="J249" t="s">
        <v>4222</v>
      </c>
      <c r="K249" t="s">
        <v>74</v>
      </c>
      <c r="L249" t="s">
        <v>74</v>
      </c>
      <c r="M249" t="s">
        <v>78</v>
      </c>
      <c r="N249" t="s">
        <v>79</v>
      </c>
      <c r="O249" t="s">
        <v>74</v>
      </c>
      <c r="P249" t="s">
        <v>74</v>
      </c>
      <c r="Q249" t="s">
        <v>74</v>
      </c>
      <c r="R249" t="s">
        <v>74</v>
      </c>
      <c r="S249" t="s">
        <v>74</v>
      </c>
      <c r="T249" t="s">
        <v>5290</v>
      </c>
      <c r="U249" t="s">
        <v>5291</v>
      </c>
      <c r="V249" t="s">
        <v>5292</v>
      </c>
      <c r="W249" t="s">
        <v>5293</v>
      </c>
      <c r="X249" t="s">
        <v>5294</v>
      </c>
      <c r="Y249" t="s">
        <v>5295</v>
      </c>
      <c r="Z249" t="s">
        <v>5296</v>
      </c>
      <c r="AA249" t="s">
        <v>5297</v>
      </c>
      <c r="AB249" t="s">
        <v>5298</v>
      </c>
      <c r="AC249" t="s">
        <v>5299</v>
      </c>
      <c r="AD249" t="s">
        <v>5300</v>
      </c>
      <c r="AE249" t="s">
        <v>5301</v>
      </c>
      <c r="AF249" t="s">
        <v>74</v>
      </c>
      <c r="AG249">
        <v>41</v>
      </c>
      <c r="AH249">
        <v>10</v>
      </c>
      <c r="AI249">
        <v>11</v>
      </c>
      <c r="AJ249">
        <v>1</v>
      </c>
      <c r="AK249">
        <v>31</v>
      </c>
      <c r="AL249" t="s">
        <v>4192</v>
      </c>
      <c r="AM249" t="s">
        <v>4193</v>
      </c>
      <c r="AN249" t="s">
        <v>4194</v>
      </c>
      <c r="AO249" t="s">
        <v>74</v>
      </c>
      <c r="AP249" t="s">
        <v>4233</v>
      </c>
      <c r="AQ249" t="s">
        <v>74</v>
      </c>
      <c r="AR249" t="s">
        <v>4234</v>
      </c>
      <c r="AS249" t="s">
        <v>4235</v>
      </c>
      <c r="AT249" t="s">
        <v>310</v>
      </c>
      <c r="AU249">
        <v>2021</v>
      </c>
      <c r="AV249">
        <v>13</v>
      </c>
      <c r="AW249">
        <v>21</v>
      </c>
      <c r="AX249" t="s">
        <v>74</v>
      </c>
      <c r="AY249" t="s">
        <v>74</v>
      </c>
      <c r="AZ249" t="s">
        <v>74</v>
      </c>
      <c r="BA249" t="s">
        <v>74</v>
      </c>
      <c r="BB249" t="s">
        <v>74</v>
      </c>
      <c r="BC249" t="s">
        <v>74</v>
      </c>
      <c r="BD249">
        <v>4355</v>
      </c>
      <c r="BE249" t="s">
        <v>5302</v>
      </c>
      <c r="BF249" t="str">
        <f>HYPERLINK("http://dx.doi.org/10.3390/rs13214355","http://dx.doi.org/10.3390/rs13214355")</f>
        <v>http://dx.doi.org/10.3390/rs13214355</v>
      </c>
      <c r="BG249" t="s">
        <v>74</v>
      </c>
      <c r="BH249" t="s">
        <v>74</v>
      </c>
      <c r="BI249">
        <v>17</v>
      </c>
      <c r="BJ249" t="s">
        <v>4237</v>
      </c>
      <c r="BK249" t="s">
        <v>101</v>
      </c>
      <c r="BL249" t="s">
        <v>4238</v>
      </c>
      <c r="BM249" t="s">
        <v>5303</v>
      </c>
      <c r="BN249" t="s">
        <v>74</v>
      </c>
      <c r="BO249" t="s">
        <v>210</v>
      </c>
      <c r="BP249" t="s">
        <v>74</v>
      </c>
      <c r="BQ249" t="s">
        <v>74</v>
      </c>
      <c r="BR249" t="s">
        <v>105</v>
      </c>
      <c r="BS249" t="s">
        <v>5304</v>
      </c>
      <c r="BT249" t="str">
        <f>HYPERLINK("https%3A%2F%2Fwww.webofscience.com%2Fwos%2Fwoscc%2Ffull-record%2FWOS:000722353800001","View Full Record in Web of Science")</f>
        <v>View Full Record in Web of Science</v>
      </c>
    </row>
    <row r="250" spans="1:72" x14ac:dyDescent="0.15">
      <c r="A250" t="s">
        <v>72</v>
      </c>
      <c r="B250" t="s">
        <v>5305</v>
      </c>
      <c r="C250" t="s">
        <v>74</v>
      </c>
      <c r="D250" t="s">
        <v>74</v>
      </c>
      <c r="E250" t="s">
        <v>74</v>
      </c>
      <c r="F250" t="s">
        <v>5306</v>
      </c>
      <c r="G250" t="s">
        <v>74</v>
      </c>
      <c r="H250" t="s">
        <v>74</v>
      </c>
      <c r="I250" t="s">
        <v>5307</v>
      </c>
      <c r="J250" t="s">
        <v>5308</v>
      </c>
      <c r="K250" t="s">
        <v>74</v>
      </c>
      <c r="L250" t="s">
        <v>74</v>
      </c>
      <c r="M250" t="s">
        <v>78</v>
      </c>
      <c r="N250" t="s">
        <v>79</v>
      </c>
      <c r="O250" t="s">
        <v>74</v>
      </c>
      <c r="P250" t="s">
        <v>74</v>
      </c>
      <c r="Q250" t="s">
        <v>74</v>
      </c>
      <c r="R250" t="s">
        <v>74</v>
      </c>
      <c r="S250" t="s">
        <v>74</v>
      </c>
      <c r="T250" t="s">
        <v>5309</v>
      </c>
      <c r="U250" t="s">
        <v>5310</v>
      </c>
      <c r="V250" t="s">
        <v>5311</v>
      </c>
      <c r="W250" t="s">
        <v>5312</v>
      </c>
      <c r="X250" t="s">
        <v>5313</v>
      </c>
      <c r="Y250" t="s">
        <v>5314</v>
      </c>
      <c r="Z250" t="s">
        <v>5315</v>
      </c>
      <c r="AA250" t="s">
        <v>5316</v>
      </c>
      <c r="AB250" t="s">
        <v>5317</v>
      </c>
      <c r="AC250" t="s">
        <v>5318</v>
      </c>
      <c r="AD250" t="s">
        <v>5318</v>
      </c>
      <c r="AE250" t="s">
        <v>5319</v>
      </c>
      <c r="AF250" t="s">
        <v>74</v>
      </c>
      <c r="AG250">
        <v>39</v>
      </c>
      <c r="AH250">
        <v>6</v>
      </c>
      <c r="AI250">
        <v>6</v>
      </c>
      <c r="AJ250">
        <v>0</v>
      </c>
      <c r="AK250">
        <v>5</v>
      </c>
      <c r="AL250" t="s">
        <v>760</v>
      </c>
      <c r="AM250" t="s">
        <v>438</v>
      </c>
      <c r="AN250" t="s">
        <v>761</v>
      </c>
      <c r="AO250" t="s">
        <v>74</v>
      </c>
      <c r="AP250" t="s">
        <v>5320</v>
      </c>
      <c r="AQ250" t="s">
        <v>74</v>
      </c>
      <c r="AR250" t="s">
        <v>5321</v>
      </c>
      <c r="AS250" t="s">
        <v>5322</v>
      </c>
      <c r="AT250" t="s">
        <v>310</v>
      </c>
      <c r="AU250">
        <v>2021</v>
      </c>
      <c r="AV250">
        <v>19</v>
      </c>
      <c r="AW250">
        <v>11</v>
      </c>
      <c r="AX250" t="s">
        <v>74</v>
      </c>
      <c r="AY250" t="s">
        <v>74</v>
      </c>
      <c r="AZ250" t="s">
        <v>74</v>
      </c>
      <c r="BA250" t="s">
        <v>74</v>
      </c>
      <c r="BB250" t="s">
        <v>74</v>
      </c>
      <c r="BC250" t="s">
        <v>74</v>
      </c>
      <c r="BD250" t="s">
        <v>5323</v>
      </c>
      <c r="BE250" t="s">
        <v>5324</v>
      </c>
      <c r="BF250" t="str">
        <f>HYPERLINK("http://dx.doi.org/10.1029/2021SW002820","http://dx.doi.org/10.1029/2021SW002820")</f>
        <v>http://dx.doi.org/10.1029/2021SW002820</v>
      </c>
      <c r="BG250" t="s">
        <v>74</v>
      </c>
      <c r="BH250" t="s">
        <v>74</v>
      </c>
      <c r="BI250">
        <v>15</v>
      </c>
      <c r="BJ250" t="s">
        <v>5325</v>
      </c>
      <c r="BK250" t="s">
        <v>101</v>
      </c>
      <c r="BL250" t="s">
        <v>5325</v>
      </c>
      <c r="BM250" t="s">
        <v>5326</v>
      </c>
      <c r="BN250" t="s">
        <v>74</v>
      </c>
      <c r="BO250" t="s">
        <v>1902</v>
      </c>
      <c r="BP250" t="s">
        <v>74</v>
      </c>
      <c r="BQ250" t="s">
        <v>74</v>
      </c>
      <c r="BR250" t="s">
        <v>105</v>
      </c>
      <c r="BS250" t="s">
        <v>5327</v>
      </c>
      <c r="BT250" t="str">
        <f>HYPERLINK("https%3A%2F%2Fwww.webofscience.com%2Fwos%2Fwoscc%2Ffull-record%2FWOS:000722467500001","View Full Record in Web of Science")</f>
        <v>View Full Record in Web of Science</v>
      </c>
    </row>
    <row r="251" spans="1:72" x14ac:dyDescent="0.15">
      <c r="A251" t="s">
        <v>72</v>
      </c>
      <c r="B251" t="s">
        <v>5328</v>
      </c>
      <c r="C251" t="s">
        <v>74</v>
      </c>
      <c r="D251" t="s">
        <v>74</v>
      </c>
      <c r="E251" t="s">
        <v>74</v>
      </c>
      <c r="F251" t="s">
        <v>5329</v>
      </c>
      <c r="G251" t="s">
        <v>74</v>
      </c>
      <c r="H251" t="s">
        <v>74</v>
      </c>
      <c r="I251" t="s">
        <v>5330</v>
      </c>
      <c r="J251" t="s">
        <v>5308</v>
      </c>
      <c r="K251" t="s">
        <v>74</v>
      </c>
      <c r="L251" t="s">
        <v>74</v>
      </c>
      <c r="M251" t="s">
        <v>78</v>
      </c>
      <c r="N251" t="s">
        <v>79</v>
      </c>
      <c r="O251" t="s">
        <v>74</v>
      </c>
      <c r="P251" t="s">
        <v>74</v>
      </c>
      <c r="Q251" t="s">
        <v>74</v>
      </c>
      <c r="R251" t="s">
        <v>74</v>
      </c>
      <c r="S251" t="s">
        <v>74</v>
      </c>
      <c r="T251" t="s">
        <v>5331</v>
      </c>
      <c r="U251" t="s">
        <v>5332</v>
      </c>
      <c r="V251" t="s">
        <v>5333</v>
      </c>
      <c r="W251" t="s">
        <v>5334</v>
      </c>
      <c r="X251" t="s">
        <v>5335</v>
      </c>
      <c r="Y251" t="s">
        <v>5336</v>
      </c>
      <c r="Z251" t="s">
        <v>5337</v>
      </c>
      <c r="AA251" t="s">
        <v>5338</v>
      </c>
      <c r="AB251" t="s">
        <v>5339</v>
      </c>
      <c r="AC251" t="s">
        <v>5340</v>
      </c>
      <c r="AD251" t="s">
        <v>5341</v>
      </c>
      <c r="AE251" t="s">
        <v>5342</v>
      </c>
      <c r="AF251" t="s">
        <v>74</v>
      </c>
      <c r="AG251">
        <v>128</v>
      </c>
      <c r="AH251">
        <v>2</v>
      </c>
      <c r="AI251">
        <v>2</v>
      </c>
      <c r="AJ251">
        <v>0</v>
      </c>
      <c r="AK251">
        <v>4</v>
      </c>
      <c r="AL251" t="s">
        <v>760</v>
      </c>
      <c r="AM251" t="s">
        <v>438</v>
      </c>
      <c r="AN251" t="s">
        <v>761</v>
      </c>
      <c r="AO251" t="s">
        <v>74</v>
      </c>
      <c r="AP251" t="s">
        <v>5320</v>
      </c>
      <c r="AQ251" t="s">
        <v>74</v>
      </c>
      <c r="AR251" t="s">
        <v>5321</v>
      </c>
      <c r="AS251" t="s">
        <v>5322</v>
      </c>
      <c r="AT251" t="s">
        <v>310</v>
      </c>
      <c r="AU251">
        <v>2021</v>
      </c>
      <c r="AV251">
        <v>19</v>
      </c>
      <c r="AW251">
        <v>11</v>
      </c>
      <c r="AX251" t="s">
        <v>74</v>
      </c>
      <c r="AY251" t="s">
        <v>74</v>
      </c>
      <c r="AZ251" t="s">
        <v>74</v>
      </c>
      <c r="BA251" t="s">
        <v>74</v>
      </c>
      <c r="BB251" t="s">
        <v>74</v>
      </c>
      <c r="BC251" t="s">
        <v>74</v>
      </c>
      <c r="BD251" t="s">
        <v>5343</v>
      </c>
      <c r="BE251" t="s">
        <v>5344</v>
      </c>
      <c r="BF251" t="str">
        <f>HYPERLINK("http://dx.doi.org/10.1029/2021SW002824","http://dx.doi.org/10.1029/2021SW002824")</f>
        <v>http://dx.doi.org/10.1029/2021SW002824</v>
      </c>
      <c r="BG251" t="s">
        <v>74</v>
      </c>
      <c r="BH251" t="s">
        <v>74</v>
      </c>
      <c r="BI251">
        <v>31</v>
      </c>
      <c r="BJ251" t="s">
        <v>5325</v>
      </c>
      <c r="BK251" t="s">
        <v>101</v>
      </c>
      <c r="BL251" t="s">
        <v>5325</v>
      </c>
      <c r="BM251" t="s">
        <v>5326</v>
      </c>
      <c r="BN251" t="s">
        <v>74</v>
      </c>
      <c r="BO251" t="s">
        <v>858</v>
      </c>
      <c r="BP251" t="s">
        <v>74</v>
      </c>
      <c r="BQ251" t="s">
        <v>74</v>
      </c>
      <c r="BR251" t="s">
        <v>105</v>
      </c>
      <c r="BS251" t="s">
        <v>5345</v>
      </c>
      <c r="BT251" t="str">
        <f>HYPERLINK("https%3A%2F%2Fwww.webofscience.com%2Fwos%2Fwoscc%2Ffull-record%2FWOS:000722467500005","View Full Record in Web of Science")</f>
        <v>View Full Record in Web of Science</v>
      </c>
    </row>
    <row r="252" spans="1:72" x14ac:dyDescent="0.15">
      <c r="A252" t="s">
        <v>72</v>
      </c>
      <c r="B252" t="s">
        <v>5346</v>
      </c>
      <c r="C252" t="s">
        <v>74</v>
      </c>
      <c r="D252" t="s">
        <v>74</v>
      </c>
      <c r="E252" t="s">
        <v>74</v>
      </c>
      <c r="F252" t="s">
        <v>5347</v>
      </c>
      <c r="G252" t="s">
        <v>74</v>
      </c>
      <c r="H252" t="s">
        <v>74</v>
      </c>
      <c r="I252" t="s">
        <v>5348</v>
      </c>
      <c r="J252" t="s">
        <v>5349</v>
      </c>
      <c r="K252" t="s">
        <v>74</v>
      </c>
      <c r="L252" t="s">
        <v>74</v>
      </c>
      <c r="M252" t="s">
        <v>78</v>
      </c>
      <c r="N252" t="s">
        <v>79</v>
      </c>
      <c r="O252" t="s">
        <v>74</v>
      </c>
      <c r="P252" t="s">
        <v>74</v>
      </c>
      <c r="Q252" t="s">
        <v>74</v>
      </c>
      <c r="R252" t="s">
        <v>74</v>
      </c>
      <c r="S252" t="s">
        <v>74</v>
      </c>
      <c r="T252" t="s">
        <v>5350</v>
      </c>
      <c r="U252" t="s">
        <v>5351</v>
      </c>
      <c r="V252" t="s">
        <v>5352</v>
      </c>
      <c r="W252" t="s">
        <v>5353</v>
      </c>
      <c r="X252" t="s">
        <v>5354</v>
      </c>
      <c r="Y252" t="s">
        <v>5355</v>
      </c>
      <c r="Z252" t="s">
        <v>5356</v>
      </c>
      <c r="AA252" t="s">
        <v>5357</v>
      </c>
      <c r="AB252" t="s">
        <v>5358</v>
      </c>
      <c r="AC252" t="s">
        <v>74</v>
      </c>
      <c r="AD252" t="s">
        <v>74</v>
      </c>
      <c r="AE252" t="s">
        <v>74</v>
      </c>
      <c r="AF252" t="s">
        <v>74</v>
      </c>
      <c r="AG252">
        <v>18</v>
      </c>
      <c r="AH252">
        <v>3</v>
      </c>
      <c r="AI252">
        <v>3</v>
      </c>
      <c r="AJ252">
        <v>0</v>
      </c>
      <c r="AK252">
        <v>5</v>
      </c>
      <c r="AL252" t="s">
        <v>5359</v>
      </c>
      <c r="AM252" t="s">
        <v>5360</v>
      </c>
      <c r="AN252" t="s">
        <v>5361</v>
      </c>
      <c r="AO252" t="s">
        <v>5362</v>
      </c>
      <c r="AP252" t="s">
        <v>5363</v>
      </c>
      <c r="AQ252" t="s">
        <v>74</v>
      </c>
      <c r="AR252" t="s">
        <v>5364</v>
      </c>
      <c r="AS252" t="s">
        <v>5365</v>
      </c>
      <c r="AT252" t="s">
        <v>310</v>
      </c>
      <c r="AU252">
        <v>2021</v>
      </c>
      <c r="AV252">
        <v>68</v>
      </c>
      <c r="AW252">
        <v>11</v>
      </c>
      <c r="AX252" t="s">
        <v>74</v>
      </c>
      <c r="AY252" t="s">
        <v>74</v>
      </c>
      <c r="AZ252" t="s">
        <v>74</v>
      </c>
      <c r="BA252" t="s">
        <v>74</v>
      </c>
      <c r="BB252">
        <v>2661</v>
      </c>
      <c r="BC252">
        <v>2669</v>
      </c>
      <c r="BD252" t="s">
        <v>74</v>
      </c>
      <c r="BE252" t="s">
        <v>5366</v>
      </c>
      <c r="BF252" t="str">
        <f>HYPERLINK("http://dx.doi.org/10.1109/TNS.2021.3118980","http://dx.doi.org/10.1109/TNS.2021.3118980")</f>
        <v>http://dx.doi.org/10.1109/TNS.2021.3118980</v>
      </c>
      <c r="BG252" t="s">
        <v>74</v>
      </c>
      <c r="BH252" t="s">
        <v>74</v>
      </c>
      <c r="BI252">
        <v>9</v>
      </c>
      <c r="BJ252" t="s">
        <v>5367</v>
      </c>
      <c r="BK252" t="s">
        <v>101</v>
      </c>
      <c r="BL252" t="s">
        <v>5368</v>
      </c>
      <c r="BM252" t="s">
        <v>5369</v>
      </c>
      <c r="BN252" t="s">
        <v>74</v>
      </c>
      <c r="BO252" t="s">
        <v>74</v>
      </c>
      <c r="BP252" t="s">
        <v>74</v>
      </c>
      <c r="BQ252" t="s">
        <v>74</v>
      </c>
      <c r="BR252" t="s">
        <v>105</v>
      </c>
      <c r="BS252" t="s">
        <v>5370</v>
      </c>
      <c r="BT252" t="str">
        <f>HYPERLINK("https%3A%2F%2Fwww.webofscience.com%2Fwos%2Fwoscc%2Ffull-record%2FWOS:000720518400015","View Full Record in Web of Science")</f>
        <v>View Full Record in Web of Science</v>
      </c>
    </row>
    <row r="253" spans="1:72" x14ac:dyDescent="0.15">
      <c r="A253" t="s">
        <v>72</v>
      </c>
      <c r="B253" t="s">
        <v>5371</v>
      </c>
      <c r="C253" t="s">
        <v>74</v>
      </c>
      <c r="D253" t="s">
        <v>74</v>
      </c>
      <c r="E253" t="s">
        <v>74</v>
      </c>
      <c r="F253" t="s">
        <v>5372</v>
      </c>
      <c r="G253" t="s">
        <v>74</v>
      </c>
      <c r="H253" t="s">
        <v>74</v>
      </c>
      <c r="I253" t="s">
        <v>5373</v>
      </c>
      <c r="J253" t="s">
        <v>5374</v>
      </c>
      <c r="K253" t="s">
        <v>74</v>
      </c>
      <c r="L253" t="s">
        <v>74</v>
      </c>
      <c r="M253" t="s">
        <v>78</v>
      </c>
      <c r="N253" t="s">
        <v>79</v>
      </c>
      <c r="O253" t="s">
        <v>74</v>
      </c>
      <c r="P253" t="s">
        <v>74</v>
      </c>
      <c r="Q253" t="s">
        <v>74</v>
      </c>
      <c r="R253" t="s">
        <v>74</v>
      </c>
      <c r="S253" t="s">
        <v>74</v>
      </c>
      <c r="T253" t="s">
        <v>74</v>
      </c>
      <c r="U253" t="s">
        <v>5375</v>
      </c>
      <c r="V253" t="s">
        <v>5376</v>
      </c>
      <c r="W253" t="s">
        <v>5377</v>
      </c>
      <c r="X253" t="s">
        <v>5378</v>
      </c>
      <c r="Y253" t="s">
        <v>5379</v>
      </c>
      <c r="Z253" t="s">
        <v>5380</v>
      </c>
      <c r="AA253" t="s">
        <v>5381</v>
      </c>
      <c r="AB253" t="s">
        <v>5382</v>
      </c>
      <c r="AC253" t="s">
        <v>74</v>
      </c>
      <c r="AD253" t="s">
        <v>74</v>
      </c>
      <c r="AE253" t="s">
        <v>74</v>
      </c>
      <c r="AF253" t="s">
        <v>74</v>
      </c>
      <c r="AG253">
        <v>41</v>
      </c>
      <c r="AH253">
        <v>2</v>
      </c>
      <c r="AI253">
        <v>2</v>
      </c>
      <c r="AJ253">
        <v>0</v>
      </c>
      <c r="AK253">
        <v>8</v>
      </c>
      <c r="AL253" t="s">
        <v>5383</v>
      </c>
      <c r="AM253" t="s">
        <v>4165</v>
      </c>
      <c r="AN253" t="s">
        <v>5384</v>
      </c>
      <c r="AO253" t="s">
        <v>5385</v>
      </c>
      <c r="AP253" t="s">
        <v>5386</v>
      </c>
      <c r="AQ253" t="s">
        <v>74</v>
      </c>
      <c r="AR253" t="s">
        <v>5387</v>
      </c>
      <c r="AS253" t="s">
        <v>5388</v>
      </c>
      <c r="AT253" t="s">
        <v>310</v>
      </c>
      <c r="AU253">
        <v>2021</v>
      </c>
      <c r="AV253">
        <v>150</v>
      </c>
      <c r="AW253">
        <v>5</v>
      </c>
      <c r="AX253" t="s">
        <v>74</v>
      </c>
      <c r="AY253" t="s">
        <v>74</v>
      </c>
      <c r="AZ253" t="s">
        <v>74</v>
      </c>
      <c r="BA253" t="s">
        <v>74</v>
      </c>
      <c r="BB253">
        <v>3353</v>
      </c>
      <c r="BC253">
        <v>3361</v>
      </c>
      <c r="BD253" t="s">
        <v>74</v>
      </c>
      <c r="BE253" t="s">
        <v>5389</v>
      </c>
      <c r="BF253" t="str">
        <f>HYPERLINK("http://dx.doi.org/10.1121/10.0006789","http://dx.doi.org/10.1121/10.0006789")</f>
        <v>http://dx.doi.org/10.1121/10.0006789</v>
      </c>
      <c r="BG253" t="s">
        <v>74</v>
      </c>
      <c r="BH253" t="s">
        <v>74</v>
      </c>
      <c r="BI253">
        <v>9</v>
      </c>
      <c r="BJ253" t="s">
        <v>5390</v>
      </c>
      <c r="BK253" t="s">
        <v>101</v>
      </c>
      <c r="BL253" t="s">
        <v>5390</v>
      </c>
      <c r="BM253" t="s">
        <v>5391</v>
      </c>
      <c r="BN253">
        <v>34852621</v>
      </c>
      <c r="BO253" t="s">
        <v>74</v>
      </c>
      <c r="BP253" t="s">
        <v>74</v>
      </c>
      <c r="BQ253" t="s">
        <v>74</v>
      </c>
      <c r="BR253" t="s">
        <v>105</v>
      </c>
      <c r="BS253" t="s">
        <v>5392</v>
      </c>
      <c r="BT253" t="str">
        <f>HYPERLINK("https%3A%2F%2Fwww.webofscience.com%2Fwos%2Fwoscc%2Ffull-record%2FWOS:000719419200001","View Full Record in Web of Science")</f>
        <v>View Full Record in Web of Science</v>
      </c>
    </row>
    <row r="254" spans="1:72" x14ac:dyDescent="0.15">
      <c r="A254" t="s">
        <v>72</v>
      </c>
      <c r="B254" t="s">
        <v>5393</v>
      </c>
      <c r="C254" t="s">
        <v>74</v>
      </c>
      <c r="D254" t="s">
        <v>74</v>
      </c>
      <c r="E254" t="s">
        <v>74</v>
      </c>
      <c r="F254" t="s">
        <v>5394</v>
      </c>
      <c r="G254" t="s">
        <v>74</v>
      </c>
      <c r="H254" t="s">
        <v>74</v>
      </c>
      <c r="I254" t="s">
        <v>5395</v>
      </c>
      <c r="J254" t="s">
        <v>4222</v>
      </c>
      <c r="K254" t="s">
        <v>74</v>
      </c>
      <c r="L254" t="s">
        <v>74</v>
      </c>
      <c r="M254" t="s">
        <v>78</v>
      </c>
      <c r="N254" t="s">
        <v>79</v>
      </c>
      <c r="O254" t="s">
        <v>74</v>
      </c>
      <c r="P254" t="s">
        <v>74</v>
      </c>
      <c r="Q254" t="s">
        <v>74</v>
      </c>
      <c r="R254" t="s">
        <v>74</v>
      </c>
      <c r="S254" t="s">
        <v>74</v>
      </c>
      <c r="T254" t="s">
        <v>5396</v>
      </c>
      <c r="U254" t="s">
        <v>5397</v>
      </c>
      <c r="V254" t="s">
        <v>5398</v>
      </c>
      <c r="W254" t="s">
        <v>5399</v>
      </c>
      <c r="X254" t="s">
        <v>5400</v>
      </c>
      <c r="Y254" t="s">
        <v>5401</v>
      </c>
      <c r="Z254" t="s">
        <v>5402</v>
      </c>
      <c r="AA254" t="s">
        <v>5403</v>
      </c>
      <c r="AB254" t="s">
        <v>5404</v>
      </c>
      <c r="AC254" t="s">
        <v>5405</v>
      </c>
      <c r="AD254" t="s">
        <v>5406</v>
      </c>
      <c r="AE254" t="s">
        <v>5407</v>
      </c>
      <c r="AF254" t="s">
        <v>74</v>
      </c>
      <c r="AG254">
        <v>61</v>
      </c>
      <c r="AH254">
        <v>10</v>
      </c>
      <c r="AI254">
        <v>10</v>
      </c>
      <c r="AJ254">
        <v>6</v>
      </c>
      <c r="AK254">
        <v>36</v>
      </c>
      <c r="AL254" t="s">
        <v>4192</v>
      </c>
      <c r="AM254" t="s">
        <v>4193</v>
      </c>
      <c r="AN254" t="s">
        <v>4194</v>
      </c>
      <c r="AO254" t="s">
        <v>74</v>
      </c>
      <c r="AP254" t="s">
        <v>4233</v>
      </c>
      <c r="AQ254" t="s">
        <v>74</v>
      </c>
      <c r="AR254" t="s">
        <v>4234</v>
      </c>
      <c r="AS254" t="s">
        <v>4235</v>
      </c>
      <c r="AT254" t="s">
        <v>310</v>
      </c>
      <c r="AU254">
        <v>2021</v>
      </c>
      <c r="AV254">
        <v>13</v>
      </c>
      <c r="AW254">
        <v>21</v>
      </c>
      <c r="AX254" t="s">
        <v>74</v>
      </c>
      <c r="AY254" t="s">
        <v>74</v>
      </c>
      <c r="AZ254" t="s">
        <v>74</v>
      </c>
      <c r="BA254" t="s">
        <v>74</v>
      </c>
      <c r="BB254" t="s">
        <v>74</v>
      </c>
      <c r="BC254" t="s">
        <v>74</v>
      </c>
      <c r="BD254">
        <v>4375</v>
      </c>
      <c r="BE254" t="s">
        <v>5408</v>
      </c>
      <c r="BF254" t="str">
        <f>HYPERLINK("http://dx.doi.org/10.3390/rs13214375","http://dx.doi.org/10.3390/rs13214375")</f>
        <v>http://dx.doi.org/10.3390/rs13214375</v>
      </c>
      <c r="BG254" t="s">
        <v>74</v>
      </c>
      <c r="BH254" t="s">
        <v>74</v>
      </c>
      <c r="BI254">
        <v>20</v>
      </c>
      <c r="BJ254" t="s">
        <v>4237</v>
      </c>
      <c r="BK254" t="s">
        <v>101</v>
      </c>
      <c r="BL254" t="s">
        <v>4238</v>
      </c>
      <c r="BM254" t="s">
        <v>5409</v>
      </c>
      <c r="BN254" t="s">
        <v>74</v>
      </c>
      <c r="BO254" t="s">
        <v>210</v>
      </c>
      <c r="BP254" t="s">
        <v>74</v>
      </c>
      <c r="BQ254" t="s">
        <v>74</v>
      </c>
      <c r="BR254" t="s">
        <v>105</v>
      </c>
      <c r="BS254" t="s">
        <v>5410</v>
      </c>
      <c r="BT254" t="str">
        <f>HYPERLINK("https%3A%2F%2Fwww.webofscience.com%2Fwos%2Fwoscc%2Ffull-record%2FWOS:000718348800001","View Full Record in Web of Science")</f>
        <v>View Full Record in Web of Science</v>
      </c>
    </row>
    <row r="255" spans="1:72" x14ac:dyDescent="0.15">
      <c r="A255" t="s">
        <v>72</v>
      </c>
      <c r="B255" t="s">
        <v>5411</v>
      </c>
      <c r="C255" t="s">
        <v>74</v>
      </c>
      <c r="D255" t="s">
        <v>74</v>
      </c>
      <c r="E255" t="s">
        <v>74</v>
      </c>
      <c r="F255" t="s">
        <v>5412</v>
      </c>
      <c r="G255" t="s">
        <v>74</v>
      </c>
      <c r="H255" t="s">
        <v>74</v>
      </c>
      <c r="I255" t="s">
        <v>5413</v>
      </c>
      <c r="J255" t="s">
        <v>5414</v>
      </c>
      <c r="K255" t="s">
        <v>74</v>
      </c>
      <c r="L255" t="s">
        <v>74</v>
      </c>
      <c r="M255" t="s">
        <v>78</v>
      </c>
      <c r="N255" t="s">
        <v>79</v>
      </c>
      <c r="O255" t="s">
        <v>74</v>
      </c>
      <c r="P255" t="s">
        <v>74</v>
      </c>
      <c r="Q255" t="s">
        <v>74</v>
      </c>
      <c r="R255" t="s">
        <v>74</v>
      </c>
      <c r="S255" t="s">
        <v>74</v>
      </c>
      <c r="T255" t="s">
        <v>5415</v>
      </c>
      <c r="U255" t="s">
        <v>5416</v>
      </c>
      <c r="V255" t="s">
        <v>5417</v>
      </c>
      <c r="W255" t="s">
        <v>5418</v>
      </c>
      <c r="X255" t="s">
        <v>5419</v>
      </c>
      <c r="Y255" t="s">
        <v>5420</v>
      </c>
      <c r="Z255" t="s">
        <v>5421</v>
      </c>
      <c r="AA255" t="s">
        <v>74</v>
      </c>
      <c r="AB255" t="s">
        <v>5422</v>
      </c>
      <c r="AC255" t="s">
        <v>5423</v>
      </c>
      <c r="AD255" t="s">
        <v>5424</v>
      </c>
      <c r="AE255" t="s">
        <v>5425</v>
      </c>
      <c r="AF255" t="s">
        <v>74</v>
      </c>
      <c r="AG255">
        <v>46</v>
      </c>
      <c r="AH255">
        <v>2</v>
      </c>
      <c r="AI255">
        <v>2</v>
      </c>
      <c r="AJ255">
        <v>1</v>
      </c>
      <c r="AK255">
        <v>4</v>
      </c>
      <c r="AL255" t="s">
        <v>4192</v>
      </c>
      <c r="AM255" t="s">
        <v>4193</v>
      </c>
      <c r="AN255" t="s">
        <v>4194</v>
      </c>
      <c r="AO255" t="s">
        <v>74</v>
      </c>
      <c r="AP255" t="s">
        <v>5426</v>
      </c>
      <c r="AQ255" t="s">
        <v>74</v>
      </c>
      <c r="AR255" t="s">
        <v>5414</v>
      </c>
      <c r="AS255" t="s">
        <v>5427</v>
      </c>
      <c r="AT255" t="s">
        <v>310</v>
      </c>
      <c r="AU255">
        <v>2021</v>
      </c>
      <c r="AV255">
        <v>26</v>
      </c>
      <c r="AW255">
        <v>21</v>
      </c>
      <c r="AX255" t="s">
        <v>74</v>
      </c>
      <c r="AY255" t="s">
        <v>74</v>
      </c>
      <c r="AZ255" t="s">
        <v>74</v>
      </c>
      <c r="BA255" t="s">
        <v>74</v>
      </c>
      <c r="BB255" t="s">
        <v>74</v>
      </c>
      <c r="BC255" t="s">
        <v>74</v>
      </c>
      <c r="BD255">
        <v>6445</v>
      </c>
      <c r="BE255" t="s">
        <v>5428</v>
      </c>
      <c r="BF255" t="str">
        <f>HYPERLINK("http://dx.doi.org/10.3390/molecules26216445","http://dx.doi.org/10.3390/molecules26216445")</f>
        <v>http://dx.doi.org/10.3390/molecules26216445</v>
      </c>
      <c r="BG255" t="s">
        <v>74</v>
      </c>
      <c r="BH255" t="s">
        <v>74</v>
      </c>
      <c r="BI255">
        <v>12</v>
      </c>
      <c r="BJ255" t="s">
        <v>5429</v>
      </c>
      <c r="BK255" t="s">
        <v>101</v>
      </c>
      <c r="BL255" t="s">
        <v>5430</v>
      </c>
      <c r="BM255" t="s">
        <v>5431</v>
      </c>
      <c r="BN255">
        <v>34770857</v>
      </c>
      <c r="BO255" t="s">
        <v>1094</v>
      </c>
      <c r="BP255" t="s">
        <v>74</v>
      </c>
      <c r="BQ255" t="s">
        <v>74</v>
      </c>
      <c r="BR255" t="s">
        <v>105</v>
      </c>
      <c r="BS255" t="s">
        <v>5432</v>
      </c>
      <c r="BT255" t="str">
        <f>HYPERLINK("https%3A%2F%2Fwww.webofscience.com%2Fwos%2Fwoscc%2Ffull-record%2FWOS:000718478800001","View Full Record in Web of Science")</f>
        <v>View Full Record in Web of Science</v>
      </c>
    </row>
    <row r="256" spans="1:72" x14ac:dyDescent="0.15">
      <c r="A256" t="s">
        <v>72</v>
      </c>
      <c r="B256" t="s">
        <v>5433</v>
      </c>
      <c r="C256" t="s">
        <v>74</v>
      </c>
      <c r="D256" t="s">
        <v>74</v>
      </c>
      <c r="E256" t="s">
        <v>74</v>
      </c>
      <c r="F256" t="s">
        <v>5434</v>
      </c>
      <c r="G256" t="s">
        <v>74</v>
      </c>
      <c r="H256" t="s">
        <v>74</v>
      </c>
      <c r="I256" t="s">
        <v>5435</v>
      </c>
      <c r="J256" t="s">
        <v>5436</v>
      </c>
      <c r="K256" t="s">
        <v>74</v>
      </c>
      <c r="L256" t="s">
        <v>74</v>
      </c>
      <c r="M256" t="s">
        <v>78</v>
      </c>
      <c r="N256" t="s">
        <v>79</v>
      </c>
      <c r="O256" t="s">
        <v>74</v>
      </c>
      <c r="P256" t="s">
        <v>74</v>
      </c>
      <c r="Q256" t="s">
        <v>74</v>
      </c>
      <c r="R256" t="s">
        <v>74</v>
      </c>
      <c r="S256" t="s">
        <v>74</v>
      </c>
      <c r="T256" t="s">
        <v>5437</v>
      </c>
      <c r="U256" t="s">
        <v>5438</v>
      </c>
      <c r="V256" t="s">
        <v>5439</v>
      </c>
      <c r="W256" t="s">
        <v>5440</v>
      </c>
      <c r="X256" t="s">
        <v>5441</v>
      </c>
      <c r="Y256" t="s">
        <v>5442</v>
      </c>
      <c r="Z256" t="s">
        <v>5443</v>
      </c>
      <c r="AA256" t="s">
        <v>5444</v>
      </c>
      <c r="AB256" t="s">
        <v>5445</v>
      </c>
      <c r="AC256" t="s">
        <v>5446</v>
      </c>
      <c r="AD256" t="s">
        <v>5447</v>
      </c>
      <c r="AE256" t="s">
        <v>5448</v>
      </c>
      <c r="AF256" t="s">
        <v>74</v>
      </c>
      <c r="AG256">
        <v>102</v>
      </c>
      <c r="AH256">
        <v>7</v>
      </c>
      <c r="AI256">
        <v>8</v>
      </c>
      <c r="AJ256">
        <v>4</v>
      </c>
      <c r="AK256">
        <v>46</v>
      </c>
      <c r="AL256" t="s">
        <v>4537</v>
      </c>
      <c r="AM256" t="s">
        <v>438</v>
      </c>
      <c r="AN256" t="s">
        <v>4538</v>
      </c>
      <c r="AO256" t="s">
        <v>5449</v>
      </c>
      <c r="AP256" t="s">
        <v>5450</v>
      </c>
      <c r="AQ256" t="s">
        <v>74</v>
      </c>
      <c r="AR256" t="s">
        <v>5451</v>
      </c>
      <c r="AS256" t="s">
        <v>5452</v>
      </c>
      <c r="AT256" t="s">
        <v>310</v>
      </c>
      <c r="AU256">
        <v>2021</v>
      </c>
      <c r="AV256">
        <v>87</v>
      </c>
      <c r="AW256">
        <v>22</v>
      </c>
      <c r="AX256" t="s">
        <v>74</v>
      </c>
      <c r="AY256" t="s">
        <v>74</v>
      </c>
      <c r="AZ256" t="s">
        <v>74</v>
      </c>
      <c r="BA256" t="s">
        <v>74</v>
      </c>
      <c r="BB256" t="s">
        <v>74</v>
      </c>
      <c r="BC256" t="s">
        <v>74</v>
      </c>
      <c r="BD256" t="s">
        <v>5453</v>
      </c>
      <c r="BE256" t="s">
        <v>5454</v>
      </c>
      <c r="BF256" t="str">
        <f>HYPERLINK("http://dx.doi.org/10.1128/AEM.01160-21","http://dx.doi.org/10.1128/AEM.01160-21")</f>
        <v>http://dx.doi.org/10.1128/AEM.01160-21</v>
      </c>
      <c r="BG256" t="s">
        <v>74</v>
      </c>
      <c r="BH256" t="s">
        <v>74</v>
      </c>
      <c r="BI256">
        <v>18</v>
      </c>
      <c r="BJ256" t="s">
        <v>5455</v>
      </c>
      <c r="BK256" t="s">
        <v>101</v>
      </c>
      <c r="BL256" t="s">
        <v>5455</v>
      </c>
      <c r="BM256" t="s">
        <v>5456</v>
      </c>
      <c r="BN256">
        <v>34469192</v>
      </c>
      <c r="BO256" t="s">
        <v>343</v>
      </c>
      <c r="BP256" t="s">
        <v>74</v>
      </c>
      <c r="BQ256" t="s">
        <v>74</v>
      </c>
      <c r="BR256" t="s">
        <v>105</v>
      </c>
      <c r="BS256" t="s">
        <v>5457</v>
      </c>
      <c r="BT256" t="str">
        <f>HYPERLINK("https%3A%2F%2Fwww.webofscience.com%2Fwos%2Fwoscc%2Ffull-record%2FWOS:000713169300006","View Full Record in Web of Science")</f>
        <v>View Full Record in Web of Science</v>
      </c>
    </row>
    <row r="257" spans="1:72" x14ac:dyDescent="0.15">
      <c r="A257" t="s">
        <v>72</v>
      </c>
      <c r="B257" t="s">
        <v>5458</v>
      </c>
      <c r="C257" t="s">
        <v>74</v>
      </c>
      <c r="D257" t="s">
        <v>74</v>
      </c>
      <c r="E257" t="s">
        <v>74</v>
      </c>
      <c r="F257" t="s">
        <v>5458</v>
      </c>
      <c r="G257" t="s">
        <v>74</v>
      </c>
      <c r="H257" t="s">
        <v>74</v>
      </c>
      <c r="I257" t="s">
        <v>5459</v>
      </c>
      <c r="J257" t="s">
        <v>5460</v>
      </c>
      <c r="K257" t="s">
        <v>74</v>
      </c>
      <c r="L257" t="s">
        <v>74</v>
      </c>
      <c r="M257" t="s">
        <v>78</v>
      </c>
      <c r="N257" t="s">
        <v>5461</v>
      </c>
      <c r="O257" t="s">
        <v>74</v>
      </c>
      <c r="P257" t="s">
        <v>74</v>
      </c>
      <c r="Q257" t="s">
        <v>74</v>
      </c>
      <c r="R257" t="s">
        <v>74</v>
      </c>
      <c r="S257" t="s">
        <v>74</v>
      </c>
      <c r="T257" t="s">
        <v>74</v>
      </c>
      <c r="U257" t="s">
        <v>74</v>
      </c>
      <c r="V257" t="s">
        <v>74</v>
      </c>
      <c r="W257" t="s">
        <v>74</v>
      </c>
      <c r="X257" t="s">
        <v>74</v>
      </c>
      <c r="Y257" t="s">
        <v>74</v>
      </c>
      <c r="Z257" t="s">
        <v>74</v>
      </c>
      <c r="AA257" t="s">
        <v>74</v>
      </c>
      <c r="AB257" t="s">
        <v>74</v>
      </c>
      <c r="AC257" t="s">
        <v>74</v>
      </c>
      <c r="AD257" t="s">
        <v>74</v>
      </c>
      <c r="AE257" t="s">
        <v>74</v>
      </c>
      <c r="AF257" t="s">
        <v>74</v>
      </c>
      <c r="AG257">
        <v>1</v>
      </c>
      <c r="AH257">
        <v>0</v>
      </c>
      <c r="AI257">
        <v>0</v>
      </c>
      <c r="AJ257">
        <v>0</v>
      </c>
      <c r="AK257">
        <v>2</v>
      </c>
      <c r="AL257" t="s">
        <v>572</v>
      </c>
      <c r="AM257" t="s">
        <v>573</v>
      </c>
      <c r="AN257" t="s">
        <v>574</v>
      </c>
      <c r="AO257" t="s">
        <v>5462</v>
      </c>
      <c r="AP257" t="s">
        <v>5463</v>
      </c>
      <c r="AQ257" t="s">
        <v>74</v>
      </c>
      <c r="AR257" t="s">
        <v>5460</v>
      </c>
      <c r="AS257" t="s">
        <v>5464</v>
      </c>
      <c r="AT257" t="s">
        <v>310</v>
      </c>
      <c r="AU257">
        <v>2021</v>
      </c>
      <c r="AV257">
        <v>76</v>
      </c>
      <c r="AW257">
        <v>11</v>
      </c>
      <c r="AX257" t="s">
        <v>74</v>
      </c>
      <c r="AY257" t="s">
        <v>74</v>
      </c>
      <c r="AZ257" t="s">
        <v>74</v>
      </c>
      <c r="BA257" t="s">
        <v>74</v>
      </c>
      <c r="BB257">
        <v>358</v>
      </c>
      <c r="BC257">
        <v>359</v>
      </c>
      <c r="BD257" t="s">
        <v>74</v>
      </c>
      <c r="BE257" t="s">
        <v>74</v>
      </c>
      <c r="BF257" t="s">
        <v>74</v>
      </c>
      <c r="BG257" t="s">
        <v>74</v>
      </c>
      <c r="BH257" t="s">
        <v>74</v>
      </c>
      <c r="BI257">
        <v>2</v>
      </c>
      <c r="BJ257" t="s">
        <v>829</v>
      </c>
      <c r="BK257" t="s">
        <v>101</v>
      </c>
      <c r="BL257" t="s">
        <v>829</v>
      </c>
      <c r="BM257" t="s">
        <v>5465</v>
      </c>
      <c r="BN257" t="s">
        <v>74</v>
      </c>
      <c r="BO257" t="s">
        <v>74</v>
      </c>
      <c r="BP257" t="s">
        <v>74</v>
      </c>
      <c r="BQ257" t="s">
        <v>74</v>
      </c>
      <c r="BR257" t="s">
        <v>105</v>
      </c>
      <c r="BS257" t="s">
        <v>5466</v>
      </c>
      <c r="BT257" t="str">
        <f>HYPERLINK("https%3A%2F%2Fwww.webofscience.com%2Fwos%2Fwoscc%2Ffull-record%2FWOS:000715075700022","View Full Record in Web of Science")</f>
        <v>View Full Record in Web of Science</v>
      </c>
    </row>
    <row r="258" spans="1:72" x14ac:dyDescent="0.15">
      <c r="A258" t="s">
        <v>72</v>
      </c>
      <c r="B258" t="s">
        <v>5467</v>
      </c>
      <c r="C258" t="s">
        <v>74</v>
      </c>
      <c r="D258" t="s">
        <v>74</v>
      </c>
      <c r="E258" t="s">
        <v>74</v>
      </c>
      <c r="F258" t="s">
        <v>5468</v>
      </c>
      <c r="G258" t="s">
        <v>74</v>
      </c>
      <c r="H258" t="s">
        <v>74</v>
      </c>
      <c r="I258" t="s">
        <v>5469</v>
      </c>
      <c r="J258" t="s">
        <v>5470</v>
      </c>
      <c r="K258" t="s">
        <v>74</v>
      </c>
      <c r="L258" t="s">
        <v>74</v>
      </c>
      <c r="M258" t="s">
        <v>78</v>
      </c>
      <c r="N258" t="s">
        <v>79</v>
      </c>
      <c r="O258" t="s">
        <v>74</v>
      </c>
      <c r="P258" t="s">
        <v>74</v>
      </c>
      <c r="Q258" t="s">
        <v>74</v>
      </c>
      <c r="R258" t="s">
        <v>74</v>
      </c>
      <c r="S258" t="s">
        <v>74</v>
      </c>
      <c r="T258" t="s">
        <v>74</v>
      </c>
      <c r="U258" t="s">
        <v>5471</v>
      </c>
      <c r="V258" t="s">
        <v>5472</v>
      </c>
      <c r="W258" t="s">
        <v>5473</v>
      </c>
      <c r="X258" t="s">
        <v>5474</v>
      </c>
      <c r="Y258" t="s">
        <v>5475</v>
      </c>
      <c r="Z258" t="s">
        <v>5476</v>
      </c>
      <c r="AA258" t="s">
        <v>5477</v>
      </c>
      <c r="AB258" t="s">
        <v>74</v>
      </c>
      <c r="AC258" t="s">
        <v>5478</v>
      </c>
      <c r="AD258" t="s">
        <v>5479</v>
      </c>
      <c r="AE258" t="s">
        <v>5480</v>
      </c>
      <c r="AF258" t="s">
        <v>74</v>
      </c>
      <c r="AG258">
        <v>73</v>
      </c>
      <c r="AH258">
        <v>3</v>
      </c>
      <c r="AI258">
        <v>3</v>
      </c>
      <c r="AJ258">
        <v>3</v>
      </c>
      <c r="AK258">
        <v>37</v>
      </c>
      <c r="AL258" t="s">
        <v>5278</v>
      </c>
      <c r="AM258" t="s">
        <v>5279</v>
      </c>
      <c r="AN258" t="s">
        <v>5280</v>
      </c>
      <c r="AO258" t="s">
        <v>5481</v>
      </c>
      <c r="AP258" t="s">
        <v>5482</v>
      </c>
      <c r="AQ258" t="s">
        <v>74</v>
      </c>
      <c r="AR258" t="s">
        <v>5483</v>
      </c>
      <c r="AS258" t="s">
        <v>5484</v>
      </c>
      <c r="AT258" t="s">
        <v>4429</v>
      </c>
      <c r="AU258">
        <v>2021</v>
      </c>
      <c r="AV258">
        <v>133</v>
      </c>
      <c r="AW258" t="s">
        <v>5485</v>
      </c>
      <c r="AX258" t="s">
        <v>74</v>
      </c>
      <c r="AY258" t="s">
        <v>74</v>
      </c>
      <c r="AZ258" t="s">
        <v>74</v>
      </c>
      <c r="BA258" t="s">
        <v>74</v>
      </c>
      <c r="BB258">
        <v>2266</v>
      </c>
      <c r="BC258">
        <v>2278</v>
      </c>
      <c r="BD258" t="s">
        <v>74</v>
      </c>
      <c r="BE258" t="s">
        <v>5486</v>
      </c>
      <c r="BF258" t="str">
        <f>HYPERLINK("http://dx.doi.org/10.1130/B35776.1","http://dx.doi.org/10.1130/B35776.1")</f>
        <v>http://dx.doi.org/10.1130/B35776.1</v>
      </c>
      <c r="BG258" t="s">
        <v>74</v>
      </c>
      <c r="BH258" t="s">
        <v>74</v>
      </c>
      <c r="BI258">
        <v>13</v>
      </c>
      <c r="BJ258" t="s">
        <v>236</v>
      </c>
      <c r="BK258" t="s">
        <v>101</v>
      </c>
      <c r="BL258" t="s">
        <v>237</v>
      </c>
      <c r="BM258" t="s">
        <v>5487</v>
      </c>
      <c r="BN258" t="s">
        <v>74</v>
      </c>
      <c r="BO258" t="s">
        <v>74</v>
      </c>
      <c r="BP258" t="s">
        <v>74</v>
      </c>
      <c r="BQ258" t="s">
        <v>74</v>
      </c>
      <c r="BR258" t="s">
        <v>105</v>
      </c>
      <c r="BS258" t="s">
        <v>5488</v>
      </c>
      <c r="BT258" t="str">
        <f>HYPERLINK("https%3A%2F%2Fwww.webofscience.com%2Fwos%2Fwoscc%2Ffull-record%2FWOS:000715043400002","View Full Record in Web of Science")</f>
        <v>View Full Record in Web of Science</v>
      </c>
    </row>
    <row r="259" spans="1:72" x14ac:dyDescent="0.15">
      <c r="A259" t="s">
        <v>72</v>
      </c>
      <c r="B259" t="s">
        <v>5489</v>
      </c>
      <c r="C259" t="s">
        <v>74</v>
      </c>
      <c r="D259" t="s">
        <v>74</v>
      </c>
      <c r="E259" t="s">
        <v>74</v>
      </c>
      <c r="F259" t="s">
        <v>5490</v>
      </c>
      <c r="G259" t="s">
        <v>74</v>
      </c>
      <c r="H259" t="s">
        <v>74</v>
      </c>
      <c r="I259" t="s">
        <v>5491</v>
      </c>
      <c r="J259" t="s">
        <v>1279</v>
      </c>
      <c r="K259" t="s">
        <v>74</v>
      </c>
      <c r="L259" t="s">
        <v>74</v>
      </c>
      <c r="M259" t="s">
        <v>78</v>
      </c>
      <c r="N259" t="s">
        <v>79</v>
      </c>
      <c r="O259" t="s">
        <v>74</v>
      </c>
      <c r="P259" t="s">
        <v>74</v>
      </c>
      <c r="Q259" t="s">
        <v>74</v>
      </c>
      <c r="R259" t="s">
        <v>74</v>
      </c>
      <c r="S259" t="s">
        <v>74</v>
      </c>
      <c r="T259" t="s">
        <v>74</v>
      </c>
      <c r="U259" t="s">
        <v>5492</v>
      </c>
      <c r="V259" t="s">
        <v>5493</v>
      </c>
      <c r="W259" t="s">
        <v>5494</v>
      </c>
      <c r="X259" t="s">
        <v>5495</v>
      </c>
      <c r="Y259" t="s">
        <v>5496</v>
      </c>
      <c r="Z259" t="s">
        <v>5497</v>
      </c>
      <c r="AA259" t="s">
        <v>5498</v>
      </c>
      <c r="AB259" t="s">
        <v>5499</v>
      </c>
      <c r="AC259" t="s">
        <v>5500</v>
      </c>
      <c r="AD259" t="s">
        <v>5501</v>
      </c>
      <c r="AE259" t="s">
        <v>5502</v>
      </c>
      <c r="AF259" t="s">
        <v>74</v>
      </c>
      <c r="AG259">
        <v>76</v>
      </c>
      <c r="AH259">
        <v>20</v>
      </c>
      <c r="AI259">
        <v>20</v>
      </c>
      <c r="AJ259">
        <v>6</v>
      </c>
      <c r="AK259">
        <v>21</v>
      </c>
      <c r="AL259" t="s">
        <v>492</v>
      </c>
      <c r="AM259" t="s">
        <v>493</v>
      </c>
      <c r="AN259" t="s">
        <v>494</v>
      </c>
      <c r="AO259" t="s">
        <v>74</v>
      </c>
      <c r="AP259" t="s">
        <v>1291</v>
      </c>
      <c r="AQ259" t="s">
        <v>74</v>
      </c>
      <c r="AR259" t="s">
        <v>1292</v>
      </c>
      <c r="AS259" t="s">
        <v>1293</v>
      </c>
      <c r="AT259" t="s">
        <v>4170</v>
      </c>
      <c r="AU259">
        <v>2021</v>
      </c>
      <c r="AV259">
        <v>12</v>
      </c>
      <c r="AW259">
        <v>1</v>
      </c>
      <c r="AX259" t="s">
        <v>74</v>
      </c>
      <c r="AY259" t="s">
        <v>74</v>
      </c>
      <c r="AZ259" t="s">
        <v>74</v>
      </c>
      <c r="BA259" t="s">
        <v>74</v>
      </c>
      <c r="BB259" t="s">
        <v>74</v>
      </c>
      <c r="BC259" t="s">
        <v>74</v>
      </c>
      <c r="BD259">
        <v>6069</v>
      </c>
      <c r="BE259" t="s">
        <v>5503</v>
      </c>
      <c r="BF259" t="str">
        <f>HYPERLINK("http://dx.doi.org/10.1038/s41467-021-26229-4","http://dx.doi.org/10.1038/s41467-021-26229-4")</f>
        <v>http://dx.doi.org/10.1038/s41467-021-26229-4</v>
      </c>
      <c r="BG259" t="s">
        <v>74</v>
      </c>
      <c r="BH259" t="s">
        <v>74</v>
      </c>
      <c r="BI259">
        <v>9</v>
      </c>
      <c r="BJ259" t="s">
        <v>126</v>
      </c>
      <c r="BK259" t="s">
        <v>101</v>
      </c>
      <c r="BL259" t="s">
        <v>127</v>
      </c>
      <c r="BM259" t="s">
        <v>5504</v>
      </c>
      <c r="BN259">
        <v>34725324</v>
      </c>
      <c r="BO259" t="s">
        <v>394</v>
      </c>
      <c r="BP259" t="s">
        <v>74</v>
      </c>
      <c r="BQ259" t="s">
        <v>74</v>
      </c>
      <c r="BR259" t="s">
        <v>105</v>
      </c>
      <c r="BS259" t="s">
        <v>5505</v>
      </c>
      <c r="BT259" t="str">
        <f>HYPERLINK("https%3A%2F%2Fwww.webofscience.com%2Fwos%2Fwoscc%2Ffull-record%2FWOS:000713727300014","View Full Record in Web of Science")</f>
        <v>View Full Record in Web of Science</v>
      </c>
    </row>
    <row r="260" spans="1:72" x14ac:dyDescent="0.15">
      <c r="A260" t="s">
        <v>72</v>
      </c>
      <c r="B260" t="s">
        <v>5506</v>
      </c>
      <c r="C260" t="s">
        <v>74</v>
      </c>
      <c r="D260" t="s">
        <v>74</v>
      </c>
      <c r="E260" t="s">
        <v>74</v>
      </c>
      <c r="F260" t="s">
        <v>5507</v>
      </c>
      <c r="G260" t="s">
        <v>74</v>
      </c>
      <c r="H260" t="s">
        <v>74</v>
      </c>
      <c r="I260" t="s">
        <v>5508</v>
      </c>
      <c r="J260" t="s">
        <v>1058</v>
      </c>
      <c r="K260" t="s">
        <v>74</v>
      </c>
      <c r="L260" t="s">
        <v>74</v>
      </c>
      <c r="M260" t="s">
        <v>78</v>
      </c>
      <c r="N260" t="s">
        <v>79</v>
      </c>
      <c r="O260" t="s">
        <v>74</v>
      </c>
      <c r="P260" t="s">
        <v>74</v>
      </c>
      <c r="Q260" t="s">
        <v>74</v>
      </c>
      <c r="R260" t="s">
        <v>74</v>
      </c>
      <c r="S260" t="s">
        <v>74</v>
      </c>
      <c r="T260" t="s">
        <v>74</v>
      </c>
      <c r="U260" t="s">
        <v>5509</v>
      </c>
      <c r="V260" t="s">
        <v>5510</v>
      </c>
      <c r="W260" t="s">
        <v>5511</v>
      </c>
      <c r="X260" t="s">
        <v>5512</v>
      </c>
      <c r="Y260" t="s">
        <v>5513</v>
      </c>
      <c r="Z260" t="s">
        <v>5514</v>
      </c>
      <c r="AA260" t="s">
        <v>5515</v>
      </c>
      <c r="AB260" t="s">
        <v>74</v>
      </c>
      <c r="AC260" t="s">
        <v>74</v>
      </c>
      <c r="AD260" t="s">
        <v>74</v>
      </c>
      <c r="AE260" t="s">
        <v>74</v>
      </c>
      <c r="AF260" t="s">
        <v>74</v>
      </c>
      <c r="AG260">
        <v>81</v>
      </c>
      <c r="AH260">
        <v>18</v>
      </c>
      <c r="AI260">
        <v>18</v>
      </c>
      <c r="AJ260">
        <v>4</v>
      </c>
      <c r="AK260">
        <v>27</v>
      </c>
      <c r="AL260" t="s">
        <v>227</v>
      </c>
      <c r="AM260" t="s">
        <v>228</v>
      </c>
      <c r="AN260" t="s">
        <v>229</v>
      </c>
      <c r="AO260" t="s">
        <v>1065</v>
      </c>
      <c r="AP260" t="s">
        <v>1066</v>
      </c>
      <c r="AQ260" t="s">
        <v>74</v>
      </c>
      <c r="AR260" t="s">
        <v>1058</v>
      </c>
      <c r="AS260" t="s">
        <v>1067</v>
      </c>
      <c r="AT260" t="s">
        <v>4170</v>
      </c>
      <c r="AU260">
        <v>2021</v>
      </c>
      <c r="AV260">
        <v>15</v>
      </c>
      <c r="AW260">
        <v>11</v>
      </c>
      <c r="AX260" t="s">
        <v>74</v>
      </c>
      <c r="AY260" t="s">
        <v>74</v>
      </c>
      <c r="AZ260" t="s">
        <v>74</v>
      </c>
      <c r="BA260" t="s">
        <v>74</v>
      </c>
      <c r="BB260">
        <v>5041</v>
      </c>
      <c r="BC260">
        <v>5059</v>
      </c>
      <c r="BD260" t="s">
        <v>74</v>
      </c>
      <c r="BE260" t="s">
        <v>5516</v>
      </c>
      <c r="BF260" t="str">
        <f>HYPERLINK("http://dx.doi.org/10.5194/tc-15-5041-2021","http://dx.doi.org/10.5194/tc-15-5041-2021")</f>
        <v>http://dx.doi.org/10.5194/tc-15-5041-2021</v>
      </c>
      <c r="BG260" t="s">
        <v>74</v>
      </c>
      <c r="BH260" t="s">
        <v>74</v>
      </c>
      <c r="BI260">
        <v>19</v>
      </c>
      <c r="BJ260" t="s">
        <v>340</v>
      </c>
      <c r="BK260" t="s">
        <v>101</v>
      </c>
      <c r="BL260" t="s">
        <v>341</v>
      </c>
      <c r="BM260" t="s">
        <v>5517</v>
      </c>
      <c r="BN260" t="s">
        <v>74</v>
      </c>
      <c r="BO260" t="s">
        <v>5518</v>
      </c>
      <c r="BP260" t="s">
        <v>74</v>
      </c>
      <c r="BQ260" t="s">
        <v>74</v>
      </c>
      <c r="BR260" t="s">
        <v>105</v>
      </c>
      <c r="BS260" t="s">
        <v>5519</v>
      </c>
      <c r="BT260" t="str">
        <f>HYPERLINK("https%3A%2F%2Fwww.webofscience.com%2Fwos%2Fwoscc%2Ffull-record%2FWOS:000714369200001","View Full Record in Web of Science")</f>
        <v>View Full Record in Web of Science</v>
      </c>
    </row>
    <row r="261" spans="1:72" x14ac:dyDescent="0.15">
      <c r="A261" t="s">
        <v>72</v>
      </c>
      <c r="B261" t="s">
        <v>5520</v>
      </c>
      <c r="C261" t="s">
        <v>74</v>
      </c>
      <c r="D261" t="s">
        <v>74</v>
      </c>
      <c r="E261" t="s">
        <v>74</v>
      </c>
      <c r="F261" t="s">
        <v>5521</v>
      </c>
      <c r="G261" t="s">
        <v>74</v>
      </c>
      <c r="H261" t="s">
        <v>74</v>
      </c>
      <c r="I261" t="s">
        <v>5522</v>
      </c>
      <c r="J261" t="s">
        <v>5523</v>
      </c>
      <c r="K261" t="s">
        <v>74</v>
      </c>
      <c r="L261" t="s">
        <v>74</v>
      </c>
      <c r="M261" t="s">
        <v>78</v>
      </c>
      <c r="N261" t="s">
        <v>79</v>
      </c>
      <c r="O261" t="s">
        <v>74</v>
      </c>
      <c r="P261" t="s">
        <v>74</v>
      </c>
      <c r="Q261" t="s">
        <v>74</v>
      </c>
      <c r="R261" t="s">
        <v>74</v>
      </c>
      <c r="S261" t="s">
        <v>74</v>
      </c>
      <c r="T261" t="s">
        <v>74</v>
      </c>
      <c r="U261" t="s">
        <v>5524</v>
      </c>
      <c r="V261" t="s">
        <v>5525</v>
      </c>
      <c r="W261" t="s">
        <v>5526</v>
      </c>
      <c r="X261" t="s">
        <v>5527</v>
      </c>
      <c r="Y261" t="s">
        <v>5528</v>
      </c>
      <c r="Z261" t="s">
        <v>5529</v>
      </c>
      <c r="AA261" t="s">
        <v>5530</v>
      </c>
      <c r="AB261" t="s">
        <v>5531</v>
      </c>
      <c r="AC261" t="s">
        <v>5532</v>
      </c>
      <c r="AD261" t="s">
        <v>5533</v>
      </c>
      <c r="AE261" t="s">
        <v>5534</v>
      </c>
      <c r="AF261" t="s">
        <v>74</v>
      </c>
      <c r="AG261">
        <v>84</v>
      </c>
      <c r="AH261">
        <v>2</v>
      </c>
      <c r="AI261">
        <v>2</v>
      </c>
      <c r="AJ261">
        <v>2</v>
      </c>
      <c r="AK261">
        <v>17</v>
      </c>
      <c r="AL261" t="s">
        <v>5535</v>
      </c>
      <c r="AM261" t="s">
        <v>5536</v>
      </c>
      <c r="AN261" t="s">
        <v>5537</v>
      </c>
      <c r="AO261" t="s">
        <v>5538</v>
      </c>
      <c r="AP261" t="s">
        <v>5539</v>
      </c>
      <c r="AQ261" t="s">
        <v>74</v>
      </c>
      <c r="AR261" t="s">
        <v>5540</v>
      </c>
      <c r="AS261" t="s">
        <v>5541</v>
      </c>
      <c r="AT261" t="s">
        <v>310</v>
      </c>
      <c r="AU261">
        <v>2021</v>
      </c>
      <c r="AV261">
        <v>78</v>
      </c>
      <c r="AW261">
        <v>11</v>
      </c>
      <c r="AX261" t="s">
        <v>74</v>
      </c>
      <c r="AY261" t="s">
        <v>74</v>
      </c>
      <c r="AZ261" t="s">
        <v>74</v>
      </c>
      <c r="BA261" t="s">
        <v>74</v>
      </c>
      <c r="BB261">
        <v>1689</v>
      </c>
      <c r="BC261">
        <v>1700</v>
      </c>
      <c r="BD261" t="s">
        <v>74</v>
      </c>
      <c r="BE261" t="s">
        <v>5542</v>
      </c>
      <c r="BF261" t="str">
        <f>HYPERLINK("http://dx.doi.org/10.1139/cjfas-2020-0423","http://dx.doi.org/10.1139/cjfas-2020-0423")</f>
        <v>http://dx.doi.org/10.1139/cjfas-2020-0423</v>
      </c>
      <c r="BG261" t="s">
        <v>74</v>
      </c>
      <c r="BH261" t="s">
        <v>74</v>
      </c>
      <c r="BI261">
        <v>12</v>
      </c>
      <c r="BJ261" t="s">
        <v>2624</v>
      </c>
      <c r="BK261" t="s">
        <v>101</v>
      </c>
      <c r="BL261" t="s">
        <v>2624</v>
      </c>
      <c r="BM261" t="s">
        <v>5543</v>
      </c>
      <c r="BN261" t="s">
        <v>74</v>
      </c>
      <c r="BO261" t="s">
        <v>74</v>
      </c>
      <c r="BP261" t="s">
        <v>74</v>
      </c>
      <c r="BQ261" t="s">
        <v>74</v>
      </c>
      <c r="BR261" t="s">
        <v>105</v>
      </c>
      <c r="BS261" t="s">
        <v>5544</v>
      </c>
      <c r="BT261" t="str">
        <f>HYPERLINK("https%3A%2F%2Fwww.webofscience.com%2Fwos%2Fwoscc%2Ffull-record%2FWOS:000711168500011","View Full Record in Web of Science")</f>
        <v>View Full Record in Web of Science</v>
      </c>
    </row>
    <row r="262" spans="1:72" x14ac:dyDescent="0.15">
      <c r="A262" t="s">
        <v>72</v>
      </c>
      <c r="B262" t="s">
        <v>5545</v>
      </c>
      <c r="C262" t="s">
        <v>74</v>
      </c>
      <c r="D262" t="s">
        <v>74</v>
      </c>
      <c r="E262" t="s">
        <v>74</v>
      </c>
      <c r="F262" t="s">
        <v>5546</v>
      </c>
      <c r="G262" t="s">
        <v>74</v>
      </c>
      <c r="H262" t="s">
        <v>74</v>
      </c>
      <c r="I262" t="s">
        <v>5547</v>
      </c>
      <c r="J262" t="s">
        <v>5548</v>
      </c>
      <c r="K262" t="s">
        <v>74</v>
      </c>
      <c r="L262" t="s">
        <v>74</v>
      </c>
      <c r="M262" t="s">
        <v>78</v>
      </c>
      <c r="N262" t="s">
        <v>79</v>
      </c>
      <c r="O262" t="s">
        <v>74</v>
      </c>
      <c r="P262" t="s">
        <v>74</v>
      </c>
      <c r="Q262" t="s">
        <v>74</v>
      </c>
      <c r="R262" t="s">
        <v>74</v>
      </c>
      <c r="S262" t="s">
        <v>74</v>
      </c>
      <c r="T262" t="s">
        <v>5549</v>
      </c>
      <c r="U262" t="s">
        <v>5550</v>
      </c>
      <c r="V262" t="s">
        <v>5551</v>
      </c>
      <c r="W262" t="s">
        <v>5552</v>
      </c>
      <c r="X262" t="s">
        <v>5553</v>
      </c>
      <c r="Y262" t="s">
        <v>5554</v>
      </c>
      <c r="Z262" t="s">
        <v>5555</v>
      </c>
      <c r="AA262" t="s">
        <v>74</v>
      </c>
      <c r="AB262" t="s">
        <v>74</v>
      </c>
      <c r="AC262" t="s">
        <v>5556</v>
      </c>
      <c r="AD262" t="s">
        <v>5557</v>
      </c>
      <c r="AE262" t="s">
        <v>5558</v>
      </c>
      <c r="AF262" t="s">
        <v>74</v>
      </c>
      <c r="AG262">
        <v>108</v>
      </c>
      <c r="AH262">
        <v>0</v>
      </c>
      <c r="AI262">
        <v>0</v>
      </c>
      <c r="AJ262">
        <v>1</v>
      </c>
      <c r="AK262">
        <v>1</v>
      </c>
      <c r="AL262" t="s">
        <v>5559</v>
      </c>
      <c r="AM262" t="s">
        <v>5560</v>
      </c>
      <c r="AN262" t="s">
        <v>5561</v>
      </c>
      <c r="AO262" t="s">
        <v>5562</v>
      </c>
      <c r="AP262" t="s">
        <v>5563</v>
      </c>
      <c r="AQ262" t="s">
        <v>74</v>
      </c>
      <c r="AR262" t="s">
        <v>5564</v>
      </c>
      <c r="AS262" t="s">
        <v>5565</v>
      </c>
      <c r="AT262" t="s">
        <v>310</v>
      </c>
      <c r="AU262">
        <v>2021</v>
      </c>
      <c r="AV262">
        <v>106</v>
      </c>
      <c r="AW262">
        <v>11</v>
      </c>
      <c r="AX262" t="s">
        <v>74</v>
      </c>
      <c r="AY262" t="s">
        <v>74</v>
      </c>
      <c r="AZ262" t="s">
        <v>74</v>
      </c>
      <c r="BA262" t="s">
        <v>74</v>
      </c>
      <c r="BB262">
        <v>1751</v>
      </c>
      <c r="BC262">
        <v>1767</v>
      </c>
      <c r="BD262" t="s">
        <v>74</v>
      </c>
      <c r="BE262" t="s">
        <v>5566</v>
      </c>
      <c r="BF262" t="str">
        <f>HYPERLINK("http://dx.doi.org/10.2138/am-2021-7689","http://dx.doi.org/10.2138/am-2021-7689")</f>
        <v>http://dx.doi.org/10.2138/am-2021-7689</v>
      </c>
      <c r="BG262" t="s">
        <v>74</v>
      </c>
      <c r="BH262" t="s">
        <v>74</v>
      </c>
      <c r="BI262">
        <v>17</v>
      </c>
      <c r="BJ262" t="s">
        <v>5567</v>
      </c>
      <c r="BK262" t="s">
        <v>101</v>
      </c>
      <c r="BL262" t="s">
        <v>5567</v>
      </c>
      <c r="BM262" t="s">
        <v>5568</v>
      </c>
      <c r="BN262" t="s">
        <v>74</v>
      </c>
      <c r="BO262" t="s">
        <v>74</v>
      </c>
      <c r="BP262" t="s">
        <v>74</v>
      </c>
      <c r="BQ262" t="s">
        <v>74</v>
      </c>
      <c r="BR262" t="s">
        <v>105</v>
      </c>
      <c r="BS262" t="s">
        <v>5569</v>
      </c>
      <c r="BT262" t="str">
        <f>HYPERLINK("https%3A%2F%2Fwww.webofscience.com%2Fwos%2Fwoscc%2Ffull-record%2FWOS:000715844000007","View Full Record in Web of Science")</f>
        <v>View Full Record in Web of Science</v>
      </c>
    </row>
    <row r="263" spans="1:72" x14ac:dyDescent="0.15">
      <c r="A263" t="s">
        <v>72</v>
      </c>
      <c r="B263" t="s">
        <v>5570</v>
      </c>
      <c r="C263" t="s">
        <v>74</v>
      </c>
      <c r="D263" t="s">
        <v>74</v>
      </c>
      <c r="E263" t="s">
        <v>74</v>
      </c>
      <c r="F263" t="s">
        <v>5571</v>
      </c>
      <c r="G263" t="s">
        <v>74</v>
      </c>
      <c r="H263" t="s">
        <v>74</v>
      </c>
      <c r="I263" t="s">
        <v>5572</v>
      </c>
      <c r="J263" t="s">
        <v>5573</v>
      </c>
      <c r="K263" t="s">
        <v>74</v>
      </c>
      <c r="L263" t="s">
        <v>74</v>
      </c>
      <c r="M263" t="s">
        <v>78</v>
      </c>
      <c r="N263" t="s">
        <v>79</v>
      </c>
      <c r="O263" t="s">
        <v>74</v>
      </c>
      <c r="P263" t="s">
        <v>74</v>
      </c>
      <c r="Q263" t="s">
        <v>74</v>
      </c>
      <c r="R263" t="s">
        <v>74</v>
      </c>
      <c r="S263" t="s">
        <v>74</v>
      </c>
      <c r="T263" t="s">
        <v>74</v>
      </c>
      <c r="U263" t="s">
        <v>5574</v>
      </c>
      <c r="V263" t="s">
        <v>5575</v>
      </c>
      <c r="W263" t="s">
        <v>5576</v>
      </c>
      <c r="X263" t="s">
        <v>1167</v>
      </c>
      <c r="Y263" t="s">
        <v>5577</v>
      </c>
      <c r="Z263" t="s">
        <v>5578</v>
      </c>
      <c r="AA263" t="s">
        <v>5579</v>
      </c>
      <c r="AB263" t="s">
        <v>5580</v>
      </c>
      <c r="AC263" t="s">
        <v>5581</v>
      </c>
      <c r="AD263" t="s">
        <v>5582</v>
      </c>
      <c r="AE263" t="s">
        <v>5583</v>
      </c>
      <c r="AF263" t="s">
        <v>74</v>
      </c>
      <c r="AG263">
        <v>51</v>
      </c>
      <c r="AH263">
        <v>4</v>
      </c>
      <c r="AI263">
        <v>4</v>
      </c>
      <c r="AJ263">
        <v>2</v>
      </c>
      <c r="AK263">
        <v>6</v>
      </c>
      <c r="AL263" t="s">
        <v>1043</v>
      </c>
      <c r="AM263" t="s">
        <v>994</v>
      </c>
      <c r="AN263" t="s">
        <v>1044</v>
      </c>
      <c r="AO263" t="s">
        <v>74</v>
      </c>
      <c r="AP263" t="s">
        <v>5584</v>
      </c>
      <c r="AQ263" t="s">
        <v>74</v>
      </c>
      <c r="AR263" t="s">
        <v>5585</v>
      </c>
      <c r="AS263" t="s">
        <v>5586</v>
      </c>
      <c r="AT263" t="s">
        <v>4170</v>
      </c>
      <c r="AU263">
        <v>2021</v>
      </c>
      <c r="AV263">
        <v>1</v>
      </c>
      <c r="AW263">
        <v>7</v>
      </c>
      <c r="AX263" t="s">
        <v>74</v>
      </c>
      <c r="AY263" t="s">
        <v>74</v>
      </c>
      <c r="AZ263" t="s">
        <v>74</v>
      </c>
      <c r="BA263" t="s">
        <v>74</v>
      </c>
      <c r="BB263">
        <v>508</v>
      </c>
      <c r="BC263">
        <v>517</v>
      </c>
      <c r="BD263" t="s">
        <v>74</v>
      </c>
      <c r="BE263" t="s">
        <v>5587</v>
      </c>
      <c r="BF263" t="str">
        <f>HYPERLINK("http://dx.doi.org/10.1039/d1ea00054c","http://dx.doi.org/10.1039/d1ea00054c")</f>
        <v>http://dx.doi.org/10.1039/d1ea00054c</v>
      </c>
      <c r="BG263" t="s">
        <v>74</v>
      </c>
      <c r="BH263" t="s">
        <v>74</v>
      </c>
      <c r="BI263">
        <v>10</v>
      </c>
      <c r="BJ263" t="s">
        <v>100</v>
      </c>
      <c r="BK263" t="s">
        <v>1629</v>
      </c>
      <c r="BL263" t="s">
        <v>102</v>
      </c>
      <c r="BM263" t="s">
        <v>5588</v>
      </c>
      <c r="BN263" t="s">
        <v>74</v>
      </c>
      <c r="BO263" t="s">
        <v>210</v>
      </c>
      <c r="BP263" t="s">
        <v>74</v>
      </c>
      <c r="BQ263" t="s">
        <v>74</v>
      </c>
      <c r="BR263" t="s">
        <v>105</v>
      </c>
      <c r="BS263" t="s">
        <v>5589</v>
      </c>
      <c r="BT263" t="str">
        <f>HYPERLINK("https%3A%2F%2Fwww.webofscience.com%2Fwos%2Fwoscc%2Ffull-record%2FWOS:000870709200003","View Full Record in Web of Science")</f>
        <v>View Full Record in Web of Science</v>
      </c>
    </row>
    <row r="264" spans="1:72" x14ac:dyDescent="0.15">
      <c r="A264" t="s">
        <v>72</v>
      </c>
      <c r="B264" t="s">
        <v>5590</v>
      </c>
      <c r="C264" t="s">
        <v>74</v>
      </c>
      <c r="D264" t="s">
        <v>74</v>
      </c>
      <c r="E264" t="s">
        <v>74</v>
      </c>
      <c r="F264" t="s">
        <v>5591</v>
      </c>
      <c r="G264" t="s">
        <v>74</v>
      </c>
      <c r="H264" t="s">
        <v>74</v>
      </c>
      <c r="I264" t="s">
        <v>5592</v>
      </c>
      <c r="J264" t="s">
        <v>5573</v>
      </c>
      <c r="K264" t="s">
        <v>74</v>
      </c>
      <c r="L264" t="s">
        <v>74</v>
      </c>
      <c r="M264" t="s">
        <v>78</v>
      </c>
      <c r="N264" t="s">
        <v>79</v>
      </c>
      <c r="O264" t="s">
        <v>74</v>
      </c>
      <c r="P264" t="s">
        <v>74</v>
      </c>
      <c r="Q264" t="s">
        <v>74</v>
      </c>
      <c r="R264" t="s">
        <v>74</v>
      </c>
      <c r="S264" t="s">
        <v>74</v>
      </c>
      <c r="T264" t="s">
        <v>74</v>
      </c>
      <c r="U264" t="s">
        <v>5593</v>
      </c>
      <c r="V264" t="s">
        <v>5594</v>
      </c>
      <c r="W264" t="s">
        <v>5595</v>
      </c>
      <c r="X264" t="s">
        <v>5596</v>
      </c>
      <c r="Y264" t="s">
        <v>5597</v>
      </c>
      <c r="Z264" t="s">
        <v>5598</v>
      </c>
      <c r="AA264" t="s">
        <v>5599</v>
      </c>
      <c r="AB264" t="s">
        <v>5600</v>
      </c>
      <c r="AC264" t="s">
        <v>5601</v>
      </c>
      <c r="AD264" t="s">
        <v>5602</v>
      </c>
      <c r="AE264" t="s">
        <v>5603</v>
      </c>
      <c r="AF264" t="s">
        <v>74</v>
      </c>
      <c r="AG264">
        <v>67</v>
      </c>
      <c r="AH264">
        <v>4</v>
      </c>
      <c r="AI264">
        <v>4</v>
      </c>
      <c r="AJ264">
        <v>4</v>
      </c>
      <c r="AK264">
        <v>5</v>
      </c>
      <c r="AL264" t="s">
        <v>1043</v>
      </c>
      <c r="AM264" t="s">
        <v>994</v>
      </c>
      <c r="AN264" t="s">
        <v>1044</v>
      </c>
      <c r="AO264" t="s">
        <v>74</v>
      </c>
      <c r="AP264" t="s">
        <v>5584</v>
      </c>
      <c r="AQ264" t="s">
        <v>74</v>
      </c>
      <c r="AR264" t="s">
        <v>5585</v>
      </c>
      <c r="AS264" t="s">
        <v>5586</v>
      </c>
      <c r="AT264" t="s">
        <v>4170</v>
      </c>
      <c r="AU264">
        <v>2021</v>
      </c>
      <c r="AV264">
        <v>1</v>
      </c>
      <c r="AW264">
        <v>7</v>
      </c>
      <c r="AX264" t="s">
        <v>74</v>
      </c>
      <c r="AY264" t="s">
        <v>74</v>
      </c>
      <c r="AZ264" t="s">
        <v>74</v>
      </c>
      <c r="BA264" t="s">
        <v>74</v>
      </c>
      <c r="BB264">
        <v>524</v>
      </c>
      <c r="BC264">
        <v>542</v>
      </c>
      <c r="BD264" t="s">
        <v>74</v>
      </c>
      <c r="BE264" t="s">
        <v>5604</v>
      </c>
      <c r="BF264" t="str">
        <f>HYPERLINK("http://dx.doi.org/10.1039/d1ea00041a","http://dx.doi.org/10.1039/d1ea00041a")</f>
        <v>http://dx.doi.org/10.1039/d1ea00041a</v>
      </c>
      <c r="BG264" t="s">
        <v>74</v>
      </c>
      <c r="BH264" t="s">
        <v>74</v>
      </c>
      <c r="BI264">
        <v>19</v>
      </c>
      <c r="BJ264" t="s">
        <v>100</v>
      </c>
      <c r="BK264" t="s">
        <v>1629</v>
      </c>
      <c r="BL264" t="s">
        <v>102</v>
      </c>
      <c r="BM264" t="s">
        <v>5588</v>
      </c>
      <c r="BN264" t="s">
        <v>74</v>
      </c>
      <c r="BO264" t="s">
        <v>720</v>
      </c>
      <c r="BP264" t="s">
        <v>74</v>
      </c>
      <c r="BQ264" t="s">
        <v>74</v>
      </c>
      <c r="BR264" t="s">
        <v>105</v>
      </c>
      <c r="BS264" t="s">
        <v>5605</v>
      </c>
      <c r="BT264" t="str">
        <f>HYPERLINK("https%3A%2F%2Fwww.webofscience.com%2Fwos%2Fwoscc%2Ffull-record%2FWOS:000870709200005","View Full Record in Web of Science")</f>
        <v>View Full Record in Web of Science</v>
      </c>
    </row>
    <row r="265" spans="1:72" x14ac:dyDescent="0.15">
      <c r="A265" t="s">
        <v>72</v>
      </c>
      <c r="B265" t="s">
        <v>5606</v>
      </c>
      <c r="C265" t="s">
        <v>74</v>
      </c>
      <c r="D265" t="s">
        <v>74</v>
      </c>
      <c r="E265" t="s">
        <v>74</v>
      </c>
      <c r="F265" t="s">
        <v>5607</v>
      </c>
      <c r="G265" t="s">
        <v>74</v>
      </c>
      <c r="H265" t="s">
        <v>74</v>
      </c>
      <c r="I265" t="s">
        <v>5608</v>
      </c>
      <c r="J265" t="s">
        <v>4759</v>
      </c>
      <c r="K265" t="s">
        <v>74</v>
      </c>
      <c r="L265" t="s">
        <v>74</v>
      </c>
      <c r="M265" t="s">
        <v>78</v>
      </c>
      <c r="N265" t="s">
        <v>79</v>
      </c>
      <c r="O265" t="s">
        <v>74</v>
      </c>
      <c r="P265" t="s">
        <v>74</v>
      </c>
      <c r="Q265" t="s">
        <v>74</v>
      </c>
      <c r="R265" t="s">
        <v>74</v>
      </c>
      <c r="S265" t="s">
        <v>74</v>
      </c>
      <c r="T265" t="s">
        <v>5609</v>
      </c>
      <c r="U265" t="s">
        <v>5610</v>
      </c>
      <c r="V265" t="s">
        <v>5611</v>
      </c>
      <c r="W265" t="s">
        <v>5612</v>
      </c>
      <c r="X265" t="s">
        <v>5613</v>
      </c>
      <c r="Y265" t="s">
        <v>5614</v>
      </c>
      <c r="Z265" t="s">
        <v>5615</v>
      </c>
      <c r="AA265" t="s">
        <v>5616</v>
      </c>
      <c r="AB265" t="s">
        <v>5617</v>
      </c>
      <c r="AC265" t="s">
        <v>5618</v>
      </c>
      <c r="AD265" t="s">
        <v>5619</v>
      </c>
      <c r="AE265" t="s">
        <v>5620</v>
      </c>
      <c r="AF265" t="s">
        <v>74</v>
      </c>
      <c r="AG265">
        <v>92</v>
      </c>
      <c r="AH265">
        <v>5</v>
      </c>
      <c r="AI265">
        <v>5</v>
      </c>
      <c r="AJ265">
        <v>0</v>
      </c>
      <c r="AK265">
        <v>7</v>
      </c>
      <c r="AL265" t="s">
        <v>760</v>
      </c>
      <c r="AM265" t="s">
        <v>438</v>
      </c>
      <c r="AN265" t="s">
        <v>761</v>
      </c>
      <c r="AO265" t="s">
        <v>4771</v>
      </c>
      <c r="AP265" t="s">
        <v>4772</v>
      </c>
      <c r="AQ265" t="s">
        <v>74</v>
      </c>
      <c r="AR265" t="s">
        <v>4773</v>
      </c>
      <c r="AS265" t="s">
        <v>4774</v>
      </c>
      <c r="AT265" t="s">
        <v>310</v>
      </c>
      <c r="AU265">
        <v>2021</v>
      </c>
      <c r="AV265">
        <v>126</v>
      </c>
      <c r="AW265">
        <v>11</v>
      </c>
      <c r="AX265" t="s">
        <v>74</v>
      </c>
      <c r="AY265" t="s">
        <v>74</v>
      </c>
      <c r="AZ265" t="s">
        <v>74</v>
      </c>
      <c r="BA265" t="s">
        <v>74</v>
      </c>
      <c r="BB265" t="s">
        <v>74</v>
      </c>
      <c r="BC265" t="s">
        <v>74</v>
      </c>
      <c r="BD265" t="s">
        <v>5621</v>
      </c>
      <c r="BE265" t="s">
        <v>5622</v>
      </c>
      <c r="BF265" t="str">
        <f>HYPERLINK("http://dx.doi.org/10.1029/2021JB022503","http://dx.doi.org/10.1029/2021JB022503")</f>
        <v>http://dx.doi.org/10.1029/2021JB022503</v>
      </c>
      <c r="BG265" t="s">
        <v>74</v>
      </c>
      <c r="BH265" t="s">
        <v>74</v>
      </c>
      <c r="BI265">
        <v>17</v>
      </c>
      <c r="BJ265" t="s">
        <v>365</v>
      </c>
      <c r="BK265" t="s">
        <v>101</v>
      </c>
      <c r="BL265" t="s">
        <v>365</v>
      </c>
      <c r="BM265" t="s">
        <v>4777</v>
      </c>
      <c r="BN265" t="s">
        <v>74</v>
      </c>
      <c r="BO265" t="s">
        <v>74</v>
      </c>
      <c r="BP265" t="s">
        <v>74</v>
      </c>
      <c r="BQ265" t="s">
        <v>74</v>
      </c>
      <c r="BR265" t="s">
        <v>105</v>
      </c>
      <c r="BS265" t="s">
        <v>5623</v>
      </c>
      <c r="BT265" t="str">
        <f>HYPERLINK("https%3A%2F%2Fwww.webofscience.com%2Fwos%2Fwoscc%2Ffull-record%2FWOS:000723102600056","View Full Record in Web of Science")</f>
        <v>View Full Record in Web of Science</v>
      </c>
    </row>
    <row r="266" spans="1:72" x14ac:dyDescent="0.15">
      <c r="A266" t="s">
        <v>72</v>
      </c>
      <c r="B266" t="s">
        <v>5624</v>
      </c>
      <c r="C266" t="s">
        <v>74</v>
      </c>
      <c r="D266" t="s">
        <v>74</v>
      </c>
      <c r="E266" t="s">
        <v>74</v>
      </c>
      <c r="F266" t="s">
        <v>5625</v>
      </c>
      <c r="G266" t="s">
        <v>74</v>
      </c>
      <c r="H266" t="s">
        <v>74</v>
      </c>
      <c r="I266" t="s">
        <v>5626</v>
      </c>
      <c r="J266" t="s">
        <v>5627</v>
      </c>
      <c r="K266" t="s">
        <v>74</v>
      </c>
      <c r="L266" t="s">
        <v>74</v>
      </c>
      <c r="M266" t="s">
        <v>78</v>
      </c>
      <c r="N266" t="s">
        <v>79</v>
      </c>
      <c r="O266" t="s">
        <v>74</v>
      </c>
      <c r="P266" t="s">
        <v>74</v>
      </c>
      <c r="Q266" t="s">
        <v>74</v>
      </c>
      <c r="R266" t="s">
        <v>74</v>
      </c>
      <c r="S266" t="s">
        <v>74</v>
      </c>
      <c r="T266" t="s">
        <v>5628</v>
      </c>
      <c r="U266" t="s">
        <v>5629</v>
      </c>
      <c r="V266" t="s">
        <v>5630</v>
      </c>
      <c r="W266" t="s">
        <v>5631</v>
      </c>
      <c r="X266" t="s">
        <v>5632</v>
      </c>
      <c r="Y266" t="s">
        <v>5633</v>
      </c>
      <c r="Z266" t="s">
        <v>5634</v>
      </c>
      <c r="AA266" t="s">
        <v>5635</v>
      </c>
      <c r="AB266" t="s">
        <v>5636</v>
      </c>
      <c r="AC266" t="s">
        <v>5637</v>
      </c>
      <c r="AD266" t="s">
        <v>5638</v>
      </c>
      <c r="AE266" t="s">
        <v>5639</v>
      </c>
      <c r="AF266" t="s">
        <v>74</v>
      </c>
      <c r="AG266">
        <v>76</v>
      </c>
      <c r="AH266">
        <v>0</v>
      </c>
      <c r="AI266">
        <v>1</v>
      </c>
      <c r="AJ266">
        <v>2</v>
      </c>
      <c r="AK266">
        <v>21</v>
      </c>
      <c r="AL266" t="s">
        <v>4192</v>
      </c>
      <c r="AM266" t="s">
        <v>4193</v>
      </c>
      <c r="AN266" t="s">
        <v>4194</v>
      </c>
      <c r="AO266" t="s">
        <v>74</v>
      </c>
      <c r="AP266" t="s">
        <v>5640</v>
      </c>
      <c r="AQ266" t="s">
        <v>74</v>
      </c>
      <c r="AR266" t="s">
        <v>5627</v>
      </c>
      <c r="AS266" t="s">
        <v>5641</v>
      </c>
      <c r="AT266" t="s">
        <v>310</v>
      </c>
      <c r="AU266">
        <v>2021</v>
      </c>
      <c r="AV266">
        <v>11</v>
      </c>
      <c r="AW266">
        <v>11</v>
      </c>
      <c r="AX266" t="s">
        <v>74</v>
      </c>
      <c r="AY266" t="s">
        <v>74</v>
      </c>
      <c r="AZ266" t="s">
        <v>74</v>
      </c>
      <c r="BA266" t="s">
        <v>74</v>
      </c>
      <c r="BB266" t="s">
        <v>74</v>
      </c>
      <c r="BC266" t="s">
        <v>74</v>
      </c>
      <c r="BD266">
        <v>1199</v>
      </c>
      <c r="BE266" t="s">
        <v>5642</v>
      </c>
      <c r="BF266" t="str">
        <f>HYPERLINK("http://dx.doi.org/10.3390/life11111199","http://dx.doi.org/10.3390/life11111199")</f>
        <v>http://dx.doi.org/10.3390/life11111199</v>
      </c>
      <c r="BG266" t="s">
        <v>74</v>
      </c>
      <c r="BH266" t="s">
        <v>74</v>
      </c>
      <c r="BI266">
        <v>16</v>
      </c>
      <c r="BJ266" t="s">
        <v>5643</v>
      </c>
      <c r="BK266" t="s">
        <v>101</v>
      </c>
      <c r="BL266" t="s">
        <v>5644</v>
      </c>
      <c r="BM266" t="s">
        <v>5645</v>
      </c>
      <c r="BN266">
        <v>34833075</v>
      </c>
      <c r="BO266" t="s">
        <v>1248</v>
      </c>
      <c r="BP266" t="s">
        <v>74</v>
      </c>
      <c r="BQ266" t="s">
        <v>74</v>
      </c>
      <c r="BR266" t="s">
        <v>105</v>
      </c>
      <c r="BS266" t="s">
        <v>5646</v>
      </c>
      <c r="BT266" t="str">
        <f>HYPERLINK("https%3A%2F%2Fwww.webofscience.com%2Fwos%2Fwoscc%2Ffull-record%2FWOS:000724421200001","View Full Record in Web of Science")</f>
        <v>View Full Record in Web of Science</v>
      </c>
    </row>
    <row r="267" spans="1:72" x14ac:dyDescent="0.15">
      <c r="A267" t="s">
        <v>72</v>
      </c>
      <c r="B267" t="s">
        <v>5647</v>
      </c>
      <c r="C267" t="s">
        <v>74</v>
      </c>
      <c r="D267" t="s">
        <v>74</v>
      </c>
      <c r="E267" t="s">
        <v>74</v>
      </c>
      <c r="F267" t="s">
        <v>5648</v>
      </c>
      <c r="G267" t="s">
        <v>74</v>
      </c>
      <c r="H267" t="s">
        <v>74</v>
      </c>
      <c r="I267" t="s">
        <v>5649</v>
      </c>
      <c r="J267" t="s">
        <v>4548</v>
      </c>
      <c r="K267" t="s">
        <v>74</v>
      </c>
      <c r="L267" t="s">
        <v>74</v>
      </c>
      <c r="M267" t="s">
        <v>78</v>
      </c>
      <c r="N267" t="s">
        <v>79</v>
      </c>
      <c r="O267" t="s">
        <v>74</v>
      </c>
      <c r="P267" t="s">
        <v>74</v>
      </c>
      <c r="Q267" t="s">
        <v>74</v>
      </c>
      <c r="R267" t="s">
        <v>74</v>
      </c>
      <c r="S267" t="s">
        <v>74</v>
      </c>
      <c r="T267" t="s">
        <v>5650</v>
      </c>
      <c r="U267" t="s">
        <v>5651</v>
      </c>
      <c r="V267" t="s">
        <v>5652</v>
      </c>
      <c r="W267" t="s">
        <v>5653</v>
      </c>
      <c r="X267" t="s">
        <v>5654</v>
      </c>
      <c r="Y267" t="s">
        <v>5655</v>
      </c>
      <c r="Z267" t="s">
        <v>5656</v>
      </c>
      <c r="AA267" t="s">
        <v>5657</v>
      </c>
      <c r="AB267" t="s">
        <v>5658</v>
      </c>
      <c r="AC267" t="s">
        <v>5659</v>
      </c>
      <c r="AD267" t="s">
        <v>5660</v>
      </c>
      <c r="AE267" t="s">
        <v>5661</v>
      </c>
      <c r="AF267" t="s">
        <v>74</v>
      </c>
      <c r="AG267">
        <v>75</v>
      </c>
      <c r="AH267">
        <v>7</v>
      </c>
      <c r="AI267">
        <v>7</v>
      </c>
      <c r="AJ267">
        <v>5</v>
      </c>
      <c r="AK267">
        <v>14</v>
      </c>
      <c r="AL267" t="s">
        <v>4537</v>
      </c>
      <c r="AM267" t="s">
        <v>438</v>
      </c>
      <c r="AN267" t="s">
        <v>4538</v>
      </c>
      <c r="AO267" t="s">
        <v>74</v>
      </c>
      <c r="AP267" t="s">
        <v>4561</v>
      </c>
      <c r="AQ267" t="s">
        <v>74</v>
      </c>
      <c r="AR267" t="s">
        <v>4548</v>
      </c>
      <c r="AS267" t="s">
        <v>4562</v>
      </c>
      <c r="AT267" t="s">
        <v>4429</v>
      </c>
      <c r="AU267">
        <v>2021</v>
      </c>
      <c r="AV267">
        <v>6</v>
      </c>
      <c r="AW267">
        <v>6</v>
      </c>
      <c r="AX267" t="s">
        <v>74</v>
      </c>
      <c r="AY267" t="s">
        <v>74</v>
      </c>
      <c r="AZ267" t="s">
        <v>74</v>
      </c>
      <c r="BA267" t="s">
        <v>74</v>
      </c>
      <c r="BB267" t="s">
        <v>74</v>
      </c>
      <c r="BC267" t="s">
        <v>74</v>
      </c>
      <c r="BD267" t="s">
        <v>5662</v>
      </c>
      <c r="BE267" t="s">
        <v>5663</v>
      </c>
      <c r="BF267" t="str">
        <f>HYPERLINK("http://dx.doi.org/10.1128/mSphere.00759-21","http://dx.doi.org/10.1128/mSphere.00759-21")</f>
        <v>http://dx.doi.org/10.1128/mSphere.00759-21</v>
      </c>
      <c r="BG267" t="s">
        <v>74</v>
      </c>
      <c r="BH267" t="s">
        <v>74</v>
      </c>
      <c r="BI267">
        <v>17</v>
      </c>
      <c r="BJ267" t="s">
        <v>975</v>
      </c>
      <c r="BK267" t="s">
        <v>101</v>
      </c>
      <c r="BL267" t="s">
        <v>975</v>
      </c>
      <c r="BM267" t="s">
        <v>4565</v>
      </c>
      <c r="BN267">
        <v>34851164</v>
      </c>
      <c r="BO267" t="s">
        <v>1614</v>
      </c>
      <c r="BP267" t="s">
        <v>74</v>
      </c>
      <c r="BQ267" t="s">
        <v>74</v>
      </c>
      <c r="BR267" t="s">
        <v>105</v>
      </c>
      <c r="BS267" t="s">
        <v>5664</v>
      </c>
      <c r="BT267" t="str">
        <f>HYPERLINK("https%3A%2F%2Fwww.webofscience.com%2Fwos%2Fwoscc%2Ffull-record%2FWOS:000735403100002","View Full Record in Web of Science")</f>
        <v>View Full Record in Web of Science</v>
      </c>
    </row>
    <row r="268" spans="1:72" x14ac:dyDescent="0.15">
      <c r="A268" t="s">
        <v>72</v>
      </c>
      <c r="B268" t="s">
        <v>5665</v>
      </c>
      <c r="C268" t="s">
        <v>74</v>
      </c>
      <c r="D268" t="s">
        <v>74</v>
      </c>
      <c r="E268" t="s">
        <v>74</v>
      </c>
      <c r="F268" t="s">
        <v>5666</v>
      </c>
      <c r="G268" t="s">
        <v>74</v>
      </c>
      <c r="H268" t="s">
        <v>74</v>
      </c>
      <c r="I268" t="s">
        <v>5667</v>
      </c>
      <c r="J268" t="s">
        <v>725</v>
      </c>
      <c r="K268" t="s">
        <v>74</v>
      </c>
      <c r="L268" t="s">
        <v>74</v>
      </c>
      <c r="M268" t="s">
        <v>78</v>
      </c>
      <c r="N268" t="s">
        <v>79</v>
      </c>
      <c r="O268" t="s">
        <v>74</v>
      </c>
      <c r="P268" t="s">
        <v>74</v>
      </c>
      <c r="Q268" t="s">
        <v>74</v>
      </c>
      <c r="R268" t="s">
        <v>74</v>
      </c>
      <c r="S268" t="s">
        <v>74</v>
      </c>
      <c r="T268" t="s">
        <v>74</v>
      </c>
      <c r="U268" t="s">
        <v>5668</v>
      </c>
      <c r="V268" t="s">
        <v>5669</v>
      </c>
      <c r="W268" t="s">
        <v>5670</v>
      </c>
      <c r="X268" t="s">
        <v>5671</v>
      </c>
      <c r="Y268" t="s">
        <v>5672</v>
      </c>
      <c r="Z268" t="s">
        <v>5673</v>
      </c>
      <c r="AA268" t="s">
        <v>5674</v>
      </c>
      <c r="AB268" t="s">
        <v>5675</v>
      </c>
      <c r="AC268" t="s">
        <v>5676</v>
      </c>
      <c r="AD268" t="s">
        <v>5677</v>
      </c>
      <c r="AE268" t="s">
        <v>5678</v>
      </c>
      <c r="AF268" t="s">
        <v>74</v>
      </c>
      <c r="AG268">
        <v>55</v>
      </c>
      <c r="AH268">
        <v>17</v>
      </c>
      <c r="AI268">
        <v>17</v>
      </c>
      <c r="AJ268">
        <v>12</v>
      </c>
      <c r="AK268">
        <v>65</v>
      </c>
      <c r="AL268" t="s">
        <v>492</v>
      </c>
      <c r="AM268" t="s">
        <v>493</v>
      </c>
      <c r="AN268" t="s">
        <v>494</v>
      </c>
      <c r="AO268" t="s">
        <v>737</v>
      </c>
      <c r="AP268" t="s">
        <v>738</v>
      </c>
      <c r="AQ268" t="s">
        <v>74</v>
      </c>
      <c r="AR268" t="s">
        <v>739</v>
      </c>
      <c r="AS268" t="s">
        <v>740</v>
      </c>
      <c r="AT268" t="s">
        <v>310</v>
      </c>
      <c r="AU268">
        <v>2021</v>
      </c>
      <c r="AV268">
        <v>14</v>
      </c>
      <c r="AW268">
        <v>11</v>
      </c>
      <c r="AX268" t="s">
        <v>74</v>
      </c>
      <c r="AY268" t="s">
        <v>74</v>
      </c>
      <c r="AZ268" t="s">
        <v>74</v>
      </c>
      <c r="BA268" t="s">
        <v>74</v>
      </c>
      <c r="BB268">
        <v>855</v>
      </c>
      <c r="BC268" t="s">
        <v>499</v>
      </c>
      <c r="BD268" t="s">
        <v>74</v>
      </c>
      <c r="BE268" t="s">
        <v>5679</v>
      </c>
      <c r="BF268" t="str">
        <f>HYPERLINK("http://dx.doi.org/10.1038/s41561-021-00836-8","http://dx.doi.org/10.1038/s41561-021-00836-8")</f>
        <v>http://dx.doi.org/10.1038/s41561-021-00836-8</v>
      </c>
      <c r="BG268" t="s">
        <v>74</v>
      </c>
      <c r="BH268" t="s">
        <v>263</v>
      </c>
      <c r="BI268">
        <v>16</v>
      </c>
      <c r="BJ268" t="s">
        <v>236</v>
      </c>
      <c r="BK268" t="s">
        <v>101</v>
      </c>
      <c r="BL268" t="s">
        <v>237</v>
      </c>
      <c r="BM268" t="s">
        <v>5680</v>
      </c>
      <c r="BN268" t="s">
        <v>74</v>
      </c>
      <c r="BO268" t="s">
        <v>2241</v>
      </c>
      <c r="BP268" t="s">
        <v>74</v>
      </c>
      <c r="BQ268" t="s">
        <v>74</v>
      </c>
      <c r="BR268" t="s">
        <v>105</v>
      </c>
      <c r="BS268" t="s">
        <v>5681</v>
      </c>
      <c r="BT268" t="str">
        <f>HYPERLINK("https%3A%2F%2Fwww.webofscience.com%2Fwos%2Fwoscc%2Ffull-record%2FWOS:000713553400003","View Full Record in Web of Science")</f>
        <v>View Full Record in Web of Science</v>
      </c>
    </row>
    <row r="269" spans="1:72" x14ac:dyDescent="0.15">
      <c r="A269" t="s">
        <v>72</v>
      </c>
      <c r="B269" t="s">
        <v>5682</v>
      </c>
      <c r="C269" t="s">
        <v>74</v>
      </c>
      <c r="D269" t="s">
        <v>74</v>
      </c>
      <c r="E269" t="s">
        <v>74</v>
      </c>
      <c r="F269" t="s">
        <v>5683</v>
      </c>
      <c r="G269" t="s">
        <v>74</v>
      </c>
      <c r="H269" t="s">
        <v>74</v>
      </c>
      <c r="I269" t="s">
        <v>5684</v>
      </c>
      <c r="J269" t="s">
        <v>5436</v>
      </c>
      <c r="K269" t="s">
        <v>74</v>
      </c>
      <c r="L269" t="s">
        <v>74</v>
      </c>
      <c r="M269" t="s">
        <v>78</v>
      </c>
      <c r="N269" t="s">
        <v>79</v>
      </c>
      <c r="O269" t="s">
        <v>74</v>
      </c>
      <c r="P269" t="s">
        <v>74</v>
      </c>
      <c r="Q269" t="s">
        <v>74</v>
      </c>
      <c r="R269" t="s">
        <v>74</v>
      </c>
      <c r="S269" t="s">
        <v>74</v>
      </c>
      <c r="T269" t="s">
        <v>5685</v>
      </c>
      <c r="U269" t="s">
        <v>5686</v>
      </c>
      <c r="V269" t="s">
        <v>5687</v>
      </c>
      <c r="W269" t="s">
        <v>5688</v>
      </c>
      <c r="X269" t="s">
        <v>5689</v>
      </c>
      <c r="Y269" t="s">
        <v>5690</v>
      </c>
      <c r="Z269" t="s">
        <v>5691</v>
      </c>
      <c r="AA269" t="s">
        <v>5692</v>
      </c>
      <c r="AB269" t="s">
        <v>5693</v>
      </c>
      <c r="AC269" t="s">
        <v>5694</v>
      </c>
      <c r="AD269" t="s">
        <v>5695</v>
      </c>
      <c r="AE269" t="s">
        <v>5696</v>
      </c>
      <c r="AF269" t="s">
        <v>74</v>
      </c>
      <c r="AG269">
        <v>45</v>
      </c>
      <c r="AH269">
        <v>2</v>
      </c>
      <c r="AI269">
        <v>2</v>
      </c>
      <c r="AJ269">
        <v>2</v>
      </c>
      <c r="AK269">
        <v>19</v>
      </c>
      <c r="AL269" t="s">
        <v>4537</v>
      </c>
      <c r="AM269" t="s">
        <v>438</v>
      </c>
      <c r="AN269" t="s">
        <v>4538</v>
      </c>
      <c r="AO269" t="s">
        <v>5449</v>
      </c>
      <c r="AP269" t="s">
        <v>5450</v>
      </c>
      <c r="AQ269" t="s">
        <v>74</v>
      </c>
      <c r="AR269" t="s">
        <v>5451</v>
      </c>
      <c r="AS269" t="s">
        <v>5452</v>
      </c>
      <c r="AT269" t="s">
        <v>310</v>
      </c>
      <c r="AU269">
        <v>2021</v>
      </c>
      <c r="AV269">
        <v>87</v>
      </c>
      <c r="AW269">
        <v>21</v>
      </c>
      <c r="AX269" t="s">
        <v>74</v>
      </c>
      <c r="AY269" t="s">
        <v>74</v>
      </c>
      <c r="AZ269" t="s">
        <v>74</v>
      </c>
      <c r="BA269" t="s">
        <v>74</v>
      </c>
      <c r="BB269" t="s">
        <v>74</v>
      </c>
      <c r="BC269" t="s">
        <v>74</v>
      </c>
      <c r="BD269" t="s">
        <v>5697</v>
      </c>
      <c r="BE269" t="s">
        <v>5698</v>
      </c>
      <c r="BF269" t="str">
        <f>HYPERLINK("http://dx.doi.org/10.1128/AEM.01527-21","http://dx.doi.org/10.1128/AEM.01527-21")</f>
        <v>http://dx.doi.org/10.1128/AEM.01527-21</v>
      </c>
      <c r="BG269" t="s">
        <v>74</v>
      </c>
      <c r="BH269" t="s">
        <v>74</v>
      </c>
      <c r="BI269">
        <v>14</v>
      </c>
      <c r="BJ269" t="s">
        <v>5455</v>
      </c>
      <c r="BK269" t="s">
        <v>101</v>
      </c>
      <c r="BL269" t="s">
        <v>5455</v>
      </c>
      <c r="BM269" t="s">
        <v>5699</v>
      </c>
      <c r="BN269">
        <v>34406825</v>
      </c>
      <c r="BO269" t="s">
        <v>343</v>
      </c>
      <c r="BP269" t="s">
        <v>74</v>
      </c>
      <c r="BQ269" t="s">
        <v>74</v>
      </c>
      <c r="BR269" t="s">
        <v>105</v>
      </c>
      <c r="BS269" t="s">
        <v>5700</v>
      </c>
      <c r="BT269" t="str">
        <f>HYPERLINK("https%3A%2F%2Fwww.webofscience.com%2Fwos%2Fwoscc%2Ffull-record%2FWOS:000707925700019","View Full Record in Web of Science")</f>
        <v>View Full Record in Web of Science</v>
      </c>
    </row>
    <row r="270" spans="1:72" x14ac:dyDescent="0.15">
      <c r="A270" t="s">
        <v>72</v>
      </c>
      <c r="B270" t="s">
        <v>5701</v>
      </c>
      <c r="C270" t="s">
        <v>74</v>
      </c>
      <c r="D270" t="s">
        <v>74</v>
      </c>
      <c r="E270" t="s">
        <v>74</v>
      </c>
      <c r="F270" t="s">
        <v>5702</v>
      </c>
      <c r="G270" t="s">
        <v>74</v>
      </c>
      <c r="H270" t="s">
        <v>74</v>
      </c>
      <c r="I270" t="s">
        <v>5703</v>
      </c>
      <c r="J270" t="s">
        <v>5704</v>
      </c>
      <c r="K270" t="s">
        <v>74</v>
      </c>
      <c r="L270" t="s">
        <v>74</v>
      </c>
      <c r="M270" t="s">
        <v>78</v>
      </c>
      <c r="N270" t="s">
        <v>79</v>
      </c>
      <c r="O270" t="s">
        <v>74</v>
      </c>
      <c r="P270" t="s">
        <v>74</v>
      </c>
      <c r="Q270" t="s">
        <v>74</v>
      </c>
      <c r="R270" t="s">
        <v>74</v>
      </c>
      <c r="S270" t="s">
        <v>74</v>
      </c>
      <c r="T270" t="s">
        <v>5705</v>
      </c>
      <c r="U270" t="s">
        <v>5706</v>
      </c>
      <c r="V270" t="s">
        <v>5707</v>
      </c>
      <c r="W270" t="s">
        <v>5708</v>
      </c>
      <c r="X270" t="s">
        <v>5709</v>
      </c>
      <c r="Y270" t="s">
        <v>5710</v>
      </c>
      <c r="Z270" t="s">
        <v>5711</v>
      </c>
      <c r="AA270" t="s">
        <v>74</v>
      </c>
      <c r="AB270" t="s">
        <v>5712</v>
      </c>
      <c r="AC270" t="s">
        <v>5713</v>
      </c>
      <c r="AD270" t="s">
        <v>4310</v>
      </c>
      <c r="AE270" t="s">
        <v>5714</v>
      </c>
      <c r="AF270" t="s">
        <v>74</v>
      </c>
      <c r="AG270">
        <v>44</v>
      </c>
      <c r="AH270">
        <v>16</v>
      </c>
      <c r="AI270">
        <v>17</v>
      </c>
      <c r="AJ270">
        <v>1</v>
      </c>
      <c r="AK270">
        <v>9</v>
      </c>
      <c r="AL270" t="s">
        <v>5715</v>
      </c>
      <c r="AM270" t="s">
        <v>93</v>
      </c>
      <c r="AN270" t="s">
        <v>94</v>
      </c>
      <c r="AO270" t="s">
        <v>5716</v>
      </c>
      <c r="AP270" t="s">
        <v>5717</v>
      </c>
      <c r="AQ270" t="s">
        <v>74</v>
      </c>
      <c r="AR270" t="s">
        <v>5718</v>
      </c>
      <c r="AS270" t="s">
        <v>5719</v>
      </c>
      <c r="AT270" t="s">
        <v>310</v>
      </c>
      <c r="AU270">
        <v>2021</v>
      </c>
      <c r="AV270">
        <v>16</v>
      </c>
      <c r="AW270">
        <v>6</v>
      </c>
      <c r="AX270" t="s">
        <v>74</v>
      </c>
      <c r="AY270" t="s">
        <v>74</v>
      </c>
      <c r="AZ270" t="s">
        <v>74</v>
      </c>
      <c r="BA270" t="s">
        <v>74</v>
      </c>
      <c r="BB270" t="s">
        <v>74</v>
      </c>
      <c r="BC270" t="s">
        <v>74</v>
      </c>
      <c r="BD270">
        <v>66007</v>
      </c>
      <c r="BE270" t="s">
        <v>5720</v>
      </c>
      <c r="BF270" t="str">
        <f>HYPERLINK("http://dx.doi.org/10.1088/1748-3190/abc930","http://dx.doi.org/10.1088/1748-3190/abc930")</f>
        <v>http://dx.doi.org/10.1088/1748-3190/abc930</v>
      </c>
      <c r="BG270" t="s">
        <v>74</v>
      </c>
      <c r="BH270" t="s">
        <v>74</v>
      </c>
      <c r="BI270">
        <v>15</v>
      </c>
      <c r="BJ270" t="s">
        <v>5721</v>
      </c>
      <c r="BK270" t="s">
        <v>101</v>
      </c>
      <c r="BL270" t="s">
        <v>5722</v>
      </c>
      <c r="BM270" t="s">
        <v>5723</v>
      </c>
      <c r="BN270">
        <v>33171451</v>
      </c>
      <c r="BO270" t="s">
        <v>419</v>
      </c>
      <c r="BP270" t="s">
        <v>74</v>
      </c>
      <c r="BQ270" t="s">
        <v>74</v>
      </c>
      <c r="BR270" t="s">
        <v>105</v>
      </c>
      <c r="BS270" t="s">
        <v>5724</v>
      </c>
      <c r="BT270" t="str">
        <f>HYPERLINK("https%3A%2F%2Fwww.webofscience.com%2Fwos%2Fwoscc%2Ffull-record%2FWOS:000700779900001","View Full Record in Web of Science")</f>
        <v>View Full Record in Web of Science</v>
      </c>
    </row>
    <row r="271" spans="1:72" x14ac:dyDescent="0.15">
      <c r="A271" t="s">
        <v>72</v>
      </c>
      <c r="B271" t="s">
        <v>5725</v>
      </c>
      <c r="C271" t="s">
        <v>74</v>
      </c>
      <c r="D271" t="s">
        <v>74</v>
      </c>
      <c r="E271" t="s">
        <v>74</v>
      </c>
      <c r="F271" t="s">
        <v>5726</v>
      </c>
      <c r="G271" t="s">
        <v>74</v>
      </c>
      <c r="H271" t="s">
        <v>74</v>
      </c>
      <c r="I271" t="s">
        <v>5727</v>
      </c>
      <c r="J271" t="s">
        <v>5728</v>
      </c>
      <c r="K271" t="s">
        <v>74</v>
      </c>
      <c r="L271" t="s">
        <v>74</v>
      </c>
      <c r="M271" t="s">
        <v>78</v>
      </c>
      <c r="N271" t="s">
        <v>79</v>
      </c>
      <c r="O271" t="s">
        <v>74</v>
      </c>
      <c r="P271" t="s">
        <v>74</v>
      </c>
      <c r="Q271" t="s">
        <v>74</v>
      </c>
      <c r="R271" t="s">
        <v>74</v>
      </c>
      <c r="S271" t="s">
        <v>74</v>
      </c>
      <c r="T271" t="s">
        <v>5729</v>
      </c>
      <c r="U271" t="s">
        <v>5730</v>
      </c>
      <c r="V271" t="s">
        <v>5731</v>
      </c>
      <c r="W271" t="s">
        <v>5732</v>
      </c>
      <c r="X271" t="s">
        <v>5733</v>
      </c>
      <c r="Y271" t="s">
        <v>5734</v>
      </c>
      <c r="Z271" t="s">
        <v>5735</v>
      </c>
      <c r="AA271" t="s">
        <v>5736</v>
      </c>
      <c r="AB271" t="s">
        <v>5737</v>
      </c>
      <c r="AC271" t="s">
        <v>5738</v>
      </c>
      <c r="AD271" t="s">
        <v>5739</v>
      </c>
      <c r="AE271" t="s">
        <v>5740</v>
      </c>
      <c r="AF271" t="s">
        <v>74</v>
      </c>
      <c r="AG271">
        <v>30</v>
      </c>
      <c r="AH271">
        <v>9</v>
      </c>
      <c r="AI271">
        <v>9</v>
      </c>
      <c r="AJ271">
        <v>4</v>
      </c>
      <c r="AK271">
        <v>10</v>
      </c>
      <c r="AL271" t="s">
        <v>5741</v>
      </c>
      <c r="AM271" t="s">
        <v>4193</v>
      </c>
      <c r="AN271" t="s">
        <v>5742</v>
      </c>
      <c r="AO271" t="s">
        <v>5743</v>
      </c>
      <c r="AP271" t="s">
        <v>5744</v>
      </c>
      <c r="AQ271" t="s">
        <v>74</v>
      </c>
      <c r="AR271" t="s">
        <v>5745</v>
      </c>
      <c r="AS271" t="s">
        <v>5746</v>
      </c>
      <c r="AT271" t="s">
        <v>310</v>
      </c>
      <c r="AU271">
        <v>2021</v>
      </c>
      <c r="AV271">
        <v>23</v>
      </c>
      <c r="AW271">
        <v>4</v>
      </c>
      <c r="AX271" t="s">
        <v>74</v>
      </c>
      <c r="AY271" t="s">
        <v>74</v>
      </c>
      <c r="AZ271" t="s">
        <v>74</v>
      </c>
      <c r="BA271" t="s">
        <v>74</v>
      </c>
      <c r="BB271" t="s">
        <v>74</v>
      </c>
      <c r="BC271" t="s">
        <v>74</v>
      </c>
      <c r="BD271">
        <v>92</v>
      </c>
      <c r="BE271" t="s">
        <v>5747</v>
      </c>
      <c r="BF271" t="str">
        <f>HYPERLINK("http://dx.doi.org/10.1007/s00021-021-00618-7","http://dx.doi.org/10.1007/s00021-021-00618-7")</f>
        <v>http://dx.doi.org/10.1007/s00021-021-00618-7</v>
      </c>
      <c r="BG271" t="s">
        <v>74</v>
      </c>
      <c r="BH271" t="s">
        <v>74</v>
      </c>
      <c r="BI271">
        <v>9</v>
      </c>
      <c r="BJ271" t="s">
        <v>5748</v>
      </c>
      <c r="BK271" t="s">
        <v>101</v>
      </c>
      <c r="BL271" t="s">
        <v>5749</v>
      </c>
      <c r="BM271" t="s">
        <v>5750</v>
      </c>
      <c r="BN271" t="s">
        <v>74</v>
      </c>
      <c r="BO271" t="s">
        <v>2241</v>
      </c>
      <c r="BP271" t="s">
        <v>74</v>
      </c>
      <c r="BQ271" t="s">
        <v>74</v>
      </c>
      <c r="BR271" t="s">
        <v>105</v>
      </c>
      <c r="BS271" t="s">
        <v>5751</v>
      </c>
      <c r="BT271" t="str">
        <f>HYPERLINK("https%3A%2F%2Fwww.webofscience.com%2Fwos%2Fwoscc%2Ffull-record%2FWOS:000687681700001","View Full Record in Web of Science")</f>
        <v>View Full Record in Web of Science</v>
      </c>
    </row>
    <row r="272" spans="1:72" x14ac:dyDescent="0.15">
      <c r="A272" t="s">
        <v>72</v>
      </c>
      <c r="B272" t="s">
        <v>5752</v>
      </c>
      <c r="C272" t="s">
        <v>74</v>
      </c>
      <c r="D272" t="s">
        <v>74</v>
      </c>
      <c r="E272" t="s">
        <v>74</v>
      </c>
      <c r="F272" t="s">
        <v>5753</v>
      </c>
      <c r="G272" t="s">
        <v>74</v>
      </c>
      <c r="H272" t="s">
        <v>74</v>
      </c>
      <c r="I272" t="s">
        <v>5754</v>
      </c>
      <c r="J272" t="s">
        <v>935</v>
      </c>
      <c r="K272" t="s">
        <v>74</v>
      </c>
      <c r="L272" t="s">
        <v>74</v>
      </c>
      <c r="M272" t="s">
        <v>78</v>
      </c>
      <c r="N272" t="s">
        <v>79</v>
      </c>
      <c r="O272" t="s">
        <v>74</v>
      </c>
      <c r="P272" t="s">
        <v>74</v>
      </c>
      <c r="Q272" t="s">
        <v>74</v>
      </c>
      <c r="R272" t="s">
        <v>74</v>
      </c>
      <c r="S272" t="s">
        <v>74</v>
      </c>
      <c r="T272" t="s">
        <v>5755</v>
      </c>
      <c r="U272" t="s">
        <v>5756</v>
      </c>
      <c r="V272" t="s">
        <v>5757</v>
      </c>
      <c r="W272" t="s">
        <v>5758</v>
      </c>
      <c r="X272" t="s">
        <v>5759</v>
      </c>
      <c r="Y272" t="s">
        <v>5760</v>
      </c>
      <c r="Z272" t="s">
        <v>5761</v>
      </c>
      <c r="AA272" t="s">
        <v>74</v>
      </c>
      <c r="AB272" t="s">
        <v>74</v>
      </c>
      <c r="AC272" t="s">
        <v>5762</v>
      </c>
      <c r="AD272" t="s">
        <v>5763</v>
      </c>
      <c r="AE272" t="s">
        <v>5764</v>
      </c>
      <c r="AF272" t="s">
        <v>74</v>
      </c>
      <c r="AG272">
        <v>97</v>
      </c>
      <c r="AH272">
        <v>4</v>
      </c>
      <c r="AI272">
        <v>6</v>
      </c>
      <c r="AJ272">
        <v>4</v>
      </c>
      <c r="AK272">
        <v>34</v>
      </c>
      <c r="AL272" t="s">
        <v>169</v>
      </c>
      <c r="AM272" t="s">
        <v>170</v>
      </c>
      <c r="AN272" t="s">
        <v>171</v>
      </c>
      <c r="AO272" t="s">
        <v>948</v>
      </c>
      <c r="AP272" t="s">
        <v>949</v>
      </c>
      <c r="AQ272" t="s">
        <v>74</v>
      </c>
      <c r="AR272" t="s">
        <v>950</v>
      </c>
      <c r="AS272" t="s">
        <v>951</v>
      </c>
      <c r="AT272" t="s">
        <v>98</v>
      </c>
      <c r="AU272">
        <v>2021</v>
      </c>
      <c r="AV272">
        <v>44</v>
      </c>
      <c r="AW272">
        <v>12</v>
      </c>
      <c r="AX272" t="s">
        <v>74</v>
      </c>
      <c r="AY272" t="s">
        <v>74</v>
      </c>
      <c r="AZ272" t="s">
        <v>74</v>
      </c>
      <c r="BA272" t="s">
        <v>74</v>
      </c>
      <c r="BB272">
        <v>2277</v>
      </c>
      <c r="BC272">
        <v>2287</v>
      </c>
      <c r="BD272" t="s">
        <v>74</v>
      </c>
      <c r="BE272" t="s">
        <v>5765</v>
      </c>
      <c r="BF272" t="str">
        <f>HYPERLINK("http://dx.doi.org/10.1007/s00300-021-02959-5","http://dx.doi.org/10.1007/s00300-021-02959-5")</f>
        <v>http://dx.doi.org/10.1007/s00300-021-02959-5</v>
      </c>
      <c r="BG272" t="s">
        <v>74</v>
      </c>
      <c r="BH272" t="s">
        <v>5766</v>
      </c>
      <c r="BI272">
        <v>11</v>
      </c>
      <c r="BJ272" t="s">
        <v>605</v>
      </c>
      <c r="BK272" t="s">
        <v>101</v>
      </c>
      <c r="BL272" t="s">
        <v>606</v>
      </c>
      <c r="BM272" t="s">
        <v>5767</v>
      </c>
      <c r="BN272" t="s">
        <v>74</v>
      </c>
      <c r="BO272" t="s">
        <v>74</v>
      </c>
      <c r="BP272" t="s">
        <v>74</v>
      </c>
      <c r="BQ272" t="s">
        <v>74</v>
      </c>
      <c r="BR272" t="s">
        <v>105</v>
      </c>
      <c r="BS272" t="s">
        <v>5768</v>
      </c>
      <c r="BT272" t="str">
        <f>HYPERLINK("https%3A%2F%2Fwww.webofscience.com%2Fwos%2Fwoscc%2Ffull-record%2FWOS:000713071100001","View Full Record in Web of Science")</f>
        <v>View Full Record in Web of Science</v>
      </c>
    </row>
    <row r="273" spans="1:72" x14ac:dyDescent="0.15">
      <c r="A273" t="s">
        <v>72</v>
      </c>
      <c r="B273" t="s">
        <v>5769</v>
      </c>
      <c r="C273" t="s">
        <v>74</v>
      </c>
      <c r="D273" t="s">
        <v>74</v>
      </c>
      <c r="E273" t="s">
        <v>74</v>
      </c>
      <c r="F273" t="s">
        <v>5770</v>
      </c>
      <c r="G273" t="s">
        <v>74</v>
      </c>
      <c r="H273" t="s">
        <v>74</v>
      </c>
      <c r="I273" t="s">
        <v>5771</v>
      </c>
      <c r="J273" t="s">
        <v>1882</v>
      </c>
      <c r="K273" t="s">
        <v>74</v>
      </c>
      <c r="L273" t="s">
        <v>74</v>
      </c>
      <c r="M273" t="s">
        <v>78</v>
      </c>
      <c r="N273" t="s">
        <v>1764</v>
      </c>
      <c r="O273" t="s">
        <v>74</v>
      </c>
      <c r="P273" t="s">
        <v>74</v>
      </c>
      <c r="Q273" t="s">
        <v>74</v>
      </c>
      <c r="R273" t="s">
        <v>74</v>
      </c>
      <c r="S273" t="s">
        <v>74</v>
      </c>
      <c r="T273" t="s">
        <v>74</v>
      </c>
      <c r="U273" t="s">
        <v>5772</v>
      </c>
      <c r="V273" t="s">
        <v>74</v>
      </c>
      <c r="W273" t="s">
        <v>5773</v>
      </c>
      <c r="X273" t="s">
        <v>5774</v>
      </c>
      <c r="Y273" t="s">
        <v>5775</v>
      </c>
      <c r="Z273" t="s">
        <v>5776</v>
      </c>
      <c r="AA273" t="s">
        <v>5777</v>
      </c>
      <c r="AB273" t="s">
        <v>5778</v>
      </c>
      <c r="AC273" t="s">
        <v>5779</v>
      </c>
      <c r="AD273" t="s">
        <v>5779</v>
      </c>
      <c r="AE273" t="s">
        <v>5780</v>
      </c>
      <c r="AF273" t="s">
        <v>74</v>
      </c>
      <c r="AG273">
        <v>9</v>
      </c>
      <c r="AH273">
        <v>0</v>
      </c>
      <c r="AI273">
        <v>0</v>
      </c>
      <c r="AJ273">
        <v>1</v>
      </c>
      <c r="AK273">
        <v>9</v>
      </c>
      <c r="AL273" t="s">
        <v>572</v>
      </c>
      <c r="AM273" t="s">
        <v>573</v>
      </c>
      <c r="AN273" t="s">
        <v>574</v>
      </c>
      <c r="AO273" t="s">
        <v>1895</v>
      </c>
      <c r="AP273" t="s">
        <v>1896</v>
      </c>
      <c r="AQ273" t="s">
        <v>74</v>
      </c>
      <c r="AR273" t="s">
        <v>1897</v>
      </c>
      <c r="AS273" t="s">
        <v>1898</v>
      </c>
      <c r="AT273" t="s">
        <v>416</v>
      </c>
      <c r="AU273">
        <v>2022</v>
      </c>
      <c r="AV273">
        <v>28</v>
      </c>
      <c r="AW273">
        <v>1</v>
      </c>
      <c r="AX273" t="s">
        <v>74</v>
      </c>
      <c r="AY273" t="s">
        <v>74</v>
      </c>
      <c r="AZ273" t="s">
        <v>74</v>
      </c>
      <c r="BA273" t="s">
        <v>74</v>
      </c>
      <c r="BB273">
        <v>6</v>
      </c>
      <c r="BC273">
        <v>7</v>
      </c>
      <c r="BD273" t="s">
        <v>74</v>
      </c>
      <c r="BE273" t="s">
        <v>5781</v>
      </c>
      <c r="BF273" t="str">
        <f>HYPERLINK("http://dx.doi.org/10.1111/gcb.15949","http://dx.doi.org/10.1111/gcb.15949")</f>
        <v>http://dx.doi.org/10.1111/gcb.15949</v>
      </c>
      <c r="BG273" t="s">
        <v>74</v>
      </c>
      <c r="BH273" t="s">
        <v>5766</v>
      </c>
      <c r="BI273">
        <v>2</v>
      </c>
      <c r="BJ273" t="s">
        <v>1900</v>
      </c>
      <c r="BK273" t="s">
        <v>101</v>
      </c>
      <c r="BL273" t="s">
        <v>606</v>
      </c>
      <c r="BM273" t="s">
        <v>5782</v>
      </c>
      <c r="BN273">
        <v>34674355</v>
      </c>
      <c r="BO273" t="s">
        <v>180</v>
      </c>
      <c r="BP273" t="s">
        <v>74</v>
      </c>
      <c r="BQ273" t="s">
        <v>74</v>
      </c>
      <c r="BR273" t="s">
        <v>105</v>
      </c>
      <c r="BS273" t="s">
        <v>5783</v>
      </c>
      <c r="BT273" t="str">
        <f>HYPERLINK("https%3A%2F%2Fwww.webofscience.com%2Fwos%2Fwoscc%2Ffull-record%2FWOS:000712984200001","View Full Record in Web of Science")</f>
        <v>View Full Record in Web of Science</v>
      </c>
    </row>
    <row r="274" spans="1:72" x14ac:dyDescent="0.15">
      <c r="A274" t="s">
        <v>72</v>
      </c>
      <c r="B274" t="s">
        <v>5784</v>
      </c>
      <c r="C274" t="s">
        <v>74</v>
      </c>
      <c r="D274" t="s">
        <v>74</v>
      </c>
      <c r="E274" t="s">
        <v>74</v>
      </c>
      <c r="F274" t="s">
        <v>5785</v>
      </c>
      <c r="G274" t="s">
        <v>74</v>
      </c>
      <c r="H274" t="s">
        <v>74</v>
      </c>
      <c r="I274" t="s">
        <v>5786</v>
      </c>
      <c r="J274" t="s">
        <v>2719</v>
      </c>
      <c r="K274" t="s">
        <v>74</v>
      </c>
      <c r="L274" t="s">
        <v>74</v>
      </c>
      <c r="M274" t="s">
        <v>78</v>
      </c>
      <c r="N274" t="s">
        <v>79</v>
      </c>
      <c r="O274" t="s">
        <v>74</v>
      </c>
      <c r="P274" t="s">
        <v>74</v>
      </c>
      <c r="Q274" t="s">
        <v>74</v>
      </c>
      <c r="R274" t="s">
        <v>74</v>
      </c>
      <c r="S274" t="s">
        <v>74</v>
      </c>
      <c r="T274" t="s">
        <v>5787</v>
      </c>
      <c r="U274" t="s">
        <v>5788</v>
      </c>
      <c r="V274" t="s">
        <v>5789</v>
      </c>
      <c r="W274" t="s">
        <v>5790</v>
      </c>
      <c r="X274" t="s">
        <v>5791</v>
      </c>
      <c r="Y274" t="s">
        <v>5792</v>
      </c>
      <c r="Z274" t="s">
        <v>5793</v>
      </c>
      <c r="AA274" t="s">
        <v>5794</v>
      </c>
      <c r="AB274" t="s">
        <v>5795</v>
      </c>
      <c r="AC274" t="s">
        <v>5796</v>
      </c>
      <c r="AD274" t="s">
        <v>5797</v>
      </c>
      <c r="AE274" t="s">
        <v>5798</v>
      </c>
      <c r="AF274" t="s">
        <v>74</v>
      </c>
      <c r="AG274">
        <v>54</v>
      </c>
      <c r="AH274">
        <v>6</v>
      </c>
      <c r="AI274">
        <v>8</v>
      </c>
      <c r="AJ274">
        <v>2</v>
      </c>
      <c r="AK274">
        <v>14</v>
      </c>
      <c r="AL274" t="s">
        <v>1714</v>
      </c>
      <c r="AM274" t="s">
        <v>256</v>
      </c>
      <c r="AN274" t="s">
        <v>1715</v>
      </c>
      <c r="AO274" t="s">
        <v>2732</v>
      </c>
      <c r="AP274" t="s">
        <v>2733</v>
      </c>
      <c r="AQ274" t="s">
        <v>74</v>
      </c>
      <c r="AR274" t="s">
        <v>2734</v>
      </c>
      <c r="AS274" t="s">
        <v>2735</v>
      </c>
      <c r="AT274" t="s">
        <v>98</v>
      </c>
      <c r="AU274">
        <v>2021</v>
      </c>
      <c r="AV274">
        <v>78</v>
      </c>
      <c r="AW274">
        <v>10</v>
      </c>
      <c r="AX274" t="s">
        <v>74</v>
      </c>
      <c r="AY274" t="s">
        <v>74</v>
      </c>
      <c r="AZ274" t="s">
        <v>74</v>
      </c>
      <c r="BA274" t="s">
        <v>74</v>
      </c>
      <c r="BB274">
        <v>3674</v>
      </c>
      <c r="BC274">
        <v>3686</v>
      </c>
      <c r="BD274" t="s">
        <v>74</v>
      </c>
      <c r="BE274" t="s">
        <v>5799</v>
      </c>
      <c r="BF274" t="str">
        <f>HYPERLINK("http://dx.doi.org/10.1093/icesjms/fsab211","http://dx.doi.org/10.1093/icesjms/fsab211")</f>
        <v>http://dx.doi.org/10.1093/icesjms/fsab211</v>
      </c>
      <c r="BG274" t="s">
        <v>74</v>
      </c>
      <c r="BH274" t="s">
        <v>5766</v>
      </c>
      <c r="BI274">
        <v>13</v>
      </c>
      <c r="BJ274" t="s">
        <v>2737</v>
      </c>
      <c r="BK274" t="s">
        <v>101</v>
      </c>
      <c r="BL274" t="s">
        <v>2737</v>
      </c>
      <c r="BM274" t="s">
        <v>2738</v>
      </c>
      <c r="BN274" t="s">
        <v>74</v>
      </c>
      <c r="BO274" t="s">
        <v>5800</v>
      </c>
      <c r="BP274" t="s">
        <v>74</v>
      </c>
      <c r="BQ274" t="s">
        <v>74</v>
      </c>
      <c r="BR274" t="s">
        <v>105</v>
      </c>
      <c r="BS274" t="s">
        <v>5801</v>
      </c>
      <c r="BT274" t="str">
        <f>HYPERLINK("https%3A%2F%2Fwww.webofscience.com%2Fwos%2Fwoscc%2Ffull-record%2FWOS:000743855700016","View Full Record in Web of Science")</f>
        <v>View Full Record in Web of Science</v>
      </c>
    </row>
    <row r="275" spans="1:72" x14ac:dyDescent="0.15">
      <c r="A275" t="s">
        <v>72</v>
      </c>
      <c r="B275" t="s">
        <v>5802</v>
      </c>
      <c r="C275" t="s">
        <v>74</v>
      </c>
      <c r="D275" t="s">
        <v>74</v>
      </c>
      <c r="E275" t="s">
        <v>74</v>
      </c>
      <c r="F275" t="s">
        <v>5803</v>
      </c>
      <c r="G275" t="s">
        <v>74</v>
      </c>
      <c r="H275" t="s">
        <v>74</v>
      </c>
      <c r="I275" t="s">
        <v>5804</v>
      </c>
      <c r="J275" t="s">
        <v>935</v>
      </c>
      <c r="K275" t="s">
        <v>74</v>
      </c>
      <c r="L275" t="s">
        <v>74</v>
      </c>
      <c r="M275" t="s">
        <v>78</v>
      </c>
      <c r="N275" t="s">
        <v>79</v>
      </c>
      <c r="O275" t="s">
        <v>74</v>
      </c>
      <c r="P275" t="s">
        <v>74</v>
      </c>
      <c r="Q275" t="s">
        <v>74</v>
      </c>
      <c r="R275" t="s">
        <v>74</v>
      </c>
      <c r="S275" t="s">
        <v>74</v>
      </c>
      <c r="T275" t="s">
        <v>5805</v>
      </c>
      <c r="U275" t="s">
        <v>5806</v>
      </c>
      <c r="V275" t="s">
        <v>5807</v>
      </c>
      <c r="W275" t="s">
        <v>5808</v>
      </c>
      <c r="X275" t="s">
        <v>5809</v>
      </c>
      <c r="Y275" t="s">
        <v>5810</v>
      </c>
      <c r="Z275" t="s">
        <v>5811</v>
      </c>
      <c r="AA275" t="s">
        <v>5812</v>
      </c>
      <c r="AB275" t="s">
        <v>5813</v>
      </c>
      <c r="AC275" t="s">
        <v>5814</v>
      </c>
      <c r="AD275" t="s">
        <v>5814</v>
      </c>
      <c r="AE275" t="s">
        <v>5815</v>
      </c>
      <c r="AF275" t="s">
        <v>74</v>
      </c>
      <c r="AG275">
        <v>52</v>
      </c>
      <c r="AH275">
        <v>6</v>
      </c>
      <c r="AI275">
        <v>6</v>
      </c>
      <c r="AJ275">
        <v>1</v>
      </c>
      <c r="AK275">
        <v>4</v>
      </c>
      <c r="AL275" t="s">
        <v>169</v>
      </c>
      <c r="AM275" t="s">
        <v>170</v>
      </c>
      <c r="AN275" t="s">
        <v>171</v>
      </c>
      <c r="AO275" t="s">
        <v>948</v>
      </c>
      <c r="AP275" t="s">
        <v>949</v>
      </c>
      <c r="AQ275" t="s">
        <v>74</v>
      </c>
      <c r="AR275" t="s">
        <v>950</v>
      </c>
      <c r="AS275" t="s">
        <v>951</v>
      </c>
      <c r="AT275" t="s">
        <v>98</v>
      </c>
      <c r="AU275">
        <v>2021</v>
      </c>
      <c r="AV275">
        <v>44</v>
      </c>
      <c r="AW275">
        <v>12</v>
      </c>
      <c r="AX275" t="s">
        <v>74</v>
      </c>
      <c r="AY275" t="s">
        <v>74</v>
      </c>
      <c r="AZ275" t="s">
        <v>74</v>
      </c>
      <c r="BA275" t="s">
        <v>74</v>
      </c>
      <c r="BB275">
        <v>2255</v>
      </c>
      <c r="BC275">
        <v>2268</v>
      </c>
      <c r="BD275" t="s">
        <v>74</v>
      </c>
      <c r="BE275" t="s">
        <v>5816</v>
      </c>
      <c r="BF275" t="str">
        <f>HYPERLINK("http://dx.doi.org/10.1007/s00300-021-02941-1","http://dx.doi.org/10.1007/s00300-021-02941-1")</f>
        <v>http://dx.doi.org/10.1007/s00300-021-02941-1</v>
      </c>
      <c r="BG275" t="s">
        <v>74</v>
      </c>
      <c r="BH275" t="s">
        <v>5766</v>
      </c>
      <c r="BI275">
        <v>14</v>
      </c>
      <c r="BJ275" t="s">
        <v>605</v>
      </c>
      <c r="BK275" t="s">
        <v>101</v>
      </c>
      <c r="BL275" t="s">
        <v>606</v>
      </c>
      <c r="BM275" t="s">
        <v>5767</v>
      </c>
      <c r="BN275" t="s">
        <v>74</v>
      </c>
      <c r="BO275" t="s">
        <v>1471</v>
      </c>
      <c r="BP275" t="s">
        <v>74</v>
      </c>
      <c r="BQ275" t="s">
        <v>74</v>
      </c>
      <c r="BR275" t="s">
        <v>105</v>
      </c>
      <c r="BS275" t="s">
        <v>5817</v>
      </c>
      <c r="BT275" t="str">
        <f>HYPERLINK("https%3A%2F%2Fwww.webofscience.com%2Fwos%2Fwoscc%2Ffull-record%2FWOS:000712951900001","View Full Record in Web of Science")</f>
        <v>View Full Record in Web of Science</v>
      </c>
    </row>
    <row r="276" spans="1:72" x14ac:dyDescent="0.15">
      <c r="A276" t="s">
        <v>72</v>
      </c>
      <c r="B276" t="s">
        <v>5818</v>
      </c>
      <c r="C276" t="s">
        <v>74</v>
      </c>
      <c r="D276" t="s">
        <v>74</v>
      </c>
      <c r="E276" t="s">
        <v>74</v>
      </c>
      <c r="F276" t="s">
        <v>5819</v>
      </c>
      <c r="G276" t="s">
        <v>74</v>
      </c>
      <c r="H276" t="s">
        <v>74</v>
      </c>
      <c r="I276" t="s">
        <v>5820</v>
      </c>
      <c r="J276" t="s">
        <v>935</v>
      </c>
      <c r="K276" t="s">
        <v>74</v>
      </c>
      <c r="L276" t="s">
        <v>74</v>
      </c>
      <c r="M276" t="s">
        <v>78</v>
      </c>
      <c r="N276" t="s">
        <v>79</v>
      </c>
      <c r="O276" t="s">
        <v>74</v>
      </c>
      <c r="P276" t="s">
        <v>74</v>
      </c>
      <c r="Q276" t="s">
        <v>74</v>
      </c>
      <c r="R276" t="s">
        <v>74</v>
      </c>
      <c r="S276" t="s">
        <v>74</v>
      </c>
      <c r="T276" t="s">
        <v>5821</v>
      </c>
      <c r="U276" t="s">
        <v>5822</v>
      </c>
      <c r="V276" t="s">
        <v>5823</v>
      </c>
      <c r="W276" t="s">
        <v>5824</v>
      </c>
      <c r="X276" t="s">
        <v>5825</v>
      </c>
      <c r="Y276" t="s">
        <v>5826</v>
      </c>
      <c r="Z276" t="s">
        <v>5827</v>
      </c>
      <c r="AA276" t="s">
        <v>5828</v>
      </c>
      <c r="AB276" t="s">
        <v>5829</v>
      </c>
      <c r="AC276" t="s">
        <v>5830</v>
      </c>
      <c r="AD276" t="s">
        <v>5831</v>
      </c>
      <c r="AE276" t="s">
        <v>5832</v>
      </c>
      <c r="AF276" t="s">
        <v>74</v>
      </c>
      <c r="AG276">
        <v>51</v>
      </c>
      <c r="AH276">
        <v>0</v>
      </c>
      <c r="AI276">
        <v>0</v>
      </c>
      <c r="AJ276">
        <v>2</v>
      </c>
      <c r="AK276">
        <v>10</v>
      </c>
      <c r="AL276" t="s">
        <v>169</v>
      </c>
      <c r="AM276" t="s">
        <v>170</v>
      </c>
      <c r="AN276" t="s">
        <v>171</v>
      </c>
      <c r="AO276" t="s">
        <v>948</v>
      </c>
      <c r="AP276" t="s">
        <v>949</v>
      </c>
      <c r="AQ276" t="s">
        <v>74</v>
      </c>
      <c r="AR276" t="s">
        <v>950</v>
      </c>
      <c r="AS276" t="s">
        <v>951</v>
      </c>
      <c r="AT276" t="s">
        <v>98</v>
      </c>
      <c r="AU276">
        <v>2021</v>
      </c>
      <c r="AV276">
        <v>44</v>
      </c>
      <c r="AW276">
        <v>12</v>
      </c>
      <c r="AX276" t="s">
        <v>74</v>
      </c>
      <c r="AY276" t="s">
        <v>74</v>
      </c>
      <c r="AZ276" t="s">
        <v>74</v>
      </c>
      <c r="BA276" t="s">
        <v>74</v>
      </c>
      <c r="BB276">
        <v>2299</v>
      </c>
      <c r="BC276">
        <v>2306</v>
      </c>
      <c r="BD276" t="s">
        <v>74</v>
      </c>
      <c r="BE276" t="s">
        <v>5833</v>
      </c>
      <c r="BF276" t="str">
        <f>HYPERLINK("http://dx.doi.org/10.1007/s00300-021-02961-x","http://dx.doi.org/10.1007/s00300-021-02961-x")</f>
        <v>http://dx.doi.org/10.1007/s00300-021-02961-x</v>
      </c>
      <c r="BG276" t="s">
        <v>74</v>
      </c>
      <c r="BH276" t="s">
        <v>5766</v>
      </c>
      <c r="BI276">
        <v>8</v>
      </c>
      <c r="BJ276" t="s">
        <v>605</v>
      </c>
      <c r="BK276" t="s">
        <v>101</v>
      </c>
      <c r="BL276" t="s">
        <v>606</v>
      </c>
      <c r="BM276" t="s">
        <v>5767</v>
      </c>
      <c r="BN276" t="s">
        <v>74</v>
      </c>
      <c r="BO276" t="s">
        <v>74</v>
      </c>
      <c r="BP276" t="s">
        <v>74</v>
      </c>
      <c r="BQ276" t="s">
        <v>74</v>
      </c>
      <c r="BR276" t="s">
        <v>105</v>
      </c>
      <c r="BS276" t="s">
        <v>5834</v>
      </c>
      <c r="BT276" t="str">
        <f>HYPERLINK("https%3A%2F%2Fwww.webofscience.com%2Fwos%2Fwoscc%2Ffull-record%2FWOS:000712701900001","View Full Record in Web of Science")</f>
        <v>View Full Record in Web of Science</v>
      </c>
    </row>
    <row r="277" spans="1:72" x14ac:dyDescent="0.15">
      <c r="A277" t="s">
        <v>72</v>
      </c>
      <c r="B277" t="s">
        <v>5835</v>
      </c>
      <c r="C277" t="s">
        <v>74</v>
      </c>
      <c r="D277" t="s">
        <v>74</v>
      </c>
      <c r="E277" t="s">
        <v>74</v>
      </c>
      <c r="F277" t="s">
        <v>5836</v>
      </c>
      <c r="G277" t="s">
        <v>74</v>
      </c>
      <c r="H277" t="s">
        <v>74</v>
      </c>
      <c r="I277" t="s">
        <v>5837</v>
      </c>
      <c r="J277" t="s">
        <v>5838</v>
      </c>
      <c r="K277" t="s">
        <v>74</v>
      </c>
      <c r="L277" t="s">
        <v>74</v>
      </c>
      <c r="M277" t="s">
        <v>78</v>
      </c>
      <c r="N277" t="s">
        <v>79</v>
      </c>
      <c r="O277" t="s">
        <v>74</v>
      </c>
      <c r="P277" t="s">
        <v>74</v>
      </c>
      <c r="Q277" t="s">
        <v>74</v>
      </c>
      <c r="R277" t="s">
        <v>74</v>
      </c>
      <c r="S277" t="s">
        <v>74</v>
      </c>
      <c r="T277" t="s">
        <v>5839</v>
      </c>
      <c r="U277" t="s">
        <v>5840</v>
      </c>
      <c r="V277" t="s">
        <v>5841</v>
      </c>
      <c r="W277" t="s">
        <v>5842</v>
      </c>
      <c r="X277" t="s">
        <v>5843</v>
      </c>
      <c r="Y277" t="s">
        <v>5844</v>
      </c>
      <c r="Z277" t="s">
        <v>5845</v>
      </c>
      <c r="AA277" t="s">
        <v>5846</v>
      </c>
      <c r="AB277" t="s">
        <v>5847</v>
      </c>
      <c r="AC277" t="s">
        <v>5848</v>
      </c>
      <c r="AD277" t="s">
        <v>5849</v>
      </c>
      <c r="AE277" t="s">
        <v>2823</v>
      </c>
      <c r="AF277" t="s">
        <v>74</v>
      </c>
      <c r="AG277">
        <v>180</v>
      </c>
      <c r="AH277">
        <v>10</v>
      </c>
      <c r="AI277">
        <v>10</v>
      </c>
      <c r="AJ277">
        <v>4</v>
      </c>
      <c r="AK277">
        <v>24</v>
      </c>
      <c r="AL277" t="s">
        <v>169</v>
      </c>
      <c r="AM277" t="s">
        <v>520</v>
      </c>
      <c r="AN277" t="s">
        <v>521</v>
      </c>
      <c r="AO277" t="s">
        <v>5850</v>
      </c>
      <c r="AP277" t="s">
        <v>5851</v>
      </c>
      <c r="AQ277" t="s">
        <v>74</v>
      </c>
      <c r="AR277" t="s">
        <v>5852</v>
      </c>
      <c r="AS277" t="s">
        <v>5853</v>
      </c>
      <c r="AT277" t="s">
        <v>98</v>
      </c>
      <c r="AU277">
        <v>2022</v>
      </c>
      <c r="AV277">
        <v>54</v>
      </c>
      <c r="AW277" t="s">
        <v>5854</v>
      </c>
      <c r="AX277" t="s">
        <v>74</v>
      </c>
      <c r="AY277" t="s">
        <v>74</v>
      </c>
      <c r="AZ277" t="s">
        <v>526</v>
      </c>
      <c r="BA277" t="s">
        <v>74</v>
      </c>
      <c r="BB277">
        <v>745</v>
      </c>
      <c r="BC277">
        <v>789</v>
      </c>
      <c r="BD277" t="s">
        <v>74</v>
      </c>
      <c r="BE277" t="s">
        <v>5855</v>
      </c>
      <c r="BF277" t="str">
        <f>HYPERLINK("http://dx.doi.org/10.1007/s10686-021-09801-0","http://dx.doi.org/10.1007/s10686-021-09801-0")</f>
        <v>http://dx.doi.org/10.1007/s10686-021-09801-0</v>
      </c>
      <c r="BG277" t="s">
        <v>74</v>
      </c>
      <c r="BH277" t="s">
        <v>5766</v>
      </c>
      <c r="BI277">
        <v>45</v>
      </c>
      <c r="BJ277" t="s">
        <v>1721</v>
      </c>
      <c r="BK277" t="s">
        <v>101</v>
      </c>
      <c r="BL277" t="s">
        <v>1721</v>
      </c>
      <c r="BM277" t="s">
        <v>5856</v>
      </c>
      <c r="BN277" t="s">
        <v>74</v>
      </c>
      <c r="BO277" t="s">
        <v>5857</v>
      </c>
      <c r="BP277" t="s">
        <v>74</v>
      </c>
      <c r="BQ277" t="s">
        <v>74</v>
      </c>
      <c r="BR277" t="s">
        <v>105</v>
      </c>
      <c r="BS277" t="s">
        <v>5858</v>
      </c>
      <c r="BT277" t="str">
        <f>HYPERLINK("https%3A%2F%2Fwww.webofscience.com%2Fwos%2Fwoscc%2Ffull-record%2FWOS:000712947000001","View Full Record in Web of Science")</f>
        <v>View Full Record in Web of Science</v>
      </c>
    </row>
    <row r="278" spans="1:72" x14ac:dyDescent="0.15">
      <c r="A278" t="s">
        <v>72</v>
      </c>
      <c r="B278" t="s">
        <v>5859</v>
      </c>
      <c r="C278" t="s">
        <v>74</v>
      </c>
      <c r="D278" t="s">
        <v>74</v>
      </c>
      <c r="E278" t="s">
        <v>74</v>
      </c>
      <c r="F278" t="s">
        <v>5860</v>
      </c>
      <c r="G278" t="s">
        <v>74</v>
      </c>
      <c r="H278" t="s">
        <v>74</v>
      </c>
      <c r="I278" t="s">
        <v>5861</v>
      </c>
      <c r="J278" t="s">
        <v>5862</v>
      </c>
      <c r="K278" t="s">
        <v>74</v>
      </c>
      <c r="L278" t="s">
        <v>74</v>
      </c>
      <c r="M278" t="s">
        <v>78</v>
      </c>
      <c r="N278" t="s">
        <v>79</v>
      </c>
      <c r="O278" t="s">
        <v>74</v>
      </c>
      <c r="P278" t="s">
        <v>74</v>
      </c>
      <c r="Q278" t="s">
        <v>74</v>
      </c>
      <c r="R278" t="s">
        <v>74</v>
      </c>
      <c r="S278" t="s">
        <v>74</v>
      </c>
      <c r="T278" t="s">
        <v>5863</v>
      </c>
      <c r="U278" t="s">
        <v>5864</v>
      </c>
      <c r="V278" t="s">
        <v>5865</v>
      </c>
      <c r="W278" t="s">
        <v>5866</v>
      </c>
      <c r="X278" t="s">
        <v>5867</v>
      </c>
      <c r="Y278" t="s">
        <v>5868</v>
      </c>
      <c r="Z278" t="s">
        <v>5869</v>
      </c>
      <c r="AA278" t="s">
        <v>74</v>
      </c>
      <c r="AB278" t="s">
        <v>5870</v>
      </c>
      <c r="AC278" t="s">
        <v>5871</v>
      </c>
      <c r="AD278" t="s">
        <v>5871</v>
      </c>
      <c r="AE278" t="s">
        <v>5872</v>
      </c>
      <c r="AF278" t="s">
        <v>74</v>
      </c>
      <c r="AG278">
        <v>58</v>
      </c>
      <c r="AH278">
        <v>3</v>
      </c>
      <c r="AI278">
        <v>3</v>
      </c>
      <c r="AJ278">
        <v>1</v>
      </c>
      <c r="AK278">
        <v>8</v>
      </c>
      <c r="AL278" t="s">
        <v>847</v>
      </c>
      <c r="AM278" t="s">
        <v>848</v>
      </c>
      <c r="AN278" t="s">
        <v>849</v>
      </c>
      <c r="AO278" t="s">
        <v>5873</v>
      </c>
      <c r="AP278" t="s">
        <v>5874</v>
      </c>
      <c r="AQ278" t="s">
        <v>74</v>
      </c>
      <c r="AR278" t="s">
        <v>5875</v>
      </c>
      <c r="AS278" t="s">
        <v>5876</v>
      </c>
      <c r="AT278" t="s">
        <v>1394</v>
      </c>
      <c r="AU278">
        <v>2022</v>
      </c>
      <c r="AV278">
        <v>585</v>
      </c>
      <c r="AW278" t="s">
        <v>74</v>
      </c>
      <c r="AX278" t="s">
        <v>74</v>
      </c>
      <c r="AY278" t="s">
        <v>74</v>
      </c>
      <c r="AZ278" t="s">
        <v>74</v>
      </c>
      <c r="BA278" t="s">
        <v>74</v>
      </c>
      <c r="BB278" t="s">
        <v>74</v>
      </c>
      <c r="BC278" t="s">
        <v>74</v>
      </c>
      <c r="BD278">
        <v>110718</v>
      </c>
      <c r="BE278" t="s">
        <v>5877</v>
      </c>
      <c r="BF278" t="str">
        <f>HYPERLINK("http://dx.doi.org/10.1016/j.palaeo.2021.110718","http://dx.doi.org/10.1016/j.palaeo.2021.110718")</f>
        <v>http://dx.doi.org/10.1016/j.palaeo.2021.110718</v>
      </c>
      <c r="BG278" t="s">
        <v>74</v>
      </c>
      <c r="BH278" t="s">
        <v>5766</v>
      </c>
      <c r="BI278">
        <v>9</v>
      </c>
      <c r="BJ278" t="s">
        <v>5878</v>
      </c>
      <c r="BK278" t="s">
        <v>101</v>
      </c>
      <c r="BL278" t="s">
        <v>5879</v>
      </c>
      <c r="BM278" t="s">
        <v>5880</v>
      </c>
      <c r="BN278" t="s">
        <v>74</v>
      </c>
      <c r="BO278" t="s">
        <v>343</v>
      </c>
      <c r="BP278" t="s">
        <v>74</v>
      </c>
      <c r="BQ278" t="s">
        <v>74</v>
      </c>
      <c r="BR278" t="s">
        <v>105</v>
      </c>
      <c r="BS278" t="s">
        <v>5881</v>
      </c>
      <c r="BT278" t="str">
        <f>HYPERLINK("https%3A%2F%2Fwww.webofscience.com%2Fwos%2Fwoscc%2Ffull-record%2FWOS:000744171200005","View Full Record in Web of Science")</f>
        <v>View Full Record in Web of Science</v>
      </c>
    </row>
    <row r="279" spans="1:72" x14ac:dyDescent="0.15">
      <c r="A279" t="s">
        <v>72</v>
      </c>
      <c r="B279" t="s">
        <v>5882</v>
      </c>
      <c r="C279" t="s">
        <v>74</v>
      </c>
      <c r="D279" t="s">
        <v>74</v>
      </c>
      <c r="E279" t="s">
        <v>74</v>
      </c>
      <c r="F279" t="s">
        <v>5883</v>
      </c>
      <c r="G279" t="s">
        <v>74</v>
      </c>
      <c r="H279" t="s">
        <v>74</v>
      </c>
      <c r="I279" t="s">
        <v>5884</v>
      </c>
      <c r="J279" t="s">
        <v>5885</v>
      </c>
      <c r="K279" t="s">
        <v>74</v>
      </c>
      <c r="L279" t="s">
        <v>74</v>
      </c>
      <c r="M279" t="s">
        <v>78</v>
      </c>
      <c r="N279" t="s">
        <v>79</v>
      </c>
      <c r="O279" t="s">
        <v>74</v>
      </c>
      <c r="P279" t="s">
        <v>74</v>
      </c>
      <c r="Q279" t="s">
        <v>74</v>
      </c>
      <c r="R279" t="s">
        <v>74</v>
      </c>
      <c r="S279" t="s">
        <v>74</v>
      </c>
      <c r="T279" t="s">
        <v>5886</v>
      </c>
      <c r="U279" t="s">
        <v>5887</v>
      </c>
      <c r="V279" t="s">
        <v>5888</v>
      </c>
      <c r="W279" t="s">
        <v>5889</v>
      </c>
      <c r="X279" t="s">
        <v>5890</v>
      </c>
      <c r="Y279" t="s">
        <v>5891</v>
      </c>
      <c r="Z279" t="s">
        <v>5892</v>
      </c>
      <c r="AA279" t="s">
        <v>74</v>
      </c>
      <c r="AB279" t="s">
        <v>5893</v>
      </c>
      <c r="AC279" t="s">
        <v>5894</v>
      </c>
      <c r="AD279" t="s">
        <v>5894</v>
      </c>
      <c r="AE279" t="s">
        <v>5895</v>
      </c>
      <c r="AF279" t="s">
        <v>74</v>
      </c>
      <c r="AG279">
        <v>40</v>
      </c>
      <c r="AH279">
        <v>2</v>
      </c>
      <c r="AI279">
        <v>2</v>
      </c>
      <c r="AJ279">
        <v>1</v>
      </c>
      <c r="AK279">
        <v>17</v>
      </c>
      <c r="AL279" t="s">
        <v>1326</v>
      </c>
      <c r="AM279" t="s">
        <v>256</v>
      </c>
      <c r="AN279" t="s">
        <v>1327</v>
      </c>
      <c r="AO279" t="s">
        <v>5896</v>
      </c>
      <c r="AP279" t="s">
        <v>5897</v>
      </c>
      <c r="AQ279" t="s">
        <v>74</v>
      </c>
      <c r="AR279" t="s">
        <v>5898</v>
      </c>
      <c r="AS279" t="s">
        <v>5899</v>
      </c>
      <c r="AT279" t="s">
        <v>1394</v>
      </c>
      <c r="AU279">
        <v>2022</v>
      </c>
      <c r="AV279">
        <v>292</v>
      </c>
      <c r="AW279" t="s">
        <v>74</v>
      </c>
      <c r="AX279" t="s">
        <v>5900</v>
      </c>
      <c r="AY279" t="s">
        <v>74</v>
      </c>
      <c r="AZ279" t="s">
        <v>74</v>
      </c>
      <c r="BA279" t="s">
        <v>74</v>
      </c>
      <c r="BB279" t="s">
        <v>74</v>
      </c>
      <c r="BC279" t="s">
        <v>74</v>
      </c>
      <c r="BD279">
        <v>118360</v>
      </c>
      <c r="BE279" t="s">
        <v>5901</v>
      </c>
      <c r="BF279" t="str">
        <f>HYPERLINK("http://dx.doi.org/10.1016/j.envpol.2021.118360","http://dx.doi.org/10.1016/j.envpol.2021.118360")</f>
        <v>http://dx.doi.org/10.1016/j.envpol.2021.118360</v>
      </c>
      <c r="BG279" t="s">
        <v>74</v>
      </c>
      <c r="BH279" t="s">
        <v>5766</v>
      </c>
      <c r="BI279">
        <v>10</v>
      </c>
      <c r="BJ279" t="s">
        <v>856</v>
      </c>
      <c r="BK279" t="s">
        <v>101</v>
      </c>
      <c r="BL279" t="s">
        <v>630</v>
      </c>
      <c r="BM279" t="s">
        <v>5902</v>
      </c>
      <c r="BN279">
        <v>34653584</v>
      </c>
      <c r="BO279" t="s">
        <v>74</v>
      </c>
      <c r="BP279" t="s">
        <v>74</v>
      </c>
      <c r="BQ279" t="s">
        <v>74</v>
      </c>
      <c r="BR279" t="s">
        <v>105</v>
      </c>
      <c r="BS279" t="s">
        <v>5903</v>
      </c>
      <c r="BT279" t="str">
        <f>HYPERLINK("https%3A%2F%2Fwww.webofscience.com%2Fwos%2Fwoscc%2Ffull-record%2FWOS:000723620000003","View Full Record in Web of Science")</f>
        <v>View Full Record in Web of Science</v>
      </c>
    </row>
    <row r="280" spans="1:72" x14ac:dyDescent="0.15">
      <c r="A280" t="s">
        <v>72</v>
      </c>
      <c r="B280" t="s">
        <v>5904</v>
      </c>
      <c r="C280" t="s">
        <v>74</v>
      </c>
      <c r="D280" t="s">
        <v>74</v>
      </c>
      <c r="E280" t="s">
        <v>74</v>
      </c>
      <c r="F280" t="s">
        <v>5905</v>
      </c>
      <c r="G280" t="s">
        <v>74</v>
      </c>
      <c r="H280" t="s">
        <v>74</v>
      </c>
      <c r="I280" t="s">
        <v>5906</v>
      </c>
      <c r="J280" t="s">
        <v>5907</v>
      </c>
      <c r="K280" t="s">
        <v>74</v>
      </c>
      <c r="L280" t="s">
        <v>74</v>
      </c>
      <c r="M280" t="s">
        <v>78</v>
      </c>
      <c r="N280" t="s">
        <v>79</v>
      </c>
      <c r="O280" t="s">
        <v>74</v>
      </c>
      <c r="P280" t="s">
        <v>74</v>
      </c>
      <c r="Q280" t="s">
        <v>74</v>
      </c>
      <c r="R280" t="s">
        <v>74</v>
      </c>
      <c r="S280" t="s">
        <v>74</v>
      </c>
      <c r="T280" t="s">
        <v>5908</v>
      </c>
      <c r="U280" t="s">
        <v>5909</v>
      </c>
      <c r="V280" t="s">
        <v>5910</v>
      </c>
      <c r="W280" t="s">
        <v>5911</v>
      </c>
      <c r="X280" t="s">
        <v>5912</v>
      </c>
      <c r="Y280" t="s">
        <v>5913</v>
      </c>
      <c r="Z280" t="s">
        <v>5914</v>
      </c>
      <c r="AA280" t="s">
        <v>5915</v>
      </c>
      <c r="AB280" t="s">
        <v>5916</v>
      </c>
      <c r="AC280" t="s">
        <v>5917</v>
      </c>
      <c r="AD280" t="s">
        <v>5918</v>
      </c>
      <c r="AE280" t="s">
        <v>5919</v>
      </c>
      <c r="AF280" t="s">
        <v>74</v>
      </c>
      <c r="AG280">
        <v>83</v>
      </c>
      <c r="AH280">
        <v>17</v>
      </c>
      <c r="AI280">
        <v>17</v>
      </c>
      <c r="AJ280">
        <v>4</v>
      </c>
      <c r="AK280">
        <v>17</v>
      </c>
      <c r="AL280" t="s">
        <v>1175</v>
      </c>
      <c r="AM280" t="s">
        <v>170</v>
      </c>
      <c r="AN280" t="s">
        <v>1176</v>
      </c>
      <c r="AO280" t="s">
        <v>5920</v>
      </c>
      <c r="AP280" t="s">
        <v>5921</v>
      </c>
      <c r="AQ280" t="s">
        <v>74</v>
      </c>
      <c r="AR280" t="s">
        <v>5922</v>
      </c>
      <c r="AS280" t="s">
        <v>5923</v>
      </c>
      <c r="AT280" t="s">
        <v>416</v>
      </c>
      <c r="AU280">
        <v>2022</v>
      </c>
      <c r="AV280">
        <v>268</v>
      </c>
      <c r="AW280" t="s">
        <v>74</v>
      </c>
      <c r="AX280" t="s">
        <v>74</v>
      </c>
      <c r="AY280" t="s">
        <v>74</v>
      </c>
      <c r="AZ280" t="s">
        <v>74</v>
      </c>
      <c r="BA280" t="s">
        <v>74</v>
      </c>
      <c r="BB280" t="s">
        <v>74</v>
      </c>
      <c r="BC280" t="s">
        <v>74</v>
      </c>
      <c r="BD280">
        <v>112744</v>
      </c>
      <c r="BE280" t="s">
        <v>5924</v>
      </c>
      <c r="BF280" t="str">
        <f>HYPERLINK("http://dx.doi.org/10.1016/j.rse.2021.112744","http://dx.doi.org/10.1016/j.rse.2021.112744")</f>
        <v>http://dx.doi.org/10.1016/j.rse.2021.112744</v>
      </c>
      <c r="BG280" t="s">
        <v>74</v>
      </c>
      <c r="BH280" t="s">
        <v>5766</v>
      </c>
      <c r="BI280">
        <v>18</v>
      </c>
      <c r="BJ280" t="s">
        <v>5925</v>
      </c>
      <c r="BK280" t="s">
        <v>101</v>
      </c>
      <c r="BL280" t="s">
        <v>5926</v>
      </c>
      <c r="BM280" t="s">
        <v>5927</v>
      </c>
      <c r="BN280" t="s">
        <v>74</v>
      </c>
      <c r="BO280" t="s">
        <v>3779</v>
      </c>
      <c r="BP280" t="s">
        <v>74</v>
      </c>
      <c r="BQ280" t="s">
        <v>74</v>
      </c>
      <c r="BR280" t="s">
        <v>105</v>
      </c>
      <c r="BS280" t="s">
        <v>5928</v>
      </c>
      <c r="BT280" t="str">
        <f>HYPERLINK("https%3A%2F%2Fwww.webofscience.com%2Fwos%2Fwoscc%2Ffull-record%2FWOS:000722737100001","View Full Record in Web of Science")</f>
        <v>View Full Record in Web of Science</v>
      </c>
    </row>
    <row r="281" spans="1:72" x14ac:dyDescent="0.15">
      <c r="A281" t="s">
        <v>72</v>
      </c>
      <c r="B281" t="s">
        <v>5929</v>
      </c>
      <c r="C281" t="s">
        <v>74</v>
      </c>
      <c r="D281" t="s">
        <v>74</v>
      </c>
      <c r="E281" t="s">
        <v>74</v>
      </c>
      <c r="F281" t="s">
        <v>5930</v>
      </c>
      <c r="G281" t="s">
        <v>74</v>
      </c>
      <c r="H281" t="s">
        <v>74</v>
      </c>
      <c r="I281" t="s">
        <v>5931</v>
      </c>
      <c r="J281" t="s">
        <v>5932</v>
      </c>
      <c r="K281" t="s">
        <v>74</v>
      </c>
      <c r="L281" t="s">
        <v>74</v>
      </c>
      <c r="M281" t="s">
        <v>78</v>
      </c>
      <c r="N281" t="s">
        <v>79</v>
      </c>
      <c r="O281" t="s">
        <v>74</v>
      </c>
      <c r="P281" t="s">
        <v>74</v>
      </c>
      <c r="Q281" t="s">
        <v>74</v>
      </c>
      <c r="R281" t="s">
        <v>74</v>
      </c>
      <c r="S281" t="s">
        <v>74</v>
      </c>
      <c r="T281" t="s">
        <v>5933</v>
      </c>
      <c r="U281" t="s">
        <v>74</v>
      </c>
      <c r="V281" t="s">
        <v>5934</v>
      </c>
      <c r="W281" t="s">
        <v>5935</v>
      </c>
      <c r="X281" t="s">
        <v>5936</v>
      </c>
      <c r="Y281" t="s">
        <v>5937</v>
      </c>
      <c r="Z281" t="s">
        <v>5938</v>
      </c>
      <c r="AA281" t="s">
        <v>74</v>
      </c>
      <c r="AB281" t="s">
        <v>5939</v>
      </c>
      <c r="AC281" t="s">
        <v>5940</v>
      </c>
      <c r="AD281" t="s">
        <v>5941</v>
      </c>
      <c r="AE281" t="s">
        <v>5942</v>
      </c>
      <c r="AF281" t="s">
        <v>74</v>
      </c>
      <c r="AG281">
        <v>45</v>
      </c>
      <c r="AH281">
        <v>5</v>
      </c>
      <c r="AI281">
        <v>5</v>
      </c>
      <c r="AJ281">
        <v>0</v>
      </c>
      <c r="AK281">
        <v>10</v>
      </c>
      <c r="AL281" t="s">
        <v>1175</v>
      </c>
      <c r="AM281" t="s">
        <v>170</v>
      </c>
      <c r="AN281" t="s">
        <v>1176</v>
      </c>
      <c r="AO281" t="s">
        <v>5943</v>
      </c>
      <c r="AP281" t="s">
        <v>5944</v>
      </c>
      <c r="AQ281" t="s">
        <v>74</v>
      </c>
      <c r="AR281" t="s">
        <v>5945</v>
      </c>
      <c r="AS281" t="s">
        <v>5946</v>
      </c>
      <c r="AT281" t="s">
        <v>525</v>
      </c>
      <c r="AU281">
        <v>2022</v>
      </c>
      <c r="AV281">
        <v>102</v>
      </c>
      <c r="AW281" t="s">
        <v>74</v>
      </c>
      <c r="AX281" t="s">
        <v>74</v>
      </c>
      <c r="AY281" t="s">
        <v>74</v>
      </c>
      <c r="AZ281" t="s">
        <v>74</v>
      </c>
      <c r="BA281" t="s">
        <v>74</v>
      </c>
      <c r="BB281">
        <v>640</v>
      </c>
      <c r="BC281">
        <v>660</v>
      </c>
      <c r="BD281" t="s">
        <v>74</v>
      </c>
      <c r="BE281" t="s">
        <v>5947</v>
      </c>
      <c r="BF281" t="str">
        <f>HYPERLINK("http://dx.doi.org/10.1016/j.apm.2021.10.005","http://dx.doi.org/10.1016/j.apm.2021.10.005")</f>
        <v>http://dx.doi.org/10.1016/j.apm.2021.10.005</v>
      </c>
      <c r="BG281" t="s">
        <v>74</v>
      </c>
      <c r="BH281" t="s">
        <v>5766</v>
      </c>
      <c r="BI281">
        <v>21</v>
      </c>
      <c r="BJ281" t="s">
        <v>5948</v>
      </c>
      <c r="BK281" t="s">
        <v>101</v>
      </c>
      <c r="BL281" t="s">
        <v>5949</v>
      </c>
      <c r="BM281" t="s">
        <v>5950</v>
      </c>
      <c r="BN281" t="s">
        <v>74</v>
      </c>
      <c r="BO281" t="s">
        <v>74</v>
      </c>
      <c r="BP281" t="s">
        <v>74</v>
      </c>
      <c r="BQ281" t="s">
        <v>74</v>
      </c>
      <c r="BR281" t="s">
        <v>105</v>
      </c>
      <c r="BS281" t="s">
        <v>5951</v>
      </c>
      <c r="BT281" t="str">
        <f>HYPERLINK("https%3A%2F%2Fwww.webofscience.com%2Fwos%2Fwoscc%2Ffull-record%2FWOS:000720475100006","View Full Record in Web of Science")</f>
        <v>View Full Record in Web of Science</v>
      </c>
    </row>
    <row r="282" spans="1:72" x14ac:dyDescent="0.15">
      <c r="A282" t="s">
        <v>72</v>
      </c>
      <c r="B282" t="s">
        <v>5952</v>
      </c>
      <c r="C282" t="s">
        <v>74</v>
      </c>
      <c r="D282" t="s">
        <v>74</v>
      </c>
      <c r="E282" t="s">
        <v>74</v>
      </c>
      <c r="F282" t="s">
        <v>5953</v>
      </c>
      <c r="G282" t="s">
        <v>74</v>
      </c>
      <c r="H282" t="s">
        <v>74</v>
      </c>
      <c r="I282" t="s">
        <v>5954</v>
      </c>
      <c r="J282" t="s">
        <v>5955</v>
      </c>
      <c r="K282" t="s">
        <v>74</v>
      </c>
      <c r="L282" t="s">
        <v>74</v>
      </c>
      <c r="M282" t="s">
        <v>78</v>
      </c>
      <c r="N282" t="s">
        <v>79</v>
      </c>
      <c r="O282" t="s">
        <v>74</v>
      </c>
      <c r="P282" t="s">
        <v>74</v>
      </c>
      <c r="Q282" t="s">
        <v>74</v>
      </c>
      <c r="R282" t="s">
        <v>74</v>
      </c>
      <c r="S282" t="s">
        <v>74</v>
      </c>
      <c r="T282" t="s">
        <v>5956</v>
      </c>
      <c r="U282" t="s">
        <v>5957</v>
      </c>
      <c r="V282" t="s">
        <v>5958</v>
      </c>
      <c r="W282" t="s">
        <v>5959</v>
      </c>
      <c r="X282" t="s">
        <v>5960</v>
      </c>
      <c r="Y282" t="s">
        <v>5961</v>
      </c>
      <c r="Z282" t="s">
        <v>5962</v>
      </c>
      <c r="AA282" t="s">
        <v>5963</v>
      </c>
      <c r="AB282" t="s">
        <v>5964</v>
      </c>
      <c r="AC282" t="s">
        <v>5965</v>
      </c>
      <c r="AD282" t="s">
        <v>5966</v>
      </c>
      <c r="AE282" t="s">
        <v>5967</v>
      </c>
      <c r="AF282" t="s">
        <v>74</v>
      </c>
      <c r="AG282">
        <v>53</v>
      </c>
      <c r="AH282">
        <v>2</v>
      </c>
      <c r="AI282">
        <v>2</v>
      </c>
      <c r="AJ282">
        <v>0</v>
      </c>
      <c r="AK282">
        <v>6</v>
      </c>
      <c r="AL282" t="s">
        <v>255</v>
      </c>
      <c r="AM282" t="s">
        <v>256</v>
      </c>
      <c r="AN282" t="s">
        <v>257</v>
      </c>
      <c r="AO282" t="s">
        <v>5968</v>
      </c>
      <c r="AP282" t="s">
        <v>5969</v>
      </c>
      <c r="AQ282" t="s">
        <v>74</v>
      </c>
      <c r="AR282" t="s">
        <v>5970</v>
      </c>
      <c r="AS282" t="s">
        <v>5971</v>
      </c>
      <c r="AT282" t="s">
        <v>98</v>
      </c>
      <c r="AU282">
        <v>2021</v>
      </c>
      <c r="AV282">
        <v>226</v>
      </c>
      <c r="AW282" t="s">
        <v>74</v>
      </c>
      <c r="AX282" t="s">
        <v>74</v>
      </c>
      <c r="AY282" t="s">
        <v>74</v>
      </c>
      <c r="AZ282" t="s">
        <v>74</v>
      </c>
      <c r="BA282" t="s">
        <v>74</v>
      </c>
      <c r="BB282" t="s">
        <v>74</v>
      </c>
      <c r="BC282" t="s">
        <v>74</v>
      </c>
      <c r="BD282">
        <v>105787</v>
      </c>
      <c r="BE282" t="s">
        <v>5972</v>
      </c>
      <c r="BF282" t="str">
        <f>HYPERLINK("http://dx.doi.org/10.1016/j.jastp.2021.105787","http://dx.doi.org/10.1016/j.jastp.2021.105787")</f>
        <v>http://dx.doi.org/10.1016/j.jastp.2021.105787</v>
      </c>
      <c r="BG282" t="s">
        <v>74</v>
      </c>
      <c r="BH282" t="s">
        <v>5766</v>
      </c>
      <c r="BI282">
        <v>10</v>
      </c>
      <c r="BJ282" t="s">
        <v>5973</v>
      </c>
      <c r="BK282" t="s">
        <v>101</v>
      </c>
      <c r="BL282" t="s">
        <v>5973</v>
      </c>
      <c r="BM282" t="s">
        <v>5974</v>
      </c>
      <c r="BN282" t="s">
        <v>74</v>
      </c>
      <c r="BO282" t="s">
        <v>74</v>
      </c>
      <c r="BP282" t="s">
        <v>74</v>
      </c>
      <c r="BQ282" t="s">
        <v>74</v>
      </c>
      <c r="BR282" t="s">
        <v>105</v>
      </c>
      <c r="BS282" t="s">
        <v>5975</v>
      </c>
      <c r="BT282" t="str">
        <f>HYPERLINK("https%3A%2F%2Fwww.webofscience.com%2Fwos%2Fwoscc%2Ffull-record%2FWOS:000718283600002","View Full Record in Web of Science")</f>
        <v>View Full Record in Web of Science</v>
      </c>
    </row>
    <row r="283" spans="1:72" x14ac:dyDescent="0.15">
      <c r="A283" t="s">
        <v>72</v>
      </c>
      <c r="B283" t="s">
        <v>5976</v>
      </c>
      <c r="C283" t="s">
        <v>74</v>
      </c>
      <c r="D283" t="s">
        <v>74</v>
      </c>
      <c r="E283" t="s">
        <v>74</v>
      </c>
      <c r="F283" t="s">
        <v>5977</v>
      </c>
      <c r="G283" t="s">
        <v>74</v>
      </c>
      <c r="H283" t="s">
        <v>74</v>
      </c>
      <c r="I283" t="s">
        <v>5978</v>
      </c>
      <c r="J283" t="s">
        <v>372</v>
      </c>
      <c r="K283" t="s">
        <v>74</v>
      </c>
      <c r="L283" t="s">
        <v>74</v>
      </c>
      <c r="M283" t="s">
        <v>78</v>
      </c>
      <c r="N283" t="s">
        <v>79</v>
      </c>
      <c r="O283" t="s">
        <v>74</v>
      </c>
      <c r="P283" t="s">
        <v>74</v>
      </c>
      <c r="Q283" t="s">
        <v>74</v>
      </c>
      <c r="R283" t="s">
        <v>74</v>
      </c>
      <c r="S283" t="s">
        <v>74</v>
      </c>
      <c r="T283" t="s">
        <v>5979</v>
      </c>
      <c r="U283" t="s">
        <v>5980</v>
      </c>
      <c r="V283" t="s">
        <v>5981</v>
      </c>
      <c r="W283" t="s">
        <v>5982</v>
      </c>
      <c r="X283" t="s">
        <v>5983</v>
      </c>
      <c r="Y283" t="s">
        <v>5984</v>
      </c>
      <c r="Z283" t="s">
        <v>2660</v>
      </c>
      <c r="AA283" t="s">
        <v>5985</v>
      </c>
      <c r="AB283" t="s">
        <v>5986</v>
      </c>
      <c r="AC283" t="s">
        <v>5987</v>
      </c>
      <c r="AD283" t="s">
        <v>5988</v>
      </c>
      <c r="AE283" t="s">
        <v>5989</v>
      </c>
      <c r="AF283" t="s">
        <v>74</v>
      </c>
      <c r="AG283">
        <v>84</v>
      </c>
      <c r="AH283">
        <v>10</v>
      </c>
      <c r="AI283">
        <v>11</v>
      </c>
      <c r="AJ283">
        <v>4</v>
      </c>
      <c r="AK283">
        <v>34</v>
      </c>
      <c r="AL283" t="s">
        <v>383</v>
      </c>
      <c r="AM283" t="s">
        <v>384</v>
      </c>
      <c r="AN283" t="s">
        <v>385</v>
      </c>
      <c r="AO283" t="s">
        <v>74</v>
      </c>
      <c r="AP283" t="s">
        <v>386</v>
      </c>
      <c r="AQ283" t="s">
        <v>74</v>
      </c>
      <c r="AR283" t="s">
        <v>387</v>
      </c>
      <c r="AS283" t="s">
        <v>388</v>
      </c>
      <c r="AT283" t="s">
        <v>5990</v>
      </c>
      <c r="AU283">
        <v>2021</v>
      </c>
      <c r="AV283">
        <v>8</v>
      </c>
      <c r="AW283" t="s">
        <v>74</v>
      </c>
      <c r="AX283" t="s">
        <v>74</v>
      </c>
      <c r="AY283" t="s">
        <v>74</v>
      </c>
      <c r="AZ283" t="s">
        <v>74</v>
      </c>
      <c r="BA283" t="s">
        <v>74</v>
      </c>
      <c r="BB283" t="s">
        <v>74</v>
      </c>
      <c r="BC283" t="s">
        <v>74</v>
      </c>
      <c r="BD283">
        <v>683071</v>
      </c>
      <c r="BE283" t="s">
        <v>5991</v>
      </c>
      <c r="BF283" t="str">
        <f>HYPERLINK("http://dx.doi.org/10.3389/fmars.2021.683071","http://dx.doi.org/10.3389/fmars.2021.683071")</f>
        <v>http://dx.doi.org/10.3389/fmars.2021.683071</v>
      </c>
      <c r="BG283" t="s">
        <v>74</v>
      </c>
      <c r="BH283" t="s">
        <v>74</v>
      </c>
      <c r="BI283">
        <v>15</v>
      </c>
      <c r="BJ283" t="s">
        <v>391</v>
      </c>
      <c r="BK283" t="s">
        <v>101</v>
      </c>
      <c r="BL283" t="s">
        <v>392</v>
      </c>
      <c r="BM283" t="s">
        <v>5992</v>
      </c>
      <c r="BN283" t="s">
        <v>74</v>
      </c>
      <c r="BO283" t="s">
        <v>5993</v>
      </c>
      <c r="BP283" t="s">
        <v>74</v>
      </c>
      <c r="BQ283" t="s">
        <v>74</v>
      </c>
      <c r="BR283" t="s">
        <v>105</v>
      </c>
      <c r="BS283" t="s">
        <v>5994</v>
      </c>
      <c r="BT283" t="str">
        <f>HYPERLINK("https%3A%2F%2Fwww.webofscience.com%2Fwos%2Fwoscc%2Ffull-record%2FWOS:000717955300001","View Full Record in Web of Science")</f>
        <v>View Full Record in Web of Science</v>
      </c>
    </row>
    <row r="284" spans="1:72" x14ac:dyDescent="0.15">
      <c r="A284" t="s">
        <v>72</v>
      </c>
      <c r="B284" t="s">
        <v>5995</v>
      </c>
      <c r="C284" t="s">
        <v>74</v>
      </c>
      <c r="D284" t="s">
        <v>74</v>
      </c>
      <c r="E284" t="s">
        <v>74</v>
      </c>
      <c r="F284" t="s">
        <v>5996</v>
      </c>
      <c r="G284" t="s">
        <v>74</v>
      </c>
      <c r="H284" t="s">
        <v>74</v>
      </c>
      <c r="I284" t="s">
        <v>5997</v>
      </c>
      <c r="J284" t="s">
        <v>2675</v>
      </c>
      <c r="K284" t="s">
        <v>74</v>
      </c>
      <c r="L284" t="s">
        <v>74</v>
      </c>
      <c r="M284" t="s">
        <v>78</v>
      </c>
      <c r="N284" t="s">
        <v>79</v>
      </c>
      <c r="O284" t="s">
        <v>74</v>
      </c>
      <c r="P284" t="s">
        <v>74</v>
      </c>
      <c r="Q284" t="s">
        <v>74</v>
      </c>
      <c r="R284" t="s">
        <v>74</v>
      </c>
      <c r="S284" t="s">
        <v>74</v>
      </c>
      <c r="T284" t="s">
        <v>74</v>
      </c>
      <c r="U284" t="s">
        <v>5998</v>
      </c>
      <c r="V284" t="s">
        <v>5999</v>
      </c>
      <c r="W284" t="s">
        <v>6000</v>
      </c>
      <c r="X284" t="s">
        <v>6001</v>
      </c>
      <c r="Y284" t="s">
        <v>6002</v>
      </c>
      <c r="Z284" t="s">
        <v>6003</v>
      </c>
      <c r="AA284" t="s">
        <v>6004</v>
      </c>
      <c r="AB284" t="s">
        <v>6005</v>
      </c>
      <c r="AC284" t="s">
        <v>6006</v>
      </c>
      <c r="AD284" t="s">
        <v>6007</v>
      </c>
      <c r="AE284" t="s">
        <v>6008</v>
      </c>
      <c r="AF284" t="s">
        <v>74</v>
      </c>
      <c r="AG284">
        <v>151</v>
      </c>
      <c r="AH284">
        <v>10</v>
      </c>
      <c r="AI284">
        <v>10</v>
      </c>
      <c r="AJ284">
        <v>1</v>
      </c>
      <c r="AK284">
        <v>17</v>
      </c>
      <c r="AL284" t="s">
        <v>227</v>
      </c>
      <c r="AM284" t="s">
        <v>228</v>
      </c>
      <c r="AN284" t="s">
        <v>229</v>
      </c>
      <c r="AO284" t="s">
        <v>2687</v>
      </c>
      <c r="AP284" t="s">
        <v>2688</v>
      </c>
      <c r="AQ284" t="s">
        <v>74</v>
      </c>
      <c r="AR284" t="s">
        <v>2689</v>
      </c>
      <c r="AS284" t="s">
        <v>2690</v>
      </c>
      <c r="AT284" t="s">
        <v>5990</v>
      </c>
      <c r="AU284">
        <v>2021</v>
      </c>
      <c r="AV284">
        <v>17</v>
      </c>
      <c r="AW284">
        <v>5</v>
      </c>
      <c r="AX284" t="s">
        <v>74</v>
      </c>
      <c r="AY284" t="s">
        <v>74</v>
      </c>
      <c r="AZ284" t="s">
        <v>74</v>
      </c>
      <c r="BA284" t="s">
        <v>74</v>
      </c>
      <c r="BB284">
        <v>2305</v>
      </c>
      <c r="BC284">
        <v>2326</v>
      </c>
      <c r="BD284" t="s">
        <v>74</v>
      </c>
      <c r="BE284" t="s">
        <v>6009</v>
      </c>
      <c r="BF284" t="str">
        <f>HYPERLINK("http://dx.doi.org/10.5194/cp-17-2305-2021","http://dx.doi.org/10.5194/cp-17-2305-2021")</f>
        <v>http://dx.doi.org/10.5194/cp-17-2305-2021</v>
      </c>
      <c r="BG284" t="s">
        <v>74</v>
      </c>
      <c r="BH284" t="s">
        <v>74</v>
      </c>
      <c r="BI284">
        <v>22</v>
      </c>
      <c r="BJ284" t="s">
        <v>1418</v>
      </c>
      <c r="BK284" t="s">
        <v>101</v>
      </c>
      <c r="BL284" t="s">
        <v>1419</v>
      </c>
      <c r="BM284" t="s">
        <v>6010</v>
      </c>
      <c r="BN284" t="s">
        <v>74</v>
      </c>
      <c r="BO284" t="s">
        <v>3985</v>
      </c>
      <c r="BP284" t="s">
        <v>74</v>
      </c>
      <c r="BQ284" t="s">
        <v>74</v>
      </c>
      <c r="BR284" t="s">
        <v>105</v>
      </c>
      <c r="BS284" t="s">
        <v>6011</v>
      </c>
      <c r="BT284" t="str">
        <f>HYPERLINK("https%3A%2F%2Fwww.webofscience.com%2Fwos%2Fwoscc%2Ffull-record%2FWOS:000714348000001","View Full Record in Web of Science")</f>
        <v>View Full Record in Web of Science</v>
      </c>
    </row>
    <row r="285" spans="1:72" x14ac:dyDescent="0.15">
      <c r="A285" t="s">
        <v>72</v>
      </c>
      <c r="B285" t="s">
        <v>6012</v>
      </c>
      <c r="C285" t="s">
        <v>74</v>
      </c>
      <c r="D285" t="s">
        <v>74</v>
      </c>
      <c r="E285" t="s">
        <v>74</v>
      </c>
      <c r="F285" t="s">
        <v>6013</v>
      </c>
      <c r="G285" t="s">
        <v>74</v>
      </c>
      <c r="H285" t="s">
        <v>74</v>
      </c>
      <c r="I285" t="s">
        <v>6014</v>
      </c>
      <c r="J285" t="s">
        <v>6015</v>
      </c>
      <c r="K285" t="s">
        <v>74</v>
      </c>
      <c r="L285" t="s">
        <v>74</v>
      </c>
      <c r="M285" t="s">
        <v>78</v>
      </c>
      <c r="N285" t="s">
        <v>79</v>
      </c>
      <c r="O285" t="s">
        <v>74</v>
      </c>
      <c r="P285" t="s">
        <v>74</v>
      </c>
      <c r="Q285" t="s">
        <v>74</v>
      </c>
      <c r="R285" t="s">
        <v>74</v>
      </c>
      <c r="S285" t="s">
        <v>74</v>
      </c>
      <c r="T285" t="s">
        <v>74</v>
      </c>
      <c r="U285" t="s">
        <v>6016</v>
      </c>
      <c r="V285" t="s">
        <v>6017</v>
      </c>
      <c r="W285" t="s">
        <v>6018</v>
      </c>
      <c r="X285" t="s">
        <v>6019</v>
      </c>
      <c r="Y285" t="s">
        <v>6020</v>
      </c>
      <c r="Z285" t="s">
        <v>6021</v>
      </c>
      <c r="AA285" t="s">
        <v>6022</v>
      </c>
      <c r="AB285" t="s">
        <v>6023</v>
      </c>
      <c r="AC285" t="s">
        <v>6024</v>
      </c>
      <c r="AD285" t="s">
        <v>6025</v>
      </c>
      <c r="AE285" t="s">
        <v>6026</v>
      </c>
      <c r="AF285" t="s">
        <v>74</v>
      </c>
      <c r="AG285">
        <v>105</v>
      </c>
      <c r="AH285">
        <v>7</v>
      </c>
      <c r="AI285">
        <v>7</v>
      </c>
      <c r="AJ285">
        <v>0</v>
      </c>
      <c r="AK285">
        <v>4</v>
      </c>
      <c r="AL285" t="s">
        <v>227</v>
      </c>
      <c r="AM285" t="s">
        <v>228</v>
      </c>
      <c r="AN285" t="s">
        <v>229</v>
      </c>
      <c r="AO285" t="s">
        <v>6027</v>
      </c>
      <c r="AP285" t="s">
        <v>6028</v>
      </c>
      <c r="AQ285" t="s">
        <v>74</v>
      </c>
      <c r="AR285" t="s">
        <v>6029</v>
      </c>
      <c r="AS285" t="s">
        <v>6030</v>
      </c>
      <c r="AT285" t="s">
        <v>5990</v>
      </c>
      <c r="AU285">
        <v>2021</v>
      </c>
      <c r="AV285">
        <v>40</v>
      </c>
      <c r="AW285">
        <v>2</v>
      </c>
      <c r="AX285" t="s">
        <v>74</v>
      </c>
      <c r="AY285" t="s">
        <v>74</v>
      </c>
      <c r="AZ285" t="s">
        <v>74</v>
      </c>
      <c r="BA285" t="s">
        <v>74</v>
      </c>
      <c r="BB285">
        <v>175</v>
      </c>
      <c r="BC285">
        <v>193</v>
      </c>
      <c r="BD285" t="s">
        <v>74</v>
      </c>
      <c r="BE285" t="s">
        <v>6031</v>
      </c>
      <c r="BF285" t="str">
        <f>HYPERLINK("http://dx.doi.org/10.5194/jm-40-175-2021","http://dx.doi.org/10.5194/jm-40-175-2021")</f>
        <v>http://dx.doi.org/10.5194/jm-40-175-2021</v>
      </c>
      <c r="BG285" t="s">
        <v>74</v>
      </c>
      <c r="BH285" t="s">
        <v>74</v>
      </c>
      <c r="BI285">
        <v>19</v>
      </c>
      <c r="BJ285" t="s">
        <v>2990</v>
      </c>
      <c r="BK285" t="s">
        <v>101</v>
      </c>
      <c r="BL285" t="s">
        <v>2990</v>
      </c>
      <c r="BM285" t="s">
        <v>6032</v>
      </c>
      <c r="BN285" t="s">
        <v>74</v>
      </c>
      <c r="BO285" t="s">
        <v>4963</v>
      </c>
      <c r="BP285" t="s">
        <v>74</v>
      </c>
      <c r="BQ285" t="s">
        <v>74</v>
      </c>
      <c r="BR285" t="s">
        <v>105</v>
      </c>
      <c r="BS285" t="s">
        <v>6033</v>
      </c>
      <c r="BT285" t="str">
        <f>HYPERLINK("https%3A%2F%2Fwww.webofscience.com%2Fwos%2Fwoscc%2Ffull-record%2FWOS:000714348100001","View Full Record in Web of Science")</f>
        <v>View Full Record in Web of Science</v>
      </c>
    </row>
    <row r="286" spans="1:72" x14ac:dyDescent="0.15">
      <c r="A286" t="s">
        <v>72</v>
      </c>
      <c r="B286" t="s">
        <v>6034</v>
      </c>
      <c r="C286" t="s">
        <v>74</v>
      </c>
      <c r="D286" t="s">
        <v>74</v>
      </c>
      <c r="E286" t="s">
        <v>74</v>
      </c>
      <c r="F286" t="s">
        <v>6035</v>
      </c>
      <c r="G286" t="s">
        <v>74</v>
      </c>
      <c r="H286" t="s">
        <v>74</v>
      </c>
      <c r="I286" t="s">
        <v>6036</v>
      </c>
      <c r="J286" t="s">
        <v>1338</v>
      </c>
      <c r="K286" t="s">
        <v>74</v>
      </c>
      <c r="L286" t="s">
        <v>74</v>
      </c>
      <c r="M286" t="s">
        <v>78</v>
      </c>
      <c r="N286" t="s">
        <v>79</v>
      </c>
      <c r="O286" t="s">
        <v>74</v>
      </c>
      <c r="P286" t="s">
        <v>74</v>
      </c>
      <c r="Q286" t="s">
        <v>74</v>
      </c>
      <c r="R286" t="s">
        <v>74</v>
      </c>
      <c r="S286" t="s">
        <v>74</v>
      </c>
      <c r="T286" t="s">
        <v>74</v>
      </c>
      <c r="U286" t="s">
        <v>6037</v>
      </c>
      <c r="V286" t="s">
        <v>6038</v>
      </c>
      <c r="W286" t="s">
        <v>6039</v>
      </c>
      <c r="X286" t="s">
        <v>6040</v>
      </c>
      <c r="Y286" t="s">
        <v>6041</v>
      </c>
      <c r="Z286" t="s">
        <v>6042</v>
      </c>
      <c r="AA286" t="s">
        <v>74</v>
      </c>
      <c r="AB286" t="s">
        <v>6043</v>
      </c>
      <c r="AC286" t="s">
        <v>6044</v>
      </c>
      <c r="AD286" t="s">
        <v>6045</v>
      </c>
      <c r="AE286" t="s">
        <v>6046</v>
      </c>
      <c r="AF286" t="s">
        <v>74</v>
      </c>
      <c r="AG286">
        <v>56</v>
      </c>
      <c r="AH286">
        <v>1</v>
      </c>
      <c r="AI286">
        <v>1</v>
      </c>
      <c r="AJ286">
        <v>2</v>
      </c>
      <c r="AK286">
        <v>8</v>
      </c>
      <c r="AL286" t="s">
        <v>1347</v>
      </c>
      <c r="AM286" t="s">
        <v>333</v>
      </c>
      <c r="AN286" t="s">
        <v>1348</v>
      </c>
      <c r="AO286" t="s">
        <v>74</v>
      </c>
      <c r="AP286" t="s">
        <v>1349</v>
      </c>
      <c r="AQ286" t="s">
        <v>74</v>
      </c>
      <c r="AR286" t="s">
        <v>1350</v>
      </c>
      <c r="AS286" t="s">
        <v>1351</v>
      </c>
      <c r="AT286" t="s">
        <v>5990</v>
      </c>
      <c r="AU286">
        <v>2021</v>
      </c>
      <c r="AV286">
        <v>2</v>
      </c>
      <c r="AW286">
        <v>1</v>
      </c>
      <c r="AX286" t="s">
        <v>74</v>
      </c>
      <c r="AY286" t="s">
        <v>74</v>
      </c>
      <c r="AZ286" t="s">
        <v>74</v>
      </c>
      <c r="BA286" t="s">
        <v>74</v>
      </c>
      <c r="BB286" t="s">
        <v>74</v>
      </c>
      <c r="BC286" t="s">
        <v>74</v>
      </c>
      <c r="BD286">
        <v>226</v>
      </c>
      <c r="BE286" t="s">
        <v>6047</v>
      </c>
      <c r="BF286" t="str">
        <f>HYPERLINK("http://dx.doi.org/10.1038/s43247-021-00297-2","http://dx.doi.org/10.1038/s43247-021-00297-2")</f>
        <v>http://dx.doi.org/10.1038/s43247-021-00297-2</v>
      </c>
      <c r="BG286" t="s">
        <v>74</v>
      </c>
      <c r="BH286" t="s">
        <v>74</v>
      </c>
      <c r="BI286">
        <v>10</v>
      </c>
      <c r="BJ286" t="s">
        <v>1353</v>
      </c>
      <c r="BK286" t="s">
        <v>101</v>
      </c>
      <c r="BL286" t="s">
        <v>1354</v>
      </c>
      <c r="BM286" t="s">
        <v>6048</v>
      </c>
      <c r="BN286" t="s">
        <v>74</v>
      </c>
      <c r="BO286" t="s">
        <v>210</v>
      </c>
      <c r="BP286" t="s">
        <v>74</v>
      </c>
      <c r="BQ286" t="s">
        <v>74</v>
      </c>
      <c r="BR286" t="s">
        <v>105</v>
      </c>
      <c r="BS286" t="s">
        <v>6049</v>
      </c>
      <c r="BT286" t="str">
        <f>HYPERLINK("https%3A%2F%2Fwww.webofscience.com%2Fwos%2Fwoscc%2Ffull-record%2FWOS:000712821100001","View Full Record in Web of Science")</f>
        <v>View Full Record in Web of Science</v>
      </c>
    </row>
    <row r="287" spans="1:72" x14ac:dyDescent="0.15">
      <c r="A287" t="s">
        <v>72</v>
      </c>
      <c r="B287" t="s">
        <v>6050</v>
      </c>
      <c r="C287" t="s">
        <v>74</v>
      </c>
      <c r="D287" t="s">
        <v>74</v>
      </c>
      <c r="E287" t="s">
        <v>74</v>
      </c>
      <c r="F287" t="s">
        <v>6051</v>
      </c>
      <c r="G287" t="s">
        <v>74</v>
      </c>
      <c r="H287" t="s">
        <v>74</v>
      </c>
      <c r="I287" t="s">
        <v>6052</v>
      </c>
      <c r="J287" t="s">
        <v>747</v>
      </c>
      <c r="K287" t="s">
        <v>74</v>
      </c>
      <c r="L287" t="s">
        <v>74</v>
      </c>
      <c r="M287" t="s">
        <v>78</v>
      </c>
      <c r="N287" t="s">
        <v>79</v>
      </c>
      <c r="O287" t="s">
        <v>74</v>
      </c>
      <c r="P287" t="s">
        <v>74</v>
      </c>
      <c r="Q287" t="s">
        <v>74</v>
      </c>
      <c r="R287" t="s">
        <v>74</v>
      </c>
      <c r="S287" t="s">
        <v>74</v>
      </c>
      <c r="T287" t="s">
        <v>6053</v>
      </c>
      <c r="U287" t="s">
        <v>6054</v>
      </c>
      <c r="V287" t="s">
        <v>6055</v>
      </c>
      <c r="W287" t="s">
        <v>6056</v>
      </c>
      <c r="X287" t="s">
        <v>6057</v>
      </c>
      <c r="Y287" t="s">
        <v>6058</v>
      </c>
      <c r="Z287" t="s">
        <v>6059</v>
      </c>
      <c r="AA287" t="s">
        <v>74</v>
      </c>
      <c r="AB287" t="s">
        <v>74</v>
      </c>
      <c r="AC287" t="s">
        <v>6060</v>
      </c>
      <c r="AD287" t="s">
        <v>6061</v>
      </c>
      <c r="AE287" t="s">
        <v>6062</v>
      </c>
      <c r="AF287" t="s">
        <v>74</v>
      </c>
      <c r="AG287">
        <v>62</v>
      </c>
      <c r="AH287">
        <v>7</v>
      </c>
      <c r="AI287">
        <v>8</v>
      </c>
      <c r="AJ287">
        <v>5</v>
      </c>
      <c r="AK287">
        <v>19</v>
      </c>
      <c r="AL287" t="s">
        <v>760</v>
      </c>
      <c r="AM287" t="s">
        <v>438</v>
      </c>
      <c r="AN287" t="s">
        <v>761</v>
      </c>
      <c r="AO287" t="s">
        <v>762</v>
      </c>
      <c r="AP287" t="s">
        <v>763</v>
      </c>
      <c r="AQ287" t="s">
        <v>74</v>
      </c>
      <c r="AR287" t="s">
        <v>764</v>
      </c>
      <c r="AS287" t="s">
        <v>765</v>
      </c>
      <c r="AT287" t="s">
        <v>6063</v>
      </c>
      <c r="AU287">
        <v>2021</v>
      </c>
      <c r="AV287">
        <v>48</v>
      </c>
      <c r="AW287">
        <v>20</v>
      </c>
      <c r="AX287" t="s">
        <v>74</v>
      </c>
      <c r="AY287" t="s">
        <v>74</v>
      </c>
      <c r="AZ287" t="s">
        <v>74</v>
      </c>
      <c r="BA287" t="s">
        <v>74</v>
      </c>
      <c r="BB287" t="s">
        <v>74</v>
      </c>
      <c r="BC287" t="s">
        <v>74</v>
      </c>
      <c r="BD287" t="s">
        <v>6064</v>
      </c>
      <c r="BE287" t="s">
        <v>6065</v>
      </c>
      <c r="BF287" t="str">
        <f>HYPERLINK("http://dx.doi.org/10.1029/2021GL094241","http://dx.doi.org/10.1029/2021GL094241")</f>
        <v>http://dx.doi.org/10.1029/2021GL094241</v>
      </c>
      <c r="BG287" t="s">
        <v>74</v>
      </c>
      <c r="BH287" t="s">
        <v>74</v>
      </c>
      <c r="BI287">
        <v>12</v>
      </c>
      <c r="BJ287" t="s">
        <v>236</v>
      </c>
      <c r="BK287" t="s">
        <v>101</v>
      </c>
      <c r="BL287" t="s">
        <v>237</v>
      </c>
      <c r="BM287" t="s">
        <v>6066</v>
      </c>
      <c r="BN287" t="s">
        <v>74</v>
      </c>
      <c r="BO287" t="s">
        <v>74</v>
      </c>
      <c r="BP287" t="s">
        <v>74</v>
      </c>
      <c r="BQ287" t="s">
        <v>74</v>
      </c>
      <c r="BR287" t="s">
        <v>105</v>
      </c>
      <c r="BS287" t="s">
        <v>6067</v>
      </c>
      <c r="BT287" t="str">
        <f>HYPERLINK("https%3A%2F%2Fwww.webofscience.com%2Fwos%2Fwoscc%2Ffull-record%2FWOS:000747834500031","View Full Record in Web of Science")</f>
        <v>View Full Record in Web of Science</v>
      </c>
    </row>
    <row r="288" spans="1:72" x14ac:dyDescent="0.15">
      <c r="A288" t="s">
        <v>72</v>
      </c>
      <c r="B288" t="s">
        <v>6068</v>
      </c>
      <c r="C288" t="s">
        <v>74</v>
      </c>
      <c r="D288" t="s">
        <v>74</v>
      </c>
      <c r="E288" t="s">
        <v>74</v>
      </c>
      <c r="F288" t="s">
        <v>6069</v>
      </c>
      <c r="G288" t="s">
        <v>74</v>
      </c>
      <c r="H288" t="s">
        <v>74</v>
      </c>
      <c r="I288" t="s">
        <v>6070</v>
      </c>
      <c r="J288" t="s">
        <v>747</v>
      </c>
      <c r="K288" t="s">
        <v>74</v>
      </c>
      <c r="L288" t="s">
        <v>74</v>
      </c>
      <c r="M288" t="s">
        <v>78</v>
      </c>
      <c r="N288" t="s">
        <v>79</v>
      </c>
      <c r="O288" t="s">
        <v>74</v>
      </c>
      <c r="P288" t="s">
        <v>74</v>
      </c>
      <c r="Q288" t="s">
        <v>74</v>
      </c>
      <c r="R288" t="s">
        <v>74</v>
      </c>
      <c r="S288" t="s">
        <v>74</v>
      </c>
      <c r="T288" t="s">
        <v>6071</v>
      </c>
      <c r="U288" t="s">
        <v>6072</v>
      </c>
      <c r="V288" t="s">
        <v>6073</v>
      </c>
      <c r="W288" t="s">
        <v>6074</v>
      </c>
      <c r="X288" t="s">
        <v>6075</v>
      </c>
      <c r="Y288" t="s">
        <v>6076</v>
      </c>
      <c r="Z288" t="s">
        <v>6077</v>
      </c>
      <c r="AA288" t="s">
        <v>6078</v>
      </c>
      <c r="AB288" t="s">
        <v>6079</v>
      </c>
      <c r="AC288" t="s">
        <v>6080</v>
      </c>
      <c r="AD288" t="s">
        <v>6081</v>
      </c>
      <c r="AE288" t="s">
        <v>6082</v>
      </c>
      <c r="AF288" t="s">
        <v>74</v>
      </c>
      <c r="AG288">
        <v>30</v>
      </c>
      <c r="AH288">
        <v>5</v>
      </c>
      <c r="AI288">
        <v>6</v>
      </c>
      <c r="AJ288">
        <v>0</v>
      </c>
      <c r="AK288">
        <v>4</v>
      </c>
      <c r="AL288" t="s">
        <v>760</v>
      </c>
      <c r="AM288" t="s">
        <v>438</v>
      </c>
      <c r="AN288" t="s">
        <v>761</v>
      </c>
      <c r="AO288" t="s">
        <v>762</v>
      </c>
      <c r="AP288" t="s">
        <v>763</v>
      </c>
      <c r="AQ288" t="s">
        <v>74</v>
      </c>
      <c r="AR288" t="s">
        <v>764</v>
      </c>
      <c r="AS288" t="s">
        <v>765</v>
      </c>
      <c r="AT288" t="s">
        <v>6063</v>
      </c>
      <c r="AU288">
        <v>2021</v>
      </c>
      <c r="AV288">
        <v>48</v>
      </c>
      <c r="AW288">
        <v>20</v>
      </c>
      <c r="AX288" t="s">
        <v>74</v>
      </c>
      <c r="AY288" t="s">
        <v>74</v>
      </c>
      <c r="AZ288" t="s">
        <v>74</v>
      </c>
      <c r="BA288" t="s">
        <v>74</v>
      </c>
      <c r="BB288" t="s">
        <v>74</v>
      </c>
      <c r="BC288" t="s">
        <v>74</v>
      </c>
      <c r="BD288" t="s">
        <v>6083</v>
      </c>
      <c r="BE288" t="s">
        <v>6084</v>
      </c>
      <c r="BF288" t="str">
        <f>HYPERLINK("http://dx.doi.org/10.1029/2021GL093853","http://dx.doi.org/10.1029/2021GL093853")</f>
        <v>http://dx.doi.org/10.1029/2021GL093853</v>
      </c>
      <c r="BG288" t="s">
        <v>74</v>
      </c>
      <c r="BH288" t="s">
        <v>74</v>
      </c>
      <c r="BI288">
        <v>10</v>
      </c>
      <c r="BJ288" t="s">
        <v>236</v>
      </c>
      <c r="BK288" t="s">
        <v>101</v>
      </c>
      <c r="BL288" t="s">
        <v>237</v>
      </c>
      <c r="BM288" t="s">
        <v>6066</v>
      </c>
      <c r="BN288" t="s">
        <v>74</v>
      </c>
      <c r="BO288" t="s">
        <v>531</v>
      </c>
      <c r="BP288" t="s">
        <v>74</v>
      </c>
      <c r="BQ288" t="s">
        <v>74</v>
      </c>
      <c r="BR288" t="s">
        <v>105</v>
      </c>
      <c r="BS288" t="s">
        <v>6085</v>
      </c>
      <c r="BT288" t="str">
        <f>HYPERLINK("https%3A%2F%2Fwww.webofscience.com%2Fwos%2Fwoscc%2Ffull-record%2FWOS:000747834500015","View Full Record in Web of Science")</f>
        <v>View Full Record in Web of Science</v>
      </c>
    </row>
    <row r="289" spans="1:72" x14ac:dyDescent="0.15">
      <c r="A289" t="s">
        <v>72</v>
      </c>
      <c r="B289" t="s">
        <v>6086</v>
      </c>
      <c r="C289" t="s">
        <v>74</v>
      </c>
      <c r="D289" t="s">
        <v>74</v>
      </c>
      <c r="E289" t="s">
        <v>74</v>
      </c>
      <c r="F289" t="s">
        <v>6087</v>
      </c>
      <c r="G289" t="s">
        <v>74</v>
      </c>
      <c r="H289" t="s">
        <v>74</v>
      </c>
      <c r="I289" t="s">
        <v>6088</v>
      </c>
      <c r="J289" t="s">
        <v>747</v>
      </c>
      <c r="K289" t="s">
        <v>74</v>
      </c>
      <c r="L289" t="s">
        <v>74</v>
      </c>
      <c r="M289" t="s">
        <v>78</v>
      </c>
      <c r="N289" t="s">
        <v>79</v>
      </c>
      <c r="O289" t="s">
        <v>74</v>
      </c>
      <c r="P289" t="s">
        <v>74</v>
      </c>
      <c r="Q289" t="s">
        <v>74</v>
      </c>
      <c r="R289" t="s">
        <v>74</v>
      </c>
      <c r="S289" t="s">
        <v>74</v>
      </c>
      <c r="T289" t="s">
        <v>6089</v>
      </c>
      <c r="U289" t="s">
        <v>6090</v>
      </c>
      <c r="V289" t="s">
        <v>6091</v>
      </c>
      <c r="W289" t="s">
        <v>6092</v>
      </c>
      <c r="X289" t="s">
        <v>6093</v>
      </c>
      <c r="Y289" t="s">
        <v>6094</v>
      </c>
      <c r="Z289" t="s">
        <v>6095</v>
      </c>
      <c r="AA289" t="s">
        <v>6096</v>
      </c>
      <c r="AB289" t="s">
        <v>6097</v>
      </c>
      <c r="AC289" t="s">
        <v>6098</v>
      </c>
      <c r="AD289" t="s">
        <v>6099</v>
      </c>
      <c r="AE289" t="s">
        <v>6100</v>
      </c>
      <c r="AF289" t="s">
        <v>74</v>
      </c>
      <c r="AG289">
        <v>56</v>
      </c>
      <c r="AH289">
        <v>10</v>
      </c>
      <c r="AI289">
        <v>10</v>
      </c>
      <c r="AJ289">
        <v>4</v>
      </c>
      <c r="AK289">
        <v>27</v>
      </c>
      <c r="AL289" t="s">
        <v>760</v>
      </c>
      <c r="AM289" t="s">
        <v>438</v>
      </c>
      <c r="AN289" t="s">
        <v>761</v>
      </c>
      <c r="AO289" t="s">
        <v>762</v>
      </c>
      <c r="AP289" t="s">
        <v>763</v>
      </c>
      <c r="AQ289" t="s">
        <v>74</v>
      </c>
      <c r="AR289" t="s">
        <v>764</v>
      </c>
      <c r="AS289" t="s">
        <v>765</v>
      </c>
      <c r="AT289" t="s">
        <v>6063</v>
      </c>
      <c r="AU289">
        <v>2021</v>
      </c>
      <c r="AV289">
        <v>48</v>
      </c>
      <c r="AW289">
        <v>20</v>
      </c>
      <c r="AX289" t="s">
        <v>74</v>
      </c>
      <c r="AY289" t="s">
        <v>74</v>
      </c>
      <c r="AZ289" t="s">
        <v>74</v>
      </c>
      <c r="BA289" t="s">
        <v>74</v>
      </c>
      <c r="BB289" t="s">
        <v>74</v>
      </c>
      <c r="BC289" t="s">
        <v>74</v>
      </c>
      <c r="BD289" t="s">
        <v>6101</v>
      </c>
      <c r="BE289" t="s">
        <v>6102</v>
      </c>
      <c r="BF289" t="str">
        <f>HYPERLINK("http://dx.doi.org/10.1029/2021GL094472","http://dx.doi.org/10.1029/2021GL094472")</f>
        <v>http://dx.doi.org/10.1029/2021GL094472</v>
      </c>
      <c r="BG289" t="s">
        <v>74</v>
      </c>
      <c r="BH289" t="s">
        <v>74</v>
      </c>
      <c r="BI289">
        <v>10</v>
      </c>
      <c r="BJ289" t="s">
        <v>236</v>
      </c>
      <c r="BK289" t="s">
        <v>101</v>
      </c>
      <c r="BL289" t="s">
        <v>237</v>
      </c>
      <c r="BM289" t="s">
        <v>6066</v>
      </c>
      <c r="BN289" t="s">
        <v>74</v>
      </c>
      <c r="BO289" t="s">
        <v>343</v>
      </c>
      <c r="BP289" t="s">
        <v>74</v>
      </c>
      <c r="BQ289" t="s">
        <v>74</v>
      </c>
      <c r="BR289" t="s">
        <v>105</v>
      </c>
      <c r="BS289" t="s">
        <v>6103</v>
      </c>
      <c r="BT289" t="str">
        <f>HYPERLINK("https%3A%2F%2Fwww.webofscience.com%2Fwos%2Fwoscc%2Ffull-record%2FWOS:000747834500054","View Full Record in Web of Science")</f>
        <v>View Full Record in Web of Science</v>
      </c>
    </row>
    <row r="290" spans="1:72" x14ac:dyDescent="0.15">
      <c r="A290" t="s">
        <v>72</v>
      </c>
      <c r="B290" t="s">
        <v>6104</v>
      </c>
      <c r="C290" t="s">
        <v>74</v>
      </c>
      <c r="D290" t="s">
        <v>74</v>
      </c>
      <c r="E290" t="s">
        <v>74</v>
      </c>
      <c r="F290" t="s">
        <v>6105</v>
      </c>
      <c r="G290" t="s">
        <v>74</v>
      </c>
      <c r="H290" t="s">
        <v>74</v>
      </c>
      <c r="I290" t="s">
        <v>6106</v>
      </c>
      <c r="J290" t="s">
        <v>747</v>
      </c>
      <c r="K290" t="s">
        <v>74</v>
      </c>
      <c r="L290" t="s">
        <v>74</v>
      </c>
      <c r="M290" t="s">
        <v>78</v>
      </c>
      <c r="N290" t="s">
        <v>79</v>
      </c>
      <c r="O290" t="s">
        <v>74</v>
      </c>
      <c r="P290" t="s">
        <v>74</v>
      </c>
      <c r="Q290" t="s">
        <v>74</v>
      </c>
      <c r="R290" t="s">
        <v>74</v>
      </c>
      <c r="S290" t="s">
        <v>74</v>
      </c>
      <c r="T290" t="s">
        <v>6107</v>
      </c>
      <c r="U290" t="s">
        <v>6108</v>
      </c>
      <c r="V290" t="s">
        <v>6109</v>
      </c>
      <c r="W290" t="s">
        <v>6110</v>
      </c>
      <c r="X290" t="s">
        <v>6111</v>
      </c>
      <c r="Y290" t="s">
        <v>6112</v>
      </c>
      <c r="Z290" t="s">
        <v>6113</v>
      </c>
      <c r="AA290" t="s">
        <v>6114</v>
      </c>
      <c r="AB290" t="s">
        <v>6115</v>
      </c>
      <c r="AC290" t="s">
        <v>6116</v>
      </c>
      <c r="AD290" t="s">
        <v>6117</v>
      </c>
      <c r="AE290" t="s">
        <v>6118</v>
      </c>
      <c r="AF290" t="s">
        <v>74</v>
      </c>
      <c r="AG290">
        <v>36</v>
      </c>
      <c r="AH290">
        <v>8</v>
      </c>
      <c r="AI290">
        <v>8</v>
      </c>
      <c r="AJ290">
        <v>3</v>
      </c>
      <c r="AK290">
        <v>12</v>
      </c>
      <c r="AL290" t="s">
        <v>760</v>
      </c>
      <c r="AM290" t="s">
        <v>438</v>
      </c>
      <c r="AN290" t="s">
        <v>761</v>
      </c>
      <c r="AO290" t="s">
        <v>762</v>
      </c>
      <c r="AP290" t="s">
        <v>763</v>
      </c>
      <c r="AQ290" t="s">
        <v>74</v>
      </c>
      <c r="AR290" t="s">
        <v>764</v>
      </c>
      <c r="AS290" t="s">
        <v>765</v>
      </c>
      <c r="AT290" t="s">
        <v>6063</v>
      </c>
      <c r="AU290">
        <v>2021</v>
      </c>
      <c r="AV290">
        <v>48</v>
      </c>
      <c r="AW290">
        <v>20</v>
      </c>
      <c r="AX290" t="s">
        <v>74</v>
      </c>
      <c r="AY290" t="s">
        <v>74</v>
      </c>
      <c r="AZ290" t="s">
        <v>74</v>
      </c>
      <c r="BA290" t="s">
        <v>74</v>
      </c>
      <c r="BB290" t="s">
        <v>74</v>
      </c>
      <c r="BC290" t="s">
        <v>74</v>
      </c>
      <c r="BD290" t="s">
        <v>6119</v>
      </c>
      <c r="BE290" t="s">
        <v>6120</v>
      </c>
      <c r="BF290" t="str">
        <f>HYPERLINK("http://dx.doi.org/10.1029/2021GL096092","http://dx.doi.org/10.1029/2021GL096092")</f>
        <v>http://dx.doi.org/10.1029/2021GL096092</v>
      </c>
      <c r="BG290" t="s">
        <v>74</v>
      </c>
      <c r="BH290" t="s">
        <v>74</v>
      </c>
      <c r="BI290">
        <v>10</v>
      </c>
      <c r="BJ290" t="s">
        <v>236</v>
      </c>
      <c r="BK290" t="s">
        <v>101</v>
      </c>
      <c r="BL290" t="s">
        <v>237</v>
      </c>
      <c r="BM290" t="s">
        <v>6066</v>
      </c>
      <c r="BN290" t="s">
        <v>74</v>
      </c>
      <c r="BO290" t="s">
        <v>343</v>
      </c>
      <c r="BP290" t="s">
        <v>74</v>
      </c>
      <c r="BQ290" t="s">
        <v>74</v>
      </c>
      <c r="BR290" t="s">
        <v>105</v>
      </c>
      <c r="BS290" t="s">
        <v>6121</v>
      </c>
      <c r="BT290" t="str">
        <f>HYPERLINK("https%3A%2F%2Fwww.webofscience.com%2Fwos%2Fwoscc%2Ffull-record%2FWOS:000747834500070","View Full Record in Web of Science")</f>
        <v>View Full Record in Web of Science</v>
      </c>
    </row>
    <row r="291" spans="1:72" x14ac:dyDescent="0.15">
      <c r="A291" t="s">
        <v>72</v>
      </c>
      <c r="B291" t="s">
        <v>6122</v>
      </c>
      <c r="C291" t="s">
        <v>74</v>
      </c>
      <c r="D291" t="s">
        <v>74</v>
      </c>
      <c r="E291" t="s">
        <v>74</v>
      </c>
      <c r="F291" t="s">
        <v>6123</v>
      </c>
      <c r="G291" t="s">
        <v>74</v>
      </c>
      <c r="H291" t="s">
        <v>74</v>
      </c>
      <c r="I291" t="s">
        <v>6124</v>
      </c>
      <c r="J291" t="s">
        <v>747</v>
      </c>
      <c r="K291" t="s">
        <v>74</v>
      </c>
      <c r="L291" t="s">
        <v>74</v>
      </c>
      <c r="M291" t="s">
        <v>78</v>
      </c>
      <c r="N291" t="s">
        <v>79</v>
      </c>
      <c r="O291" t="s">
        <v>74</v>
      </c>
      <c r="P291" t="s">
        <v>74</v>
      </c>
      <c r="Q291" t="s">
        <v>74</v>
      </c>
      <c r="R291" t="s">
        <v>74</v>
      </c>
      <c r="S291" t="s">
        <v>74</v>
      </c>
      <c r="T291" t="s">
        <v>74</v>
      </c>
      <c r="U291" t="s">
        <v>6125</v>
      </c>
      <c r="V291" t="s">
        <v>6126</v>
      </c>
      <c r="W291" t="s">
        <v>6127</v>
      </c>
      <c r="X291" t="s">
        <v>6128</v>
      </c>
      <c r="Y291" t="s">
        <v>6129</v>
      </c>
      <c r="Z291" t="s">
        <v>6130</v>
      </c>
      <c r="AA291" t="s">
        <v>6131</v>
      </c>
      <c r="AB291" t="s">
        <v>6132</v>
      </c>
      <c r="AC291" t="s">
        <v>6133</v>
      </c>
      <c r="AD291" t="s">
        <v>6134</v>
      </c>
      <c r="AE291" t="s">
        <v>6135</v>
      </c>
      <c r="AF291" t="s">
        <v>74</v>
      </c>
      <c r="AG291">
        <v>86</v>
      </c>
      <c r="AH291">
        <v>5</v>
      </c>
      <c r="AI291">
        <v>5</v>
      </c>
      <c r="AJ291">
        <v>1</v>
      </c>
      <c r="AK291">
        <v>4</v>
      </c>
      <c r="AL291" t="s">
        <v>760</v>
      </c>
      <c r="AM291" t="s">
        <v>438</v>
      </c>
      <c r="AN291" t="s">
        <v>761</v>
      </c>
      <c r="AO291" t="s">
        <v>762</v>
      </c>
      <c r="AP291" t="s">
        <v>763</v>
      </c>
      <c r="AQ291" t="s">
        <v>74</v>
      </c>
      <c r="AR291" t="s">
        <v>764</v>
      </c>
      <c r="AS291" t="s">
        <v>765</v>
      </c>
      <c r="AT291" t="s">
        <v>6063</v>
      </c>
      <c r="AU291">
        <v>2021</v>
      </c>
      <c r="AV291">
        <v>48</v>
      </c>
      <c r="AW291">
        <v>20</v>
      </c>
      <c r="AX291" t="s">
        <v>74</v>
      </c>
      <c r="AY291" t="s">
        <v>74</v>
      </c>
      <c r="AZ291" t="s">
        <v>74</v>
      </c>
      <c r="BA291" t="s">
        <v>74</v>
      </c>
      <c r="BB291" t="s">
        <v>74</v>
      </c>
      <c r="BC291" t="s">
        <v>74</v>
      </c>
      <c r="BD291" t="s">
        <v>6136</v>
      </c>
      <c r="BE291" t="s">
        <v>6137</v>
      </c>
      <c r="BF291" t="str">
        <f>HYPERLINK("http://dx.doi.org/10.1029/2021GL094678","http://dx.doi.org/10.1029/2021GL094678")</f>
        <v>http://dx.doi.org/10.1029/2021GL094678</v>
      </c>
      <c r="BG291" t="s">
        <v>74</v>
      </c>
      <c r="BH291" t="s">
        <v>74</v>
      </c>
      <c r="BI291">
        <v>11</v>
      </c>
      <c r="BJ291" t="s">
        <v>236</v>
      </c>
      <c r="BK291" t="s">
        <v>101</v>
      </c>
      <c r="BL291" t="s">
        <v>237</v>
      </c>
      <c r="BM291" t="s">
        <v>6138</v>
      </c>
      <c r="BN291" t="s">
        <v>74</v>
      </c>
      <c r="BO291" t="s">
        <v>1471</v>
      </c>
      <c r="BP291" t="s">
        <v>74</v>
      </c>
      <c r="BQ291" t="s">
        <v>74</v>
      </c>
      <c r="BR291" t="s">
        <v>105</v>
      </c>
      <c r="BS291" t="s">
        <v>6139</v>
      </c>
      <c r="BT291" t="str">
        <f>HYPERLINK("https%3A%2F%2Fwww.webofscience.com%2Fwos%2Fwoscc%2Ffull-record%2FWOS:000747839800001","View Full Record in Web of Science")</f>
        <v>View Full Record in Web of Science</v>
      </c>
    </row>
    <row r="292" spans="1:72" x14ac:dyDescent="0.15">
      <c r="A292" t="s">
        <v>72</v>
      </c>
      <c r="B292" t="s">
        <v>6140</v>
      </c>
      <c r="C292" t="s">
        <v>74</v>
      </c>
      <c r="D292" t="s">
        <v>74</v>
      </c>
      <c r="E292" t="s">
        <v>74</v>
      </c>
      <c r="F292" t="s">
        <v>6141</v>
      </c>
      <c r="G292" t="s">
        <v>74</v>
      </c>
      <c r="H292" t="s">
        <v>74</v>
      </c>
      <c r="I292" t="s">
        <v>6142</v>
      </c>
      <c r="J292" t="s">
        <v>6143</v>
      </c>
      <c r="K292" t="s">
        <v>74</v>
      </c>
      <c r="L292" t="s">
        <v>74</v>
      </c>
      <c r="M292" t="s">
        <v>78</v>
      </c>
      <c r="N292" t="s">
        <v>79</v>
      </c>
      <c r="O292" t="s">
        <v>74</v>
      </c>
      <c r="P292" t="s">
        <v>74</v>
      </c>
      <c r="Q292" t="s">
        <v>74</v>
      </c>
      <c r="R292" t="s">
        <v>74</v>
      </c>
      <c r="S292" t="s">
        <v>74</v>
      </c>
      <c r="T292" t="s">
        <v>6144</v>
      </c>
      <c r="U292" t="s">
        <v>6145</v>
      </c>
      <c r="V292" t="s">
        <v>6146</v>
      </c>
      <c r="W292" t="s">
        <v>6147</v>
      </c>
      <c r="X292" t="s">
        <v>6148</v>
      </c>
      <c r="Y292" t="s">
        <v>6149</v>
      </c>
      <c r="Z292" t="s">
        <v>6150</v>
      </c>
      <c r="AA292" t="s">
        <v>6151</v>
      </c>
      <c r="AB292" t="s">
        <v>6152</v>
      </c>
      <c r="AC292" t="s">
        <v>6153</v>
      </c>
      <c r="AD292" t="s">
        <v>6154</v>
      </c>
      <c r="AE292" t="s">
        <v>6155</v>
      </c>
      <c r="AF292" t="s">
        <v>74</v>
      </c>
      <c r="AG292">
        <v>44</v>
      </c>
      <c r="AH292">
        <v>2</v>
      </c>
      <c r="AI292">
        <v>2</v>
      </c>
      <c r="AJ292">
        <v>0</v>
      </c>
      <c r="AK292">
        <v>5</v>
      </c>
      <c r="AL292" t="s">
        <v>666</v>
      </c>
      <c r="AM292" t="s">
        <v>170</v>
      </c>
      <c r="AN292" t="s">
        <v>667</v>
      </c>
      <c r="AO292" t="s">
        <v>6156</v>
      </c>
      <c r="AP292" t="s">
        <v>6157</v>
      </c>
      <c r="AQ292" t="s">
        <v>74</v>
      </c>
      <c r="AR292" t="s">
        <v>6158</v>
      </c>
      <c r="AS292" t="s">
        <v>6159</v>
      </c>
      <c r="AT292" t="s">
        <v>98</v>
      </c>
      <c r="AU292">
        <v>2021</v>
      </c>
      <c r="AV292">
        <v>33</v>
      </c>
      <c r="AW292">
        <v>6</v>
      </c>
      <c r="AX292" t="s">
        <v>74</v>
      </c>
      <c r="AY292" t="s">
        <v>74</v>
      </c>
      <c r="AZ292" t="s">
        <v>74</v>
      </c>
      <c r="BA292" t="s">
        <v>74</v>
      </c>
      <c r="BB292">
        <v>575</v>
      </c>
      <c r="BC292">
        <v>595</v>
      </c>
      <c r="BD292" t="s">
        <v>74</v>
      </c>
      <c r="BE292" t="s">
        <v>6160</v>
      </c>
      <c r="BF292" t="str">
        <f>HYPERLINK("http://dx.doi.org/10.1017/S0954102021000456","http://dx.doi.org/10.1017/S0954102021000456")</f>
        <v>http://dx.doi.org/10.1017/S0954102021000456</v>
      </c>
      <c r="BG292" t="s">
        <v>74</v>
      </c>
      <c r="BH292" t="s">
        <v>5766</v>
      </c>
      <c r="BI292">
        <v>21</v>
      </c>
      <c r="BJ292" t="s">
        <v>6161</v>
      </c>
      <c r="BK292" t="s">
        <v>101</v>
      </c>
      <c r="BL292" t="s">
        <v>6162</v>
      </c>
      <c r="BM292" t="s">
        <v>6163</v>
      </c>
      <c r="BN292" t="s">
        <v>74</v>
      </c>
      <c r="BO292" t="s">
        <v>343</v>
      </c>
      <c r="BP292" t="s">
        <v>74</v>
      </c>
      <c r="BQ292" t="s">
        <v>74</v>
      </c>
      <c r="BR292" t="s">
        <v>105</v>
      </c>
      <c r="BS292" t="s">
        <v>6164</v>
      </c>
      <c r="BT292" t="str">
        <f>HYPERLINK("https%3A%2F%2Fwww.webofscience.com%2Fwos%2Fwoscc%2Ffull-record%2FWOS:000737585000001","View Full Record in Web of Science")</f>
        <v>View Full Record in Web of Science</v>
      </c>
    </row>
    <row r="293" spans="1:72" x14ac:dyDescent="0.15">
      <c r="A293" t="s">
        <v>72</v>
      </c>
      <c r="B293" t="s">
        <v>6165</v>
      </c>
      <c r="C293" t="s">
        <v>74</v>
      </c>
      <c r="D293" t="s">
        <v>74</v>
      </c>
      <c r="E293" t="s">
        <v>74</v>
      </c>
      <c r="F293" t="s">
        <v>6166</v>
      </c>
      <c r="G293" t="s">
        <v>74</v>
      </c>
      <c r="H293" t="s">
        <v>74</v>
      </c>
      <c r="I293" t="s">
        <v>6167</v>
      </c>
      <c r="J293" t="s">
        <v>6168</v>
      </c>
      <c r="K293" t="s">
        <v>74</v>
      </c>
      <c r="L293" t="s">
        <v>74</v>
      </c>
      <c r="M293" t="s">
        <v>78</v>
      </c>
      <c r="N293" t="s">
        <v>79</v>
      </c>
      <c r="O293" t="s">
        <v>74</v>
      </c>
      <c r="P293" t="s">
        <v>74</v>
      </c>
      <c r="Q293" t="s">
        <v>74</v>
      </c>
      <c r="R293" t="s">
        <v>74</v>
      </c>
      <c r="S293" t="s">
        <v>74</v>
      </c>
      <c r="T293" t="s">
        <v>6169</v>
      </c>
      <c r="U293" t="s">
        <v>6170</v>
      </c>
      <c r="V293" t="s">
        <v>6171</v>
      </c>
      <c r="W293" t="s">
        <v>6172</v>
      </c>
      <c r="X293" t="s">
        <v>6173</v>
      </c>
      <c r="Y293" t="s">
        <v>6174</v>
      </c>
      <c r="Z293" t="s">
        <v>6175</v>
      </c>
      <c r="AA293" t="s">
        <v>6176</v>
      </c>
      <c r="AB293" t="s">
        <v>6177</v>
      </c>
      <c r="AC293" t="s">
        <v>6178</v>
      </c>
      <c r="AD293" t="s">
        <v>6179</v>
      </c>
      <c r="AE293" t="s">
        <v>6180</v>
      </c>
      <c r="AF293" t="s">
        <v>74</v>
      </c>
      <c r="AG293">
        <v>68</v>
      </c>
      <c r="AH293">
        <v>6</v>
      </c>
      <c r="AI293">
        <v>6</v>
      </c>
      <c r="AJ293">
        <v>4</v>
      </c>
      <c r="AK293">
        <v>14</v>
      </c>
      <c r="AL293" t="s">
        <v>6181</v>
      </c>
      <c r="AM293" t="s">
        <v>6182</v>
      </c>
      <c r="AN293" t="s">
        <v>6183</v>
      </c>
      <c r="AO293" t="s">
        <v>6184</v>
      </c>
      <c r="AP293" t="s">
        <v>6185</v>
      </c>
      <c r="AQ293" t="s">
        <v>74</v>
      </c>
      <c r="AR293" t="s">
        <v>6186</v>
      </c>
      <c r="AS293" t="s">
        <v>6187</v>
      </c>
      <c r="AT293" t="s">
        <v>310</v>
      </c>
      <c r="AU293">
        <v>2021</v>
      </c>
      <c r="AV293">
        <v>168</v>
      </c>
      <c r="AW293" t="s">
        <v>74</v>
      </c>
      <c r="AX293" t="s">
        <v>74</v>
      </c>
      <c r="AY293" t="s">
        <v>74</v>
      </c>
      <c r="AZ293" t="s">
        <v>74</v>
      </c>
      <c r="BA293" t="s">
        <v>74</v>
      </c>
      <c r="BB293">
        <v>465</v>
      </c>
      <c r="BC293">
        <v>476</v>
      </c>
      <c r="BD293" t="s">
        <v>74</v>
      </c>
      <c r="BE293" t="s">
        <v>6188</v>
      </c>
      <c r="BF293" t="str">
        <f>HYPERLINK("http://dx.doi.org/10.1016/j.plaphy.2021.10.036","http://dx.doi.org/10.1016/j.plaphy.2021.10.036")</f>
        <v>http://dx.doi.org/10.1016/j.plaphy.2021.10.036</v>
      </c>
      <c r="BG293" t="s">
        <v>74</v>
      </c>
      <c r="BH293" t="s">
        <v>5766</v>
      </c>
      <c r="BI293">
        <v>12</v>
      </c>
      <c r="BJ293" t="s">
        <v>4148</v>
      </c>
      <c r="BK293" t="s">
        <v>101</v>
      </c>
      <c r="BL293" t="s">
        <v>4148</v>
      </c>
      <c r="BM293" t="s">
        <v>6189</v>
      </c>
      <c r="BN293">
        <v>34717178</v>
      </c>
      <c r="BO293" t="s">
        <v>419</v>
      </c>
      <c r="BP293" t="s">
        <v>74</v>
      </c>
      <c r="BQ293" t="s">
        <v>74</v>
      </c>
      <c r="BR293" t="s">
        <v>105</v>
      </c>
      <c r="BS293" t="s">
        <v>6190</v>
      </c>
      <c r="BT293" t="str">
        <f>HYPERLINK("https%3A%2F%2Fwww.webofscience.com%2Fwos%2Fwoscc%2Ffull-record%2FWOS:000725616300001","View Full Record in Web of Science")</f>
        <v>View Full Record in Web of Science</v>
      </c>
    </row>
    <row r="294" spans="1:72" x14ac:dyDescent="0.15">
      <c r="A294" t="s">
        <v>72</v>
      </c>
      <c r="B294" t="s">
        <v>6191</v>
      </c>
      <c r="C294" t="s">
        <v>74</v>
      </c>
      <c r="D294" t="s">
        <v>74</v>
      </c>
      <c r="E294" t="s">
        <v>74</v>
      </c>
      <c r="F294" t="s">
        <v>6192</v>
      </c>
      <c r="G294" t="s">
        <v>74</v>
      </c>
      <c r="H294" t="s">
        <v>74</v>
      </c>
      <c r="I294" t="s">
        <v>6193</v>
      </c>
      <c r="J294" t="s">
        <v>5907</v>
      </c>
      <c r="K294" t="s">
        <v>74</v>
      </c>
      <c r="L294" t="s">
        <v>74</v>
      </c>
      <c r="M294" t="s">
        <v>78</v>
      </c>
      <c r="N294" t="s">
        <v>79</v>
      </c>
      <c r="O294" t="s">
        <v>74</v>
      </c>
      <c r="P294" t="s">
        <v>74</v>
      </c>
      <c r="Q294" t="s">
        <v>74</v>
      </c>
      <c r="R294" t="s">
        <v>74</v>
      </c>
      <c r="S294" t="s">
        <v>74</v>
      </c>
      <c r="T294" t="s">
        <v>6194</v>
      </c>
      <c r="U294" t="s">
        <v>6195</v>
      </c>
      <c r="V294" t="s">
        <v>6196</v>
      </c>
      <c r="W294" t="s">
        <v>6197</v>
      </c>
      <c r="X294" t="s">
        <v>6198</v>
      </c>
      <c r="Y294" t="s">
        <v>6199</v>
      </c>
      <c r="Z294" t="s">
        <v>6200</v>
      </c>
      <c r="AA294" t="s">
        <v>74</v>
      </c>
      <c r="AB294" t="s">
        <v>6201</v>
      </c>
      <c r="AC294" t="s">
        <v>6202</v>
      </c>
      <c r="AD294" t="s">
        <v>6203</v>
      </c>
      <c r="AE294" t="s">
        <v>6204</v>
      </c>
      <c r="AF294" t="s">
        <v>74</v>
      </c>
      <c r="AG294">
        <v>81</v>
      </c>
      <c r="AH294">
        <v>4</v>
      </c>
      <c r="AI294">
        <v>4</v>
      </c>
      <c r="AJ294">
        <v>1</v>
      </c>
      <c r="AK294">
        <v>21</v>
      </c>
      <c r="AL294" t="s">
        <v>1175</v>
      </c>
      <c r="AM294" t="s">
        <v>170</v>
      </c>
      <c r="AN294" t="s">
        <v>1176</v>
      </c>
      <c r="AO294" t="s">
        <v>5920</v>
      </c>
      <c r="AP294" t="s">
        <v>5921</v>
      </c>
      <c r="AQ294" t="s">
        <v>74</v>
      </c>
      <c r="AR294" t="s">
        <v>5922</v>
      </c>
      <c r="AS294" t="s">
        <v>5923</v>
      </c>
      <c r="AT294" t="s">
        <v>416</v>
      </c>
      <c r="AU294">
        <v>2022</v>
      </c>
      <c r="AV294">
        <v>268</v>
      </c>
      <c r="AW294" t="s">
        <v>74</v>
      </c>
      <c r="AX294" t="s">
        <v>74</v>
      </c>
      <c r="AY294" t="s">
        <v>74</v>
      </c>
      <c r="AZ294" t="s">
        <v>74</v>
      </c>
      <c r="BA294" t="s">
        <v>74</v>
      </c>
      <c r="BB294" t="s">
        <v>74</v>
      </c>
      <c r="BC294" t="s">
        <v>74</v>
      </c>
      <c r="BD294">
        <v>112759</v>
      </c>
      <c r="BE294" t="s">
        <v>6205</v>
      </c>
      <c r="BF294" t="str">
        <f>HYPERLINK("http://dx.doi.org/10.1016/j.rse.2021.112759","http://dx.doi.org/10.1016/j.rse.2021.112759")</f>
        <v>http://dx.doi.org/10.1016/j.rse.2021.112759</v>
      </c>
      <c r="BG294" t="s">
        <v>74</v>
      </c>
      <c r="BH294" t="s">
        <v>5766</v>
      </c>
      <c r="BI294">
        <v>15</v>
      </c>
      <c r="BJ294" t="s">
        <v>5925</v>
      </c>
      <c r="BK294" t="s">
        <v>101</v>
      </c>
      <c r="BL294" t="s">
        <v>5926</v>
      </c>
      <c r="BM294" t="s">
        <v>6206</v>
      </c>
      <c r="BN294" t="s">
        <v>74</v>
      </c>
      <c r="BO294" t="s">
        <v>1471</v>
      </c>
      <c r="BP294" t="s">
        <v>74</v>
      </c>
      <c r="BQ294" t="s">
        <v>74</v>
      </c>
      <c r="BR294" t="s">
        <v>105</v>
      </c>
      <c r="BS294" t="s">
        <v>6207</v>
      </c>
      <c r="BT294" t="str">
        <f>HYPERLINK("https%3A%2F%2Fwww.webofscience.com%2Fwos%2Fwoscc%2Ffull-record%2FWOS:000722575600004","View Full Record in Web of Science")</f>
        <v>View Full Record in Web of Science</v>
      </c>
    </row>
    <row r="295" spans="1:72" x14ac:dyDescent="0.15">
      <c r="A295" t="s">
        <v>72</v>
      </c>
      <c r="B295" t="s">
        <v>6208</v>
      </c>
      <c r="C295" t="s">
        <v>74</v>
      </c>
      <c r="D295" t="s">
        <v>74</v>
      </c>
      <c r="E295" t="s">
        <v>74</v>
      </c>
      <c r="F295" t="s">
        <v>6209</v>
      </c>
      <c r="G295" t="s">
        <v>74</v>
      </c>
      <c r="H295" t="s">
        <v>74</v>
      </c>
      <c r="I295" t="s">
        <v>6210</v>
      </c>
      <c r="J295" t="s">
        <v>6211</v>
      </c>
      <c r="K295" t="s">
        <v>74</v>
      </c>
      <c r="L295" t="s">
        <v>74</v>
      </c>
      <c r="M295" t="s">
        <v>78</v>
      </c>
      <c r="N295" t="s">
        <v>79</v>
      </c>
      <c r="O295" t="s">
        <v>74</v>
      </c>
      <c r="P295" t="s">
        <v>74</v>
      </c>
      <c r="Q295" t="s">
        <v>74</v>
      </c>
      <c r="R295" t="s">
        <v>74</v>
      </c>
      <c r="S295" t="s">
        <v>74</v>
      </c>
      <c r="T295" t="s">
        <v>6212</v>
      </c>
      <c r="U295" t="s">
        <v>6213</v>
      </c>
      <c r="V295" t="s">
        <v>6214</v>
      </c>
      <c r="W295" t="s">
        <v>6215</v>
      </c>
      <c r="X295" t="s">
        <v>6216</v>
      </c>
      <c r="Y295" t="s">
        <v>6217</v>
      </c>
      <c r="Z295" t="s">
        <v>6218</v>
      </c>
      <c r="AA295" t="s">
        <v>6219</v>
      </c>
      <c r="AB295" t="s">
        <v>6220</v>
      </c>
      <c r="AC295" t="s">
        <v>6221</v>
      </c>
      <c r="AD295" t="s">
        <v>6222</v>
      </c>
      <c r="AE295" t="s">
        <v>6223</v>
      </c>
      <c r="AF295" t="s">
        <v>74</v>
      </c>
      <c r="AG295">
        <v>76</v>
      </c>
      <c r="AH295">
        <v>7</v>
      </c>
      <c r="AI295">
        <v>7</v>
      </c>
      <c r="AJ295">
        <v>0</v>
      </c>
      <c r="AK295">
        <v>6</v>
      </c>
      <c r="AL295" t="s">
        <v>847</v>
      </c>
      <c r="AM295" t="s">
        <v>848</v>
      </c>
      <c r="AN295" t="s">
        <v>849</v>
      </c>
      <c r="AO295" t="s">
        <v>6224</v>
      </c>
      <c r="AP295" t="s">
        <v>6225</v>
      </c>
      <c r="AQ295" t="s">
        <v>74</v>
      </c>
      <c r="AR295" t="s">
        <v>6226</v>
      </c>
      <c r="AS295" t="s">
        <v>6227</v>
      </c>
      <c r="AT295" t="s">
        <v>98</v>
      </c>
      <c r="AU295">
        <v>2021</v>
      </c>
      <c r="AV295">
        <v>282</v>
      </c>
      <c r="AW295" t="s">
        <v>74</v>
      </c>
      <c r="AX295" t="s">
        <v>74</v>
      </c>
      <c r="AY295" t="s">
        <v>74</v>
      </c>
      <c r="AZ295" t="s">
        <v>74</v>
      </c>
      <c r="BA295" t="s">
        <v>74</v>
      </c>
      <c r="BB295" t="s">
        <v>74</v>
      </c>
      <c r="BC295" t="s">
        <v>74</v>
      </c>
      <c r="BD295">
        <v>115125</v>
      </c>
      <c r="BE295" t="s">
        <v>6228</v>
      </c>
      <c r="BF295" t="str">
        <f>HYPERLINK("http://dx.doi.org/10.1016/j.anifeedsci.2021.115125","http://dx.doi.org/10.1016/j.anifeedsci.2021.115125")</f>
        <v>http://dx.doi.org/10.1016/j.anifeedsci.2021.115125</v>
      </c>
      <c r="BG295" t="s">
        <v>74</v>
      </c>
      <c r="BH295" t="s">
        <v>5766</v>
      </c>
      <c r="BI295">
        <v>11</v>
      </c>
      <c r="BJ295" t="s">
        <v>6229</v>
      </c>
      <c r="BK295" t="s">
        <v>101</v>
      </c>
      <c r="BL295" t="s">
        <v>2154</v>
      </c>
      <c r="BM295" t="s">
        <v>6230</v>
      </c>
      <c r="BN295" t="s">
        <v>74</v>
      </c>
      <c r="BO295" t="s">
        <v>74</v>
      </c>
      <c r="BP295" t="s">
        <v>74</v>
      </c>
      <c r="BQ295" t="s">
        <v>74</v>
      </c>
      <c r="BR295" t="s">
        <v>105</v>
      </c>
      <c r="BS295" t="s">
        <v>6231</v>
      </c>
      <c r="BT295" t="str">
        <f>HYPERLINK("https%3A%2F%2Fwww.webofscience.com%2Fwos%2Fwoscc%2Ffull-record%2FWOS:000719811700013","View Full Record in Web of Science")</f>
        <v>View Full Record in Web of Science</v>
      </c>
    </row>
    <row r="296" spans="1:72" x14ac:dyDescent="0.15">
      <c r="A296" t="s">
        <v>72</v>
      </c>
      <c r="B296" t="s">
        <v>6232</v>
      </c>
      <c r="C296" t="s">
        <v>74</v>
      </c>
      <c r="D296" t="s">
        <v>74</v>
      </c>
      <c r="E296" t="s">
        <v>74</v>
      </c>
      <c r="F296" t="s">
        <v>6233</v>
      </c>
      <c r="G296" t="s">
        <v>74</v>
      </c>
      <c r="H296" t="s">
        <v>74</v>
      </c>
      <c r="I296" t="s">
        <v>6234</v>
      </c>
      <c r="J296" t="s">
        <v>399</v>
      </c>
      <c r="K296" t="s">
        <v>74</v>
      </c>
      <c r="L296" t="s">
        <v>74</v>
      </c>
      <c r="M296" t="s">
        <v>78</v>
      </c>
      <c r="N296" t="s">
        <v>79</v>
      </c>
      <c r="O296" t="s">
        <v>74</v>
      </c>
      <c r="P296" t="s">
        <v>74</v>
      </c>
      <c r="Q296" t="s">
        <v>74</v>
      </c>
      <c r="R296" t="s">
        <v>74</v>
      </c>
      <c r="S296" t="s">
        <v>74</v>
      </c>
      <c r="T296" t="s">
        <v>6235</v>
      </c>
      <c r="U296" t="s">
        <v>6236</v>
      </c>
      <c r="V296" t="s">
        <v>6237</v>
      </c>
      <c r="W296" t="s">
        <v>6238</v>
      </c>
      <c r="X296" t="s">
        <v>1167</v>
      </c>
      <c r="Y296" t="s">
        <v>6239</v>
      </c>
      <c r="Z296" t="s">
        <v>6240</v>
      </c>
      <c r="AA296" t="s">
        <v>6241</v>
      </c>
      <c r="AB296" t="s">
        <v>6242</v>
      </c>
      <c r="AC296" t="s">
        <v>6243</v>
      </c>
      <c r="AD296" t="s">
        <v>6244</v>
      </c>
      <c r="AE296" t="s">
        <v>6245</v>
      </c>
      <c r="AF296" t="s">
        <v>74</v>
      </c>
      <c r="AG296">
        <v>73</v>
      </c>
      <c r="AH296">
        <v>6</v>
      </c>
      <c r="AI296">
        <v>6</v>
      </c>
      <c r="AJ296">
        <v>2</v>
      </c>
      <c r="AK296">
        <v>52</v>
      </c>
      <c r="AL296" t="s">
        <v>255</v>
      </c>
      <c r="AM296" t="s">
        <v>256</v>
      </c>
      <c r="AN296" t="s">
        <v>257</v>
      </c>
      <c r="AO296" t="s">
        <v>412</v>
      </c>
      <c r="AP296" t="s">
        <v>413</v>
      </c>
      <c r="AQ296" t="s">
        <v>74</v>
      </c>
      <c r="AR296" t="s">
        <v>414</v>
      </c>
      <c r="AS296" t="s">
        <v>415</v>
      </c>
      <c r="AT296" t="s">
        <v>98</v>
      </c>
      <c r="AU296">
        <v>2021</v>
      </c>
      <c r="AV296">
        <v>173</v>
      </c>
      <c r="AW296" t="s">
        <v>74</v>
      </c>
      <c r="AX296" t="s">
        <v>6246</v>
      </c>
      <c r="AY296" t="s">
        <v>74</v>
      </c>
      <c r="AZ296" t="s">
        <v>74</v>
      </c>
      <c r="BA296" t="s">
        <v>74</v>
      </c>
      <c r="BB296" t="s">
        <v>74</v>
      </c>
      <c r="BC296" t="s">
        <v>74</v>
      </c>
      <c r="BD296">
        <v>113074</v>
      </c>
      <c r="BE296" t="s">
        <v>6247</v>
      </c>
      <c r="BF296" t="str">
        <f>HYPERLINK("http://dx.doi.org/10.1016/j.marpolbul.2021.113074","http://dx.doi.org/10.1016/j.marpolbul.2021.113074")</f>
        <v>http://dx.doi.org/10.1016/j.marpolbul.2021.113074</v>
      </c>
      <c r="BG296" t="s">
        <v>74</v>
      </c>
      <c r="BH296" t="s">
        <v>5766</v>
      </c>
      <c r="BI296">
        <v>7</v>
      </c>
      <c r="BJ296" t="s">
        <v>391</v>
      </c>
      <c r="BK296" t="s">
        <v>101</v>
      </c>
      <c r="BL296" t="s">
        <v>392</v>
      </c>
      <c r="BM296" t="s">
        <v>6248</v>
      </c>
      <c r="BN296">
        <v>34872169</v>
      </c>
      <c r="BO296" t="s">
        <v>419</v>
      </c>
      <c r="BP296" t="s">
        <v>74</v>
      </c>
      <c r="BQ296" t="s">
        <v>74</v>
      </c>
      <c r="BR296" t="s">
        <v>105</v>
      </c>
      <c r="BS296" t="s">
        <v>6249</v>
      </c>
      <c r="BT296" t="str">
        <f>HYPERLINK("https%3A%2F%2Fwww.webofscience.com%2Fwos%2Fwoscc%2Ffull-record%2FWOS:000719297300001","View Full Record in Web of Science")</f>
        <v>View Full Record in Web of Science</v>
      </c>
    </row>
    <row r="297" spans="1:72" x14ac:dyDescent="0.15">
      <c r="A297" t="s">
        <v>72</v>
      </c>
      <c r="B297" t="s">
        <v>6250</v>
      </c>
      <c r="C297" t="s">
        <v>74</v>
      </c>
      <c r="D297" t="s">
        <v>74</v>
      </c>
      <c r="E297" t="s">
        <v>74</v>
      </c>
      <c r="F297" t="s">
        <v>6251</v>
      </c>
      <c r="G297" t="s">
        <v>74</v>
      </c>
      <c r="H297" t="s">
        <v>74</v>
      </c>
      <c r="I297" t="s">
        <v>6252</v>
      </c>
      <c r="J297" t="s">
        <v>6253</v>
      </c>
      <c r="K297" t="s">
        <v>74</v>
      </c>
      <c r="L297" t="s">
        <v>74</v>
      </c>
      <c r="M297" t="s">
        <v>78</v>
      </c>
      <c r="N297" t="s">
        <v>79</v>
      </c>
      <c r="O297" t="s">
        <v>74</v>
      </c>
      <c r="P297" t="s">
        <v>74</v>
      </c>
      <c r="Q297" t="s">
        <v>74</v>
      </c>
      <c r="R297" t="s">
        <v>74</v>
      </c>
      <c r="S297" t="s">
        <v>74</v>
      </c>
      <c r="T297" t="s">
        <v>6254</v>
      </c>
      <c r="U297" t="s">
        <v>6255</v>
      </c>
      <c r="V297" t="s">
        <v>6256</v>
      </c>
      <c r="W297" t="s">
        <v>6257</v>
      </c>
      <c r="X297" t="s">
        <v>6258</v>
      </c>
      <c r="Y297" t="s">
        <v>6259</v>
      </c>
      <c r="Z297" t="s">
        <v>6260</v>
      </c>
      <c r="AA297" t="s">
        <v>6261</v>
      </c>
      <c r="AB297" t="s">
        <v>6262</v>
      </c>
      <c r="AC297" t="s">
        <v>6263</v>
      </c>
      <c r="AD297" t="s">
        <v>6264</v>
      </c>
      <c r="AE297" t="s">
        <v>6265</v>
      </c>
      <c r="AF297" t="s">
        <v>74</v>
      </c>
      <c r="AG297">
        <v>100</v>
      </c>
      <c r="AH297">
        <v>2</v>
      </c>
      <c r="AI297">
        <v>2</v>
      </c>
      <c r="AJ297">
        <v>3</v>
      </c>
      <c r="AK297">
        <v>27</v>
      </c>
      <c r="AL297" t="s">
        <v>383</v>
      </c>
      <c r="AM297" t="s">
        <v>384</v>
      </c>
      <c r="AN297" t="s">
        <v>385</v>
      </c>
      <c r="AO297" t="s">
        <v>6266</v>
      </c>
      <c r="AP297" t="s">
        <v>74</v>
      </c>
      <c r="AQ297" t="s">
        <v>74</v>
      </c>
      <c r="AR297" t="s">
        <v>6267</v>
      </c>
      <c r="AS297" t="s">
        <v>6268</v>
      </c>
      <c r="AT297" t="s">
        <v>6063</v>
      </c>
      <c r="AU297">
        <v>2021</v>
      </c>
      <c r="AV297">
        <v>12</v>
      </c>
      <c r="AW297" t="s">
        <v>74</v>
      </c>
      <c r="AX297" t="s">
        <v>74</v>
      </c>
      <c r="AY297" t="s">
        <v>74</v>
      </c>
      <c r="AZ297" t="s">
        <v>74</v>
      </c>
      <c r="BA297" t="s">
        <v>74</v>
      </c>
      <c r="BB297" t="s">
        <v>74</v>
      </c>
      <c r="BC297" t="s">
        <v>74</v>
      </c>
      <c r="BD297">
        <v>752913</v>
      </c>
      <c r="BE297" t="s">
        <v>6269</v>
      </c>
      <c r="BF297" t="str">
        <f>HYPERLINK("http://dx.doi.org/10.3389/fpls.2021.752913","http://dx.doi.org/10.3389/fpls.2021.752913")</f>
        <v>http://dx.doi.org/10.3389/fpls.2021.752913</v>
      </c>
      <c r="BG297" t="s">
        <v>74</v>
      </c>
      <c r="BH297" t="s">
        <v>74</v>
      </c>
      <c r="BI297">
        <v>19</v>
      </c>
      <c r="BJ297" t="s">
        <v>4148</v>
      </c>
      <c r="BK297" t="s">
        <v>101</v>
      </c>
      <c r="BL297" t="s">
        <v>4148</v>
      </c>
      <c r="BM297" t="s">
        <v>6270</v>
      </c>
      <c r="BN297">
        <v>34777431</v>
      </c>
      <c r="BO297" t="s">
        <v>394</v>
      </c>
      <c r="BP297" t="s">
        <v>74</v>
      </c>
      <c r="BQ297" t="s">
        <v>74</v>
      </c>
      <c r="BR297" t="s">
        <v>105</v>
      </c>
      <c r="BS297" t="s">
        <v>6271</v>
      </c>
      <c r="BT297" t="str">
        <f>HYPERLINK("https%3A%2F%2Fwww.webofscience.com%2Fwos%2Fwoscc%2Ffull-record%2FWOS:000717741000001","View Full Record in Web of Science")</f>
        <v>View Full Record in Web of Science</v>
      </c>
    </row>
    <row r="298" spans="1:72" x14ac:dyDescent="0.15">
      <c r="A298" t="s">
        <v>72</v>
      </c>
      <c r="B298" t="s">
        <v>6272</v>
      </c>
      <c r="C298" t="s">
        <v>74</v>
      </c>
      <c r="D298" t="s">
        <v>74</v>
      </c>
      <c r="E298" t="s">
        <v>74</v>
      </c>
      <c r="F298" t="s">
        <v>6273</v>
      </c>
      <c r="G298" t="s">
        <v>74</v>
      </c>
      <c r="H298" t="s">
        <v>74</v>
      </c>
      <c r="I298" t="s">
        <v>6274</v>
      </c>
      <c r="J298" t="s">
        <v>6275</v>
      </c>
      <c r="K298" t="s">
        <v>74</v>
      </c>
      <c r="L298" t="s">
        <v>74</v>
      </c>
      <c r="M298" t="s">
        <v>78</v>
      </c>
      <c r="N298" t="s">
        <v>79</v>
      </c>
      <c r="O298" t="s">
        <v>74</v>
      </c>
      <c r="P298" t="s">
        <v>74</v>
      </c>
      <c r="Q298" t="s">
        <v>74</v>
      </c>
      <c r="R298" t="s">
        <v>74</v>
      </c>
      <c r="S298" t="s">
        <v>74</v>
      </c>
      <c r="T298" t="s">
        <v>6276</v>
      </c>
      <c r="U298" t="s">
        <v>6277</v>
      </c>
      <c r="V298" t="s">
        <v>6278</v>
      </c>
      <c r="W298" t="s">
        <v>6279</v>
      </c>
      <c r="X298" t="s">
        <v>6280</v>
      </c>
      <c r="Y298" t="s">
        <v>6281</v>
      </c>
      <c r="Z298" t="s">
        <v>6282</v>
      </c>
      <c r="AA298" t="s">
        <v>74</v>
      </c>
      <c r="AB298" t="s">
        <v>6283</v>
      </c>
      <c r="AC298" t="s">
        <v>6284</v>
      </c>
      <c r="AD298" t="s">
        <v>6284</v>
      </c>
      <c r="AE298" t="s">
        <v>6285</v>
      </c>
      <c r="AF298" t="s">
        <v>74</v>
      </c>
      <c r="AG298">
        <v>105</v>
      </c>
      <c r="AH298">
        <v>6</v>
      </c>
      <c r="AI298">
        <v>6</v>
      </c>
      <c r="AJ298">
        <v>1</v>
      </c>
      <c r="AK298">
        <v>3</v>
      </c>
      <c r="AL298" t="s">
        <v>255</v>
      </c>
      <c r="AM298" t="s">
        <v>256</v>
      </c>
      <c r="AN298" t="s">
        <v>257</v>
      </c>
      <c r="AO298" t="s">
        <v>6286</v>
      </c>
      <c r="AP298" t="s">
        <v>6287</v>
      </c>
      <c r="AQ298" t="s">
        <v>74</v>
      </c>
      <c r="AR298" t="s">
        <v>6288</v>
      </c>
      <c r="AS298" t="s">
        <v>6289</v>
      </c>
      <c r="AT298" t="s">
        <v>98</v>
      </c>
      <c r="AU298">
        <v>2021</v>
      </c>
      <c r="AV298">
        <v>112</v>
      </c>
      <c r="AW298" t="s">
        <v>74</v>
      </c>
      <c r="AX298">
        <v>1</v>
      </c>
      <c r="AY298" t="s">
        <v>74</v>
      </c>
      <c r="AZ298" t="s">
        <v>74</v>
      </c>
      <c r="BA298" t="s">
        <v>74</v>
      </c>
      <c r="BB298" t="s">
        <v>74</v>
      </c>
      <c r="BC298" t="s">
        <v>74</v>
      </c>
      <c r="BD298">
        <v>103611</v>
      </c>
      <c r="BE298" t="s">
        <v>6290</v>
      </c>
      <c r="BF298" t="str">
        <f>HYPERLINK("http://dx.doi.org/10.1016/j.jsames.2021.103611","http://dx.doi.org/10.1016/j.jsames.2021.103611")</f>
        <v>http://dx.doi.org/10.1016/j.jsames.2021.103611</v>
      </c>
      <c r="BG298" t="s">
        <v>74</v>
      </c>
      <c r="BH298" t="s">
        <v>5766</v>
      </c>
      <c r="BI298">
        <v>18</v>
      </c>
      <c r="BJ298" t="s">
        <v>236</v>
      </c>
      <c r="BK298" t="s">
        <v>101</v>
      </c>
      <c r="BL298" t="s">
        <v>237</v>
      </c>
      <c r="BM298" t="s">
        <v>6291</v>
      </c>
      <c r="BN298" t="s">
        <v>74</v>
      </c>
      <c r="BO298" t="s">
        <v>74</v>
      </c>
      <c r="BP298" t="s">
        <v>74</v>
      </c>
      <c r="BQ298" t="s">
        <v>74</v>
      </c>
      <c r="BR298" t="s">
        <v>105</v>
      </c>
      <c r="BS298" t="s">
        <v>6292</v>
      </c>
      <c r="BT298" t="str">
        <f>HYPERLINK("https%3A%2F%2Fwww.webofscience.com%2Fwos%2Fwoscc%2Ffull-record%2FWOS:000718045800001","View Full Record in Web of Science")</f>
        <v>View Full Record in Web of Science</v>
      </c>
    </row>
    <row r="299" spans="1:72" x14ac:dyDescent="0.15">
      <c r="A299" t="s">
        <v>72</v>
      </c>
      <c r="B299" t="s">
        <v>6293</v>
      </c>
      <c r="C299" t="s">
        <v>74</v>
      </c>
      <c r="D299" t="s">
        <v>74</v>
      </c>
      <c r="E299" t="s">
        <v>74</v>
      </c>
      <c r="F299" t="s">
        <v>6294</v>
      </c>
      <c r="G299" t="s">
        <v>74</v>
      </c>
      <c r="H299" t="s">
        <v>74</v>
      </c>
      <c r="I299" t="s">
        <v>6295</v>
      </c>
      <c r="J299" t="s">
        <v>6296</v>
      </c>
      <c r="K299" t="s">
        <v>74</v>
      </c>
      <c r="L299" t="s">
        <v>74</v>
      </c>
      <c r="M299" t="s">
        <v>78</v>
      </c>
      <c r="N299" t="s">
        <v>79</v>
      </c>
      <c r="O299" t="s">
        <v>74</v>
      </c>
      <c r="P299" t="s">
        <v>74</v>
      </c>
      <c r="Q299" t="s">
        <v>74</v>
      </c>
      <c r="R299" t="s">
        <v>74</v>
      </c>
      <c r="S299" t="s">
        <v>74</v>
      </c>
      <c r="T299" t="s">
        <v>6297</v>
      </c>
      <c r="U299" t="s">
        <v>6298</v>
      </c>
      <c r="V299" t="s">
        <v>6299</v>
      </c>
      <c r="W299" t="s">
        <v>6300</v>
      </c>
      <c r="X299" t="s">
        <v>6301</v>
      </c>
      <c r="Y299" t="s">
        <v>6302</v>
      </c>
      <c r="Z299" t="s">
        <v>6303</v>
      </c>
      <c r="AA299" t="s">
        <v>6304</v>
      </c>
      <c r="AB299" t="s">
        <v>6305</v>
      </c>
      <c r="AC299" t="s">
        <v>74</v>
      </c>
      <c r="AD299" t="s">
        <v>74</v>
      </c>
      <c r="AE299" t="s">
        <v>74</v>
      </c>
      <c r="AF299" t="s">
        <v>74</v>
      </c>
      <c r="AG299">
        <v>57</v>
      </c>
      <c r="AH299">
        <v>26</v>
      </c>
      <c r="AI299">
        <v>27</v>
      </c>
      <c r="AJ299">
        <v>26</v>
      </c>
      <c r="AK299">
        <v>193</v>
      </c>
      <c r="AL299" t="s">
        <v>255</v>
      </c>
      <c r="AM299" t="s">
        <v>256</v>
      </c>
      <c r="AN299" t="s">
        <v>257</v>
      </c>
      <c r="AO299" t="s">
        <v>6306</v>
      </c>
      <c r="AP299" t="s">
        <v>6307</v>
      </c>
      <c r="AQ299" t="s">
        <v>74</v>
      </c>
      <c r="AR299" t="s">
        <v>6308</v>
      </c>
      <c r="AS299" t="s">
        <v>6309</v>
      </c>
      <c r="AT299" t="s">
        <v>204</v>
      </c>
      <c r="AU299">
        <v>2021</v>
      </c>
      <c r="AV299">
        <v>207</v>
      </c>
      <c r="AW299" t="s">
        <v>74</v>
      </c>
      <c r="AX299" t="s">
        <v>74</v>
      </c>
      <c r="AY299" t="s">
        <v>74</v>
      </c>
      <c r="AZ299" t="s">
        <v>74</v>
      </c>
      <c r="BA299" t="s">
        <v>74</v>
      </c>
      <c r="BB299" t="s">
        <v>74</v>
      </c>
      <c r="BC299" t="s">
        <v>74</v>
      </c>
      <c r="BD299">
        <v>117780</v>
      </c>
      <c r="BE299" t="s">
        <v>6310</v>
      </c>
      <c r="BF299" t="str">
        <f>HYPERLINK("http://dx.doi.org/10.1016/j.watres.2021.117780","http://dx.doi.org/10.1016/j.watres.2021.117780")</f>
        <v>http://dx.doi.org/10.1016/j.watres.2021.117780</v>
      </c>
      <c r="BG299" t="s">
        <v>74</v>
      </c>
      <c r="BH299" t="s">
        <v>5766</v>
      </c>
      <c r="BI299">
        <v>9</v>
      </c>
      <c r="BJ299" t="s">
        <v>6311</v>
      </c>
      <c r="BK299" t="s">
        <v>101</v>
      </c>
      <c r="BL299" t="s">
        <v>6312</v>
      </c>
      <c r="BM299" t="s">
        <v>6313</v>
      </c>
      <c r="BN299">
        <v>34731661</v>
      </c>
      <c r="BO299" t="s">
        <v>74</v>
      </c>
      <c r="BP299" t="s">
        <v>74</v>
      </c>
      <c r="BQ299" t="s">
        <v>74</v>
      </c>
      <c r="BR299" t="s">
        <v>105</v>
      </c>
      <c r="BS299" t="s">
        <v>6314</v>
      </c>
      <c r="BT299" t="str">
        <f>HYPERLINK("https%3A%2F%2Fwww.webofscience.com%2Fwos%2Fwoscc%2Ffull-record%2FWOS:000713306300006","View Full Record in Web of Science")</f>
        <v>View Full Record in Web of Science</v>
      </c>
    </row>
    <row r="300" spans="1:72" x14ac:dyDescent="0.15">
      <c r="A300" t="s">
        <v>72</v>
      </c>
      <c r="B300" t="s">
        <v>6315</v>
      </c>
      <c r="C300" t="s">
        <v>74</v>
      </c>
      <c r="D300" t="s">
        <v>74</v>
      </c>
      <c r="E300" t="s">
        <v>74</v>
      </c>
      <c r="F300" t="s">
        <v>6316</v>
      </c>
      <c r="G300" t="s">
        <v>74</v>
      </c>
      <c r="H300" t="s">
        <v>74</v>
      </c>
      <c r="I300" t="s">
        <v>6317</v>
      </c>
      <c r="J300" t="s">
        <v>6318</v>
      </c>
      <c r="K300" t="s">
        <v>74</v>
      </c>
      <c r="L300" t="s">
        <v>74</v>
      </c>
      <c r="M300" t="s">
        <v>78</v>
      </c>
      <c r="N300" t="s">
        <v>79</v>
      </c>
      <c r="O300" t="s">
        <v>74</v>
      </c>
      <c r="P300" t="s">
        <v>74</v>
      </c>
      <c r="Q300" t="s">
        <v>74</v>
      </c>
      <c r="R300" t="s">
        <v>74</v>
      </c>
      <c r="S300" t="s">
        <v>74</v>
      </c>
      <c r="T300" t="s">
        <v>6319</v>
      </c>
      <c r="U300" t="s">
        <v>6320</v>
      </c>
      <c r="V300" t="s">
        <v>6321</v>
      </c>
      <c r="W300" t="s">
        <v>6322</v>
      </c>
      <c r="X300" t="s">
        <v>6323</v>
      </c>
      <c r="Y300" t="s">
        <v>6324</v>
      </c>
      <c r="Z300" t="s">
        <v>6325</v>
      </c>
      <c r="AA300" t="s">
        <v>6326</v>
      </c>
      <c r="AB300" t="s">
        <v>6327</v>
      </c>
      <c r="AC300" t="s">
        <v>74</v>
      </c>
      <c r="AD300" t="s">
        <v>74</v>
      </c>
      <c r="AE300" t="s">
        <v>74</v>
      </c>
      <c r="AF300" t="s">
        <v>74</v>
      </c>
      <c r="AG300">
        <v>78</v>
      </c>
      <c r="AH300">
        <v>3</v>
      </c>
      <c r="AI300">
        <v>3</v>
      </c>
      <c r="AJ300">
        <v>0</v>
      </c>
      <c r="AK300">
        <v>8</v>
      </c>
      <c r="AL300" t="s">
        <v>847</v>
      </c>
      <c r="AM300" t="s">
        <v>848</v>
      </c>
      <c r="AN300" t="s">
        <v>849</v>
      </c>
      <c r="AO300" t="s">
        <v>6328</v>
      </c>
      <c r="AP300" t="s">
        <v>6329</v>
      </c>
      <c r="AQ300" t="s">
        <v>74</v>
      </c>
      <c r="AR300" t="s">
        <v>6330</v>
      </c>
      <c r="AS300" t="s">
        <v>6331</v>
      </c>
      <c r="AT300" t="s">
        <v>416</v>
      </c>
      <c r="AU300">
        <v>2022</v>
      </c>
      <c r="AV300">
        <v>296</v>
      </c>
      <c r="AW300" t="s">
        <v>74</v>
      </c>
      <c r="AX300" t="s">
        <v>74</v>
      </c>
      <c r="AY300" t="s">
        <v>74</v>
      </c>
      <c r="AZ300" t="s">
        <v>74</v>
      </c>
      <c r="BA300" t="s">
        <v>74</v>
      </c>
      <c r="BB300" t="s">
        <v>74</v>
      </c>
      <c r="BC300" t="s">
        <v>74</v>
      </c>
      <c r="BD300">
        <v>104549</v>
      </c>
      <c r="BE300" t="s">
        <v>6332</v>
      </c>
      <c r="BF300" t="str">
        <f>HYPERLINK("http://dx.doi.org/10.1016/j.revpalbo.2021.104549","http://dx.doi.org/10.1016/j.revpalbo.2021.104549")</f>
        <v>http://dx.doi.org/10.1016/j.revpalbo.2021.104549</v>
      </c>
      <c r="BG300" t="s">
        <v>74</v>
      </c>
      <c r="BH300" t="s">
        <v>5766</v>
      </c>
      <c r="BI300">
        <v>11</v>
      </c>
      <c r="BJ300" t="s">
        <v>6333</v>
      </c>
      <c r="BK300" t="s">
        <v>101</v>
      </c>
      <c r="BL300" t="s">
        <v>6333</v>
      </c>
      <c r="BM300" t="s">
        <v>6334</v>
      </c>
      <c r="BN300" t="s">
        <v>74</v>
      </c>
      <c r="BO300" t="s">
        <v>2241</v>
      </c>
      <c r="BP300" t="s">
        <v>74</v>
      </c>
      <c r="BQ300" t="s">
        <v>74</v>
      </c>
      <c r="BR300" t="s">
        <v>105</v>
      </c>
      <c r="BS300" t="s">
        <v>6335</v>
      </c>
      <c r="BT300" t="str">
        <f>HYPERLINK("https%3A%2F%2Fwww.webofscience.com%2Fwos%2Fwoscc%2Ffull-record%2FWOS:000712324400006","View Full Record in Web of Science")</f>
        <v>View Full Record in Web of Science</v>
      </c>
    </row>
    <row r="301" spans="1:72" x14ac:dyDescent="0.15">
      <c r="A301" t="s">
        <v>72</v>
      </c>
      <c r="B301" t="s">
        <v>6336</v>
      </c>
      <c r="C301" t="s">
        <v>74</v>
      </c>
      <c r="D301" t="s">
        <v>74</v>
      </c>
      <c r="E301" t="s">
        <v>74</v>
      </c>
      <c r="F301" t="s">
        <v>6337</v>
      </c>
      <c r="G301" t="s">
        <v>74</v>
      </c>
      <c r="H301" t="s">
        <v>74</v>
      </c>
      <c r="I301" t="s">
        <v>6338</v>
      </c>
      <c r="J301" t="s">
        <v>6339</v>
      </c>
      <c r="K301" t="s">
        <v>74</v>
      </c>
      <c r="L301" t="s">
        <v>74</v>
      </c>
      <c r="M301" t="s">
        <v>78</v>
      </c>
      <c r="N301" t="s">
        <v>79</v>
      </c>
      <c r="O301" t="s">
        <v>74</v>
      </c>
      <c r="P301" t="s">
        <v>74</v>
      </c>
      <c r="Q301" t="s">
        <v>74</v>
      </c>
      <c r="R301" t="s">
        <v>74</v>
      </c>
      <c r="S301" t="s">
        <v>74</v>
      </c>
      <c r="T301" t="s">
        <v>6340</v>
      </c>
      <c r="U301" t="s">
        <v>6341</v>
      </c>
      <c r="V301" t="s">
        <v>6342</v>
      </c>
      <c r="W301" t="s">
        <v>6343</v>
      </c>
      <c r="X301" t="s">
        <v>6344</v>
      </c>
      <c r="Y301" t="s">
        <v>6345</v>
      </c>
      <c r="Z301" t="s">
        <v>6346</v>
      </c>
      <c r="AA301" t="s">
        <v>74</v>
      </c>
      <c r="AB301" t="s">
        <v>6347</v>
      </c>
      <c r="AC301" t="s">
        <v>6348</v>
      </c>
      <c r="AD301" t="s">
        <v>6348</v>
      </c>
      <c r="AE301" t="s">
        <v>6349</v>
      </c>
      <c r="AF301" t="s">
        <v>74</v>
      </c>
      <c r="AG301">
        <v>40</v>
      </c>
      <c r="AH301">
        <v>14</v>
      </c>
      <c r="AI301">
        <v>17</v>
      </c>
      <c r="AJ301">
        <v>0</v>
      </c>
      <c r="AK301">
        <v>16</v>
      </c>
      <c r="AL301" t="s">
        <v>6350</v>
      </c>
      <c r="AM301" t="s">
        <v>6351</v>
      </c>
      <c r="AN301" t="s">
        <v>6352</v>
      </c>
      <c r="AO301" t="s">
        <v>6353</v>
      </c>
      <c r="AP301" t="s">
        <v>6354</v>
      </c>
      <c r="AQ301" t="s">
        <v>74</v>
      </c>
      <c r="AR301" t="s">
        <v>6355</v>
      </c>
      <c r="AS301" t="s">
        <v>6356</v>
      </c>
      <c r="AT301" t="s">
        <v>6063</v>
      </c>
      <c r="AU301">
        <v>2021</v>
      </c>
      <c r="AV301">
        <v>677</v>
      </c>
      <c r="AW301" t="s">
        <v>74</v>
      </c>
      <c r="AX301" t="s">
        <v>74</v>
      </c>
      <c r="AY301" t="s">
        <v>74</v>
      </c>
      <c r="AZ301" t="s">
        <v>74</v>
      </c>
      <c r="BA301" t="s">
        <v>74</v>
      </c>
      <c r="BB301">
        <v>209</v>
      </c>
      <c r="BC301">
        <v>217</v>
      </c>
      <c r="BD301" t="s">
        <v>74</v>
      </c>
      <c r="BE301" t="s">
        <v>6357</v>
      </c>
      <c r="BF301" t="str">
        <f>HYPERLINK("http://dx.doi.org/10.3354/meps13866","http://dx.doi.org/10.3354/meps13866")</f>
        <v>http://dx.doi.org/10.3354/meps13866</v>
      </c>
      <c r="BG301" t="s">
        <v>74</v>
      </c>
      <c r="BH301" t="s">
        <v>74</v>
      </c>
      <c r="BI301">
        <v>9</v>
      </c>
      <c r="BJ301" t="s">
        <v>6358</v>
      </c>
      <c r="BK301" t="s">
        <v>101</v>
      </c>
      <c r="BL301" t="s">
        <v>6359</v>
      </c>
      <c r="BM301" t="s">
        <v>6360</v>
      </c>
      <c r="BN301" t="s">
        <v>74</v>
      </c>
      <c r="BO301" t="s">
        <v>1471</v>
      </c>
      <c r="BP301" t="s">
        <v>74</v>
      </c>
      <c r="BQ301" t="s">
        <v>74</v>
      </c>
      <c r="BR301" t="s">
        <v>105</v>
      </c>
      <c r="BS301" t="s">
        <v>6361</v>
      </c>
      <c r="BT301" t="str">
        <f>HYPERLINK("https%3A%2F%2Fwww.webofscience.com%2Fwos%2Fwoscc%2Ffull-record%2FWOS:000713846700014","View Full Record in Web of Science")</f>
        <v>View Full Record in Web of Science</v>
      </c>
    </row>
    <row r="302" spans="1:72" x14ac:dyDescent="0.15">
      <c r="A302" t="s">
        <v>72</v>
      </c>
      <c r="B302" t="s">
        <v>6362</v>
      </c>
      <c r="C302" t="s">
        <v>74</v>
      </c>
      <c r="D302" t="s">
        <v>74</v>
      </c>
      <c r="E302" t="s">
        <v>74</v>
      </c>
      <c r="F302" t="s">
        <v>6363</v>
      </c>
      <c r="G302" t="s">
        <v>74</v>
      </c>
      <c r="H302" t="s">
        <v>74</v>
      </c>
      <c r="I302" t="s">
        <v>6364</v>
      </c>
      <c r="J302" t="s">
        <v>6365</v>
      </c>
      <c r="K302" t="s">
        <v>74</v>
      </c>
      <c r="L302" t="s">
        <v>74</v>
      </c>
      <c r="M302" t="s">
        <v>78</v>
      </c>
      <c r="N302" t="s">
        <v>79</v>
      </c>
      <c r="O302" t="s">
        <v>74</v>
      </c>
      <c r="P302" t="s">
        <v>74</v>
      </c>
      <c r="Q302" t="s">
        <v>74</v>
      </c>
      <c r="R302" t="s">
        <v>74</v>
      </c>
      <c r="S302" t="s">
        <v>74</v>
      </c>
      <c r="T302" t="s">
        <v>74</v>
      </c>
      <c r="U302" t="s">
        <v>6366</v>
      </c>
      <c r="V302" t="s">
        <v>6367</v>
      </c>
      <c r="W302" t="s">
        <v>6368</v>
      </c>
      <c r="X302" t="s">
        <v>6369</v>
      </c>
      <c r="Y302" t="s">
        <v>6370</v>
      </c>
      <c r="Z302" t="s">
        <v>6371</v>
      </c>
      <c r="AA302" t="s">
        <v>6372</v>
      </c>
      <c r="AB302" t="s">
        <v>6373</v>
      </c>
      <c r="AC302" t="s">
        <v>6374</v>
      </c>
      <c r="AD302" t="s">
        <v>6374</v>
      </c>
      <c r="AE302" t="s">
        <v>6375</v>
      </c>
      <c r="AF302" t="s">
        <v>74</v>
      </c>
      <c r="AG302">
        <v>63</v>
      </c>
      <c r="AH302">
        <v>4</v>
      </c>
      <c r="AI302">
        <v>4</v>
      </c>
      <c r="AJ302">
        <v>0</v>
      </c>
      <c r="AK302">
        <v>11</v>
      </c>
      <c r="AL302" t="s">
        <v>492</v>
      </c>
      <c r="AM302" t="s">
        <v>493</v>
      </c>
      <c r="AN302" t="s">
        <v>494</v>
      </c>
      <c r="AO302" t="s">
        <v>74</v>
      </c>
      <c r="AP302" t="s">
        <v>6376</v>
      </c>
      <c r="AQ302" t="s">
        <v>74</v>
      </c>
      <c r="AR302" t="s">
        <v>6377</v>
      </c>
      <c r="AS302" t="s">
        <v>6378</v>
      </c>
      <c r="AT302" t="s">
        <v>6063</v>
      </c>
      <c r="AU302">
        <v>2021</v>
      </c>
      <c r="AV302">
        <v>4</v>
      </c>
      <c r="AW302">
        <v>1</v>
      </c>
      <c r="AX302" t="s">
        <v>74</v>
      </c>
      <c r="AY302" t="s">
        <v>74</v>
      </c>
      <c r="AZ302" t="s">
        <v>74</v>
      </c>
      <c r="BA302" t="s">
        <v>74</v>
      </c>
      <c r="BB302" t="s">
        <v>74</v>
      </c>
      <c r="BC302" t="s">
        <v>74</v>
      </c>
      <c r="BD302">
        <v>1232</v>
      </c>
      <c r="BE302" t="s">
        <v>6379</v>
      </c>
      <c r="BF302" t="str">
        <f>HYPERLINK("http://dx.doi.org/10.1038/s42003-021-02778-8","http://dx.doi.org/10.1038/s42003-021-02778-8")</f>
        <v>http://dx.doi.org/10.1038/s42003-021-02778-8</v>
      </c>
      <c r="BG302" t="s">
        <v>74</v>
      </c>
      <c r="BH302" t="s">
        <v>74</v>
      </c>
      <c r="BI302">
        <v>8</v>
      </c>
      <c r="BJ302" t="s">
        <v>6380</v>
      </c>
      <c r="BK302" t="s">
        <v>101</v>
      </c>
      <c r="BL302" t="s">
        <v>6381</v>
      </c>
      <c r="BM302" t="s">
        <v>6382</v>
      </c>
      <c r="BN302">
        <v>34711923</v>
      </c>
      <c r="BO302" t="s">
        <v>394</v>
      </c>
      <c r="BP302" t="s">
        <v>74</v>
      </c>
      <c r="BQ302" t="s">
        <v>74</v>
      </c>
      <c r="BR302" t="s">
        <v>105</v>
      </c>
      <c r="BS302" t="s">
        <v>6383</v>
      </c>
      <c r="BT302" t="str">
        <f>HYPERLINK("https%3A%2F%2Fwww.webofscience.com%2Fwos%2Fwoscc%2Ffull-record%2FWOS:000712434100005","View Full Record in Web of Science")</f>
        <v>View Full Record in Web of Science</v>
      </c>
    </row>
    <row r="303" spans="1:72" x14ac:dyDescent="0.15">
      <c r="A303" t="s">
        <v>72</v>
      </c>
      <c r="B303" t="s">
        <v>6384</v>
      </c>
      <c r="C303" t="s">
        <v>74</v>
      </c>
      <c r="D303" t="s">
        <v>74</v>
      </c>
      <c r="E303" t="s">
        <v>74</v>
      </c>
      <c r="F303" t="s">
        <v>6385</v>
      </c>
      <c r="G303" t="s">
        <v>74</v>
      </c>
      <c r="H303" t="s">
        <v>74</v>
      </c>
      <c r="I303" t="s">
        <v>6386</v>
      </c>
      <c r="J303" t="s">
        <v>1058</v>
      </c>
      <c r="K303" t="s">
        <v>74</v>
      </c>
      <c r="L303" t="s">
        <v>74</v>
      </c>
      <c r="M303" t="s">
        <v>78</v>
      </c>
      <c r="N303" t="s">
        <v>79</v>
      </c>
      <c r="O303" t="s">
        <v>74</v>
      </c>
      <c r="P303" t="s">
        <v>74</v>
      </c>
      <c r="Q303" t="s">
        <v>74</v>
      </c>
      <c r="R303" t="s">
        <v>74</v>
      </c>
      <c r="S303" t="s">
        <v>74</v>
      </c>
      <c r="T303" t="s">
        <v>74</v>
      </c>
      <c r="U303" t="s">
        <v>6387</v>
      </c>
      <c r="V303" t="s">
        <v>6388</v>
      </c>
      <c r="W303" t="s">
        <v>6389</v>
      </c>
      <c r="X303" t="s">
        <v>6390</v>
      </c>
      <c r="Y303" t="s">
        <v>6391</v>
      </c>
      <c r="Z303" t="s">
        <v>6392</v>
      </c>
      <c r="AA303" t="s">
        <v>6393</v>
      </c>
      <c r="AB303" t="s">
        <v>6394</v>
      </c>
      <c r="AC303" t="s">
        <v>6395</v>
      </c>
      <c r="AD303" t="s">
        <v>6396</v>
      </c>
      <c r="AE303" t="s">
        <v>6397</v>
      </c>
      <c r="AF303" t="s">
        <v>74</v>
      </c>
      <c r="AG303">
        <v>80</v>
      </c>
      <c r="AH303">
        <v>7</v>
      </c>
      <c r="AI303">
        <v>7</v>
      </c>
      <c r="AJ303">
        <v>4</v>
      </c>
      <c r="AK303">
        <v>13</v>
      </c>
      <c r="AL303" t="s">
        <v>227</v>
      </c>
      <c r="AM303" t="s">
        <v>228</v>
      </c>
      <c r="AN303" t="s">
        <v>229</v>
      </c>
      <c r="AO303" t="s">
        <v>1065</v>
      </c>
      <c r="AP303" t="s">
        <v>1066</v>
      </c>
      <c r="AQ303" t="s">
        <v>74</v>
      </c>
      <c r="AR303" t="s">
        <v>1058</v>
      </c>
      <c r="AS303" t="s">
        <v>1067</v>
      </c>
      <c r="AT303" t="s">
        <v>6063</v>
      </c>
      <c r="AU303">
        <v>2021</v>
      </c>
      <c r="AV303">
        <v>15</v>
      </c>
      <c r="AW303">
        <v>10</v>
      </c>
      <c r="AX303" t="s">
        <v>74</v>
      </c>
      <c r="AY303" t="s">
        <v>74</v>
      </c>
      <c r="AZ303" t="s">
        <v>74</v>
      </c>
      <c r="BA303" t="s">
        <v>74</v>
      </c>
      <c r="BB303">
        <v>4981</v>
      </c>
      <c r="BC303">
        <v>4998</v>
      </c>
      <c r="BD303" t="s">
        <v>74</v>
      </c>
      <c r="BE303" t="s">
        <v>6398</v>
      </c>
      <c r="BF303" t="str">
        <f>HYPERLINK("http://dx.doi.org/10.5194/tc-15-4981-2021","http://dx.doi.org/10.5194/tc-15-4981-2021")</f>
        <v>http://dx.doi.org/10.5194/tc-15-4981-2021</v>
      </c>
      <c r="BG303" t="s">
        <v>74</v>
      </c>
      <c r="BH303" t="s">
        <v>74</v>
      </c>
      <c r="BI303">
        <v>18</v>
      </c>
      <c r="BJ303" t="s">
        <v>340</v>
      </c>
      <c r="BK303" t="s">
        <v>101</v>
      </c>
      <c r="BL303" t="s">
        <v>341</v>
      </c>
      <c r="BM303" t="s">
        <v>6399</v>
      </c>
      <c r="BN303" t="s">
        <v>74</v>
      </c>
      <c r="BO303" t="s">
        <v>239</v>
      </c>
      <c r="BP303" t="s">
        <v>74</v>
      </c>
      <c r="BQ303" t="s">
        <v>74</v>
      </c>
      <c r="BR303" t="s">
        <v>105</v>
      </c>
      <c r="BS303" t="s">
        <v>6400</v>
      </c>
      <c r="BT303" t="str">
        <f>HYPERLINK("https%3A%2F%2Fwww.webofscience.com%2Fwos%2Fwoscc%2Ffull-record%2FWOS:000712040600001","View Full Record in Web of Science")</f>
        <v>View Full Record in Web of Science</v>
      </c>
    </row>
    <row r="304" spans="1:72" x14ac:dyDescent="0.15">
      <c r="A304" t="s">
        <v>72</v>
      </c>
      <c r="B304" t="s">
        <v>6401</v>
      </c>
      <c r="C304" t="s">
        <v>74</v>
      </c>
      <c r="D304" t="s">
        <v>74</v>
      </c>
      <c r="E304" t="s">
        <v>74</v>
      </c>
      <c r="F304" t="s">
        <v>6402</v>
      </c>
      <c r="G304" t="s">
        <v>74</v>
      </c>
      <c r="H304" t="s">
        <v>74</v>
      </c>
      <c r="I304" t="s">
        <v>6403</v>
      </c>
      <c r="J304" t="s">
        <v>3558</v>
      </c>
      <c r="K304" t="s">
        <v>74</v>
      </c>
      <c r="L304" t="s">
        <v>74</v>
      </c>
      <c r="M304" t="s">
        <v>78</v>
      </c>
      <c r="N304" t="s">
        <v>79</v>
      </c>
      <c r="O304" t="s">
        <v>74</v>
      </c>
      <c r="P304" t="s">
        <v>74</v>
      </c>
      <c r="Q304" t="s">
        <v>74</v>
      </c>
      <c r="R304" t="s">
        <v>74</v>
      </c>
      <c r="S304" t="s">
        <v>74</v>
      </c>
      <c r="T304" t="s">
        <v>74</v>
      </c>
      <c r="U304" t="s">
        <v>6404</v>
      </c>
      <c r="V304" t="s">
        <v>6405</v>
      </c>
      <c r="W304" t="s">
        <v>6406</v>
      </c>
      <c r="X304" t="s">
        <v>6407</v>
      </c>
      <c r="Y304" t="s">
        <v>6408</v>
      </c>
      <c r="Z304" t="s">
        <v>6409</v>
      </c>
      <c r="AA304" t="s">
        <v>6410</v>
      </c>
      <c r="AB304" t="s">
        <v>6411</v>
      </c>
      <c r="AC304" t="s">
        <v>6412</v>
      </c>
      <c r="AD304" t="s">
        <v>6413</v>
      </c>
      <c r="AE304" t="s">
        <v>6414</v>
      </c>
      <c r="AF304" t="s">
        <v>74</v>
      </c>
      <c r="AG304">
        <v>57</v>
      </c>
      <c r="AH304">
        <v>7</v>
      </c>
      <c r="AI304">
        <v>8</v>
      </c>
      <c r="AJ304">
        <v>1</v>
      </c>
      <c r="AK304">
        <v>18</v>
      </c>
      <c r="AL304" t="s">
        <v>572</v>
      </c>
      <c r="AM304" t="s">
        <v>573</v>
      </c>
      <c r="AN304" t="s">
        <v>574</v>
      </c>
      <c r="AO304" t="s">
        <v>3570</v>
      </c>
      <c r="AP304" t="s">
        <v>3571</v>
      </c>
      <c r="AQ304" t="s">
        <v>74</v>
      </c>
      <c r="AR304" t="s">
        <v>3572</v>
      </c>
      <c r="AS304" t="s">
        <v>3573</v>
      </c>
      <c r="AT304" t="s">
        <v>98</v>
      </c>
      <c r="AU304">
        <v>2021</v>
      </c>
      <c r="AV304">
        <v>66</v>
      </c>
      <c r="AW304">
        <v>12</v>
      </c>
      <c r="AX304" t="s">
        <v>74</v>
      </c>
      <c r="AY304" t="s">
        <v>74</v>
      </c>
      <c r="AZ304" t="s">
        <v>74</v>
      </c>
      <c r="BA304" t="s">
        <v>74</v>
      </c>
      <c r="BB304">
        <v>4347</v>
      </c>
      <c r="BC304">
        <v>4362</v>
      </c>
      <c r="BD304" t="s">
        <v>74</v>
      </c>
      <c r="BE304" t="s">
        <v>6415</v>
      </c>
      <c r="BF304" t="str">
        <f>HYPERLINK("http://dx.doi.org/10.1002/lno.11965","http://dx.doi.org/10.1002/lno.11965")</f>
        <v>http://dx.doi.org/10.1002/lno.11965</v>
      </c>
      <c r="BG304" t="s">
        <v>74</v>
      </c>
      <c r="BH304" t="s">
        <v>5766</v>
      </c>
      <c r="BI304">
        <v>16</v>
      </c>
      <c r="BJ304" t="s">
        <v>3575</v>
      </c>
      <c r="BK304" t="s">
        <v>101</v>
      </c>
      <c r="BL304" t="s">
        <v>3136</v>
      </c>
      <c r="BM304" t="s">
        <v>6416</v>
      </c>
      <c r="BN304" t="s">
        <v>74</v>
      </c>
      <c r="BO304" t="s">
        <v>180</v>
      </c>
      <c r="BP304" t="s">
        <v>74</v>
      </c>
      <c r="BQ304" t="s">
        <v>74</v>
      </c>
      <c r="BR304" t="s">
        <v>105</v>
      </c>
      <c r="BS304" t="s">
        <v>6417</v>
      </c>
      <c r="BT304" t="str">
        <f>HYPERLINK("https%3A%2F%2Fwww.webofscience.com%2Fwos%2Fwoscc%2Ffull-record%2FWOS:000711837600001","View Full Record in Web of Science")</f>
        <v>View Full Record in Web of Science</v>
      </c>
    </row>
    <row r="305" spans="1:72" x14ac:dyDescent="0.15">
      <c r="A305" t="s">
        <v>72</v>
      </c>
      <c r="B305" t="s">
        <v>6418</v>
      </c>
      <c r="C305" t="s">
        <v>74</v>
      </c>
      <c r="D305" t="s">
        <v>74</v>
      </c>
      <c r="E305" t="s">
        <v>74</v>
      </c>
      <c r="F305" t="s">
        <v>6419</v>
      </c>
      <c r="G305" t="s">
        <v>74</v>
      </c>
      <c r="H305" t="s">
        <v>74</v>
      </c>
      <c r="I305" t="s">
        <v>6420</v>
      </c>
      <c r="J305" t="s">
        <v>1234</v>
      </c>
      <c r="K305" t="s">
        <v>74</v>
      </c>
      <c r="L305" t="s">
        <v>74</v>
      </c>
      <c r="M305" t="s">
        <v>78</v>
      </c>
      <c r="N305" t="s">
        <v>79</v>
      </c>
      <c r="O305" t="s">
        <v>74</v>
      </c>
      <c r="P305" t="s">
        <v>74</v>
      </c>
      <c r="Q305" t="s">
        <v>74</v>
      </c>
      <c r="R305" t="s">
        <v>74</v>
      </c>
      <c r="S305" t="s">
        <v>74</v>
      </c>
      <c r="T305" t="s">
        <v>6421</v>
      </c>
      <c r="U305" t="s">
        <v>6422</v>
      </c>
      <c r="V305" t="s">
        <v>6423</v>
      </c>
      <c r="W305" t="s">
        <v>6424</v>
      </c>
      <c r="X305" t="s">
        <v>6425</v>
      </c>
      <c r="Y305" t="s">
        <v>6426</v>
      </c>
      <c r="Z305" t="s">
        <v>6427</v>
      </c>
      <c r="AA305" t="s">
        <v>74</v>
      </c>
      <c r="AB305" t="s">
        <v>6428</v>
      </c>
      <c r="AC305" t="s">
        <v>6429</v>
      </c>
      <c r="AD305" t="s">
        <v>6429</v>
      </c>
      <c r="AE305" t="s">
        <v>6430</v>
      </c>
      <c r="AF305" t="s">
        <v>74</v>
      </c>
      <c r="AG305">
        <v>96</v>
      </c>
      <c r="AH305">
        <v>7</v>
      </c>
      <c r="AI305">
        <v>7</v>
      </c>
      <c r="AJ305">
        <v>5</v>
      </c>
      <c r="AK305">
        <v>23</v>
      </c>
      <c r="AL305" t="s">
        <v>383</v>
      </c>
      <c r="AM305" t="s">
        <v>384</v>
      </c>
      <c r="AN305" t="s">
        <v>385</v>
      </c>
      <c r="AO305" t="s">
        <v>74</v>
      </c>
      <c r="AP305" t="s">
        <v>1243</v>
      </c>
      <c r="AQ305" t="s">
        <v>74</v>
      </c>
      <c r="AR305" t="s">
        <v>1244</v>
      </c>
      <c r="AS305" t="s">
        <v>1245</v>
      </c>
      <c r="AT305" t="s">
        <v>6063</v>
      </c>
      <c r="AU305">
        <v>2021</v>
      </c>
      <c r="AV305">
        <v>12</v>
      </c>
      <c r="AW305" t="s">
        <v>74</v>
      </c>
      <c r="AX305" t="s">
        <v>74</v>
      </c>
      <c r="AY305" t="s">
        <v>74</v>
      </c>
      <c r="AZ305" t="s">
        <v>74</v>
      </c>
      <c r="BA305" t="s">
        <v>74</v>
      </c>
      <c r="BB305" t="s">
        <v>74</v>
      </c>
      <c r="BC305" t="s">
        <v>74</v>
      </c>
      <c r="BD305">
        <v>745915</v>
      </c>
      <c r="BE305" t="s">
        <v>6431</v>
      </c>
      <c r="BF305" t="str">
        <f>HYPERLINK("http://dx.doi.org/10.3389/fmicb.2021.745915","http://dx.doi.org/10.3389/fmicb.2021.745915")</f>
        <v>http://dx.doi.org/10.3389/fmicb.2021.745915</v>
      </c>
      <c r="BG305" t="s">
        <v>74</v>
      </c>
      <c r="BH305" t="s">
        <v>74</v>
      </c>
      <c r="BI305">
        <v>14</v>
      </c>
      <c r="BJ305" t="s">
        <v>975</v>
      </c>
      <c r="BK305" t="s">
        <v>101</v>
      </c>
      <c r="BL305" t="s">
        <v>975</v>
      </c>
      <c r="BM305" t="s">
        <v>6432</v>
      </c>
      <c r="BN305">
        <v>34777294</v>
      </c>
      <c r="BO305" t="s">
        <v>394</v>
      </c>
      <c r="BP305" t="s">
        <v>74</v>
      </c>
      <c r="BQ305" t="s">
        <v>74</v>
      </c>
      <c r="BR305" t="s">
        <v>105</v>
      </c>
      <c r="BS305" t="s">
        <v>6433</v>
      </c>
      <c r="BT305" t="str">
        <f>HYPERLINK("https%3A%2F%2Fwww.webofscience.com%2Fwos%2Fwoscc%2Ffull-record%2FWOS:000717703200001","View Full Record in Web of Science")</f>
        <v>View Full Record in Web of Science</v>
      </c>
    </row>
    <row r="306" spans="1:72" x14ac:dyDescent="0.15">
      <c r="A306" t="s">
        <v>72</v>
      </c>
      <c r="B306" t="s">
        <v>6434</v>
      </c>
      <c r="C306" t="s">
        <v>74</v>
      </c>
      <c r="D306" t="s">
        <v>74</v>
      </c>
      <c r="E306" t="s">
        <v>74</v>
      </c>
      <c r="F306" t="s">
        <v>6435</v>
      </c>
      <c r="G306" t="s">
        <v>74</v>
      </c>
      <c r="H306" t="s">
        <v>74</v>
      </c>
      <c r="I306" t="s">
        <v>6436</v>
      </c>
      <c r="J306" t="s">
        <v>747</v>
      </c>
      <c r="K306" t="s">
        <v>74</v>
      </c>
      <c r="L306" t="s">
        <v>74</v>
      </c>
      <c r="M306" t="s">
        <v>78</v>
      </c>
      <c r="N306" t="s">
        <v>79</v>
      </c>
      <c r="O306" t="s">
        <v>74</v>
      </c>
      <c r="P306" t="s">
        <v>74</v>
      </c>
      <c r="Q306" t="s">
        <v>74</v>
      </c>
      <c r="R306" t="s">
        <v>74</v>
      </c>
      <c r="S306" t="s">
        <v>74</v>
      </c>
      <c r="T306" t="s">
        <v>6437</v>
      </c>
      <c r="U306" t="s">
        <v>6438</v>
      </c>
      <c r="V306" t="s">
        <v>6439</v>
      </c>
      <c r="W306" t="s">
        <v>6440</v>
      </c>
      <c r="X306" t="s">
        <v>6441</v>
      </c>
      <c r="Y306" t="s">
        <v>6442</v>
      </c>
      <c r="Z306" t="s">
        <v>6443</v>
      </c>
      <c r="AA306" t="s">
        <v>6444</v>
      </c>
      <c r="AB306" t="s">
        <v>6445</v>
      </c>
      <c r="AC306" t="s">
        <v>6446</v>
      </c>
      <c r="AD306" t="s">
        <v>6447</v>
      </c>
      <c r="AE306" t="s">
        <v>6448</v>
      </c>
      <c r="AF306" t="s">
        <v>74</v>
      </c>
      <c r="AG306">
        <v>43</v>
      </c>
      <c r="AH306">
        <v>15</v>
      </c>
      <c r="AI306">
        <v>15</v>
      </c>
      <c r="AJ306">
        <v>15</v>
      </c>
      <c r="AK306">
        <v>56</v>
      </c>
      <c r="AL306" t="s">
        <v>760</v>
      </c>
      <c r="AM306" t="s">
        <v>438</v>
      </c>
      <c r="AN306" t="s">
        <v>761</v>
      </c>
      <c r="AO306" t="s">
        <v>762</v>
      </c>
      <c r="AP306" t="s">
        <v>763</v>
      </c>
      <c r="AQ306" t="s">
        <v>74</v>
      </c>
      <c r="AR306" t="s">
        <v>764</v>
      </c>
      <c r="AS306" t="s">
        <v>765</v>
      </c>
      <c r="AT306" t="s">
        <v>6063</v>
      </c>
      <c r="AU306">
        <v>2021</v>
      </c>
      <c r="AV306">
        <v>48</v>
      </c>
      <c r="AW306">
        <v>20</v>
      </c>
      <c r="AX306" t="s">
        <v>74</v>
      </c>
      <c r="AY306" t="s">
        <v>74</v>
      </c>
      <c r="AZ306" t="s">
        <v>74</v>
      </c>
      <c r="BA306" t="s">
        <v>74</v>
      </c>
      <c r="BB306" t="s">
        <v>74</v>
      </c>
      <c r="BC306" t="s">
        <v>74</v>
      </c>
      <c r="BD306" t="s">
        <v>6449</v>
      </c>
      <c r="BE306" t="s">
        <v>6450</v>
      </c>
      <c r="BF306" t="str">
        <f>HYPERLINK("http://dx.doi.org/10.1029/2021GL093425","http://dx.doi.org/10.1029/2021GL093425")</f>
        <v>http://dx.doi.org/10.1029/2021GL093425</v>
      </c>
      <c r="BG306" t="s">
        <v>74</v>
      </c>
      <c r="BH306" t="s">
        <v>74</v>
      </c>
      <c r="BI306">
        <v>12</v>
      </c>
      <c r="BJ306" t="s">
        <v>236</v>
      </c>
      <c r="BK306" t="s">
        <v>101</v>
      </c>
      <c r="BL306" t="s">
        <v>237</v>
      </c>
      <c r="BM306" t="s">
        <v>6066</v>
      </c>
      <c r="BN306" t="s">
        <v>74</v>
      </c>
      <c r="BO306" t="s">
        <v>74</v>
      </c>
      <c r="BP306" t="s">
        <v>74</v>
      </c>
      <c r="BQ306" t="s">
        <v>74</v>
      </c>
      <c r="BR306" t="s">
        <v>105</v>
      </c>
      <c r="BS306" t="s">
        <v>6451</v>
      </c>
      <c r="BT306" t="str">
        <f>HYPERLINK("https%3A%2F%2Fwww.webofscience.com%2Fwos%2Fwoscc%2Ffull-record%2FWOS:000747834500013","View Full Record in Web of Science")</f>
        <v>View Full Record in Web of Science</v>
      </c>
    </row>
    <row r="307" spans="1:72" x14ac:dyDescent="0.15">
      <c r="A307" t="s">
        <v>72</v>
      </c>
      <c r="B307" t="s">
        <v>6452</v>
      </c>
      <c r="C307" t="s">
        <v>74</v>
      </c>
      <c r="D307" t="s">
        <v>74</v>
      </c>
      <c r="E307" t="s">
        <v>74</v>
      </c>
      <c r="F307" t="s">
        <v>6453</v>
      </c>
      <c r="G307" t="s">
        <v>74</v>
      </c>
      <c r="H307" t="s">
        <v>74</v>
      </c>
      <c r="I307" t="s">
        <v>6454</v>
      </c>
      <c r="J307" t="s">
        <v>725</v>
      </c>
      <c r="K307" t="s">
        <v>74</v>
      </c>
      <c r="L307" t="s">
        <v>74</v>
      </c>
      <c r="M307" t="s">
        <v>78</v>
      </c>
      <c r="N307" t="s">
        <v>79</v>
      </c>
      <c r="O307" t="s">
        <v>74</v>
      </c>
      <c r="P307" t="s">
        <v>74</v>
      </c>
      <c r="Q307" t="s">
        <v>74</v>
      </c>
      <c r="R307" t="s">
        <v>74</v>
      </c>
      <c r="S307" t="s">
        <v>74</v>
      </c>
      <c r="T307" t="s">
        <v>74</v>
      </c>
      <c r="U307" t="s">
        <v>6455</v>
      </c>
      <c r="V307" t="s">
        <v>6456</v>
      </c>
      <c r="W307" t="s">
        <v>6457</v>
      </c>
      <c r="X307" t="s">
        <v>6458</v>
      </c>
      <c r="Y307" t="s">
        <v>6459</v>
      </c>
      <c r="Z307" t="s">
        <v>6460</v>
      </c>
      <c r="AA307" t="s">
        <v>6461</v>
      </c>
      <c r="AB307" t="s">
        <v>6462</v>
      </c>
      <c r="AC307" t="s">
        <v>6463</v>
      </c>
      <c r="AD307" t="s">
        <v>6464</v>
      </c>
      <c r="AE307" t="s">
        <v>6465</v>
      </c>
      <c r="AF307" t="s">
        <v>74</v>
      </c>
      <c r="AG307">
        <v>47</v>
      </c>
      <c r="AH307">
        <v>25</v>
      </c>
      <c r="AI307">
        <v>29</v>
      </c>
      <c r="AJ307">
        <v>4</v>
      </c>
      <c r="AK307">
        <v>44</v>
      </c>
      <c r="AL307" t="s">
        <v>492</v>
      </c>
      <c r="AM307" t="s">
        <v>493</v>
      </c>
      <c r="AN307" t="s">
        <v>494</v>
      </c>
      <c r="AO307" t="s">
        <v>737</v>
      </c>
      <c r="AP307" t="s">
        <v>738</v>
      </c>
      <c r="AQ307" t="s">
        <v>74</v>
      </c>
      <c r="AR307" t="s">
        <v>739</v>
      </c>
      <c r="AS307" t="s">
        <v>740</v>
      </c>
      <c r="AT307" t="s">
        <v>310</v>
      </c>
      <c r="AU307">
        <v>2021</v>
      </c>
      <c r="AV307">
        <v>14</v>
      </c>
      <c r="AW307">
        <v>11</v>
      </c>
      <c r="AX307" t="s">
        <v>74</v>
      </c>
      <c r="AY307" t="s">
        <v>74</v>
      </c>
      <c r="AZ307" t="s">
        <v>74</v>
      </c>
      <c r="BA307" t="s">
        <v>74</v>
      </c>
      <c r="BB307">
        <v>832</v>
      </c>
      <c r="BC307" t="s">
        <v>499</v>
      </c>
      <c r="BD307" t="s">
        <v>74</v>
      </c>
      <c r="BE307" t="s">
        <v>6466</v>
      </c>
      <c r="BF307" t="str">
        <f>HYPERLINK("http://dx.doi.org/10.1038/s41561-021-00841-x","http://dx.doi.org/10.1038/s41561-021-00841-x")</f>
        <v>http://dx.doi.org/10.1038/s41561-021-00841-x</v>
      </c>
      <c r="BG307" t="s">
        <v>74</v>
      </c>
      <c r="BH307" t="s">
        <v>5766</v>
      </c>
      <c r="BI307">
        <v>7</v>
      </c>
      <c r="BJ307" t="s">
        <v>236</v>
      </c>
      <c r="BK307" t="s">
        <v>101</v>
      </c>
      <c r="BL307" t="s">
        <v>237</v>
      </c>
      <c r="BM307" t="s">
        <v>5680</v>
      </c>
      <c r="BN307" t="s">
        <v>74</v>
      </c>
      <c r="BO307" t="s">
        <v>419</v>
      </c>
      <c r="BP307" t="s">
        <v>74</v>
      </c>
      <c r="BQ307" t="s">
        <v>74</v>
      </c>
      <c r="BR307" t="s">
        <v>105</v>
      </c>
      <c r="BS307" t="s">
        <v>6467</v>
      </c>
      <c r="BT307" t="str">
        <f>HYPERLINK("https%3A%2F%2Fwww.webofscience.com%2Fwos%2Fwoscc%2Ffull-record%2FWOS:000712347600002","View Full Record in Web of Science")</f>
        <v>View Full Record in Web of Science</v>
      </c>
    </row>
    <row r="308" spans="1:72" x14ac:dyDescent="0.15">
      <c r="A308" t="s">
        <v>72</v>
      </c>
      <c r="B308" t="s">
        <v>6468</v>
      </c>
      <c r="C308" t="s">
        <v>74</v>
      </c>
      <c r="D308" t="s">
        <v>74</v>
      </c>
      <c r="E308" t="s">
        <v>74</v>
      </c>
      <c r="F308" t="s">
        <v>6469</v>
      </c>
      <c r="G308" t="s">
        <v>74</v>
      </c>
      <c r="H308" t="s">
        <v>74</v>
      </c>
      <c r="I308" t="s">
        <v>6470</v>
      </c>
      <c r="J308" t="s">
        <v>6143</v>
      </c>
      <c r="K308" t="s">
        <v>74</v>
      </c>
      <c r="L308" t="s">
        <v>74</v>
      </c>
      <c r="M308" t="s">
        <v>78</v>
      </c>
      <c r="N308" t="s">
        <v>79</v>
      </c>
      <c r="O308" t="s">
        <v>74</v>
      </c>
      <c r="P308" t="s">
        <v>74</v>
      </c>
      <c r="Q308" t="s">
        <v>74</v>
      </c>
      <c r="R308" t="s">
        <v>74</v>
      </c>
      <c r="S308" t="s">
        <v>74</v>
      </c>
      <c r="T308" t="s">
        <v>6471</v>
      </c>
      <c r="U308" t="s">
        <v>6472</v>
      </c>
      <c r="V308" t="s">
        <v>6473</v>
      </c>
      <c r="W308" t="s">
        <v>6474</v>
      </c>
      <c r="X308" t="s">
        <v>6475</v>
      </c>
      <c r="Y308" t="s">
        <v>6476</v>
      </c>
      <c r="Z308" t="s">
        <v>6477</v>
      </c>
      <c r="AA308" t="s">
        <v>6478</v>
      </c>
      <c r="AB308" t="s">
        <v>6479</v>
      </c>
      <c r="AC308" t="s">
        <v>6480</v>
      </c>
      <c r="AD308" t="s">
        <v>6481</v>
      </c>
      <c r="AE308" t="s">
        <v>6482</v>
      </c>
      <c r="AF308" t="s">
        <v>74</v>
      </c>
      <c r="AG308">
        <v>56</v>
      </c>
      <c r="AH308">
        <v>3</v>
      </c>
      <c r="AI308">
        <v>3</v>
      </c>
      <c r="AJ308">
        <v>2</v>
      </c>
      <c r="AK308">
        <v>15</v>
      </c>
      <c r="AL308" t="s">
        <v>666</v>
      </c>
      <c r="AM308" t="s">
        <v>170</v>
      </c>
      <c r="AN308" t="s">
        <v>667</v>
      </c>
      <c r="AO308" t="s">
        <v>6156</v>
      </c>
      <c r="AP308" t="s">
        <v>6157</v>
      </c>
      <c r="AQ308" t="s">
        <v>74</v>
      </c>
      <c r="AR308" t="s">
        <v>6158</v>
      </c>
      <c r="AS308" t="s">
        <v>6159</v>
      </c>
      <c r="AT308" t="s">
        <v>525</v>
      </c>
      <c r="AU308">
        <v>2022</v>
      </c>
      <c r="AV308">
        <v>34</v>
      </c>
      <c r="AW308">
        <v>1</v>
      </c>
      <c r="AX308" t="s">
        <v>74</v>
      </c>
      <c r="AY308" t="s">
        <v>74</v>
      </c>
      <c r="AZ308" t="s">
        <v>74</v>
      </c>
      <c r="BA308" t="s">
        <v>74</v>
      </c>
      <c r="BB308">
        <v>29</v>
      </c>
      <c r="BC308">
        <v>44</v>
      </c>
      <c r="BD308" t="s">
        <v>6483</v>
      </c>
      <c r="BE308" t="s">
        <v>6484</v>
      </c>
      <c r="BF308" t="str">
        <f>HYPERLINK("http://dx.doi.org/10.1017/S095410202100047X","http://dx.doi.org/10.1017/S095410202100047X")</f>
        <v>http://dx.doi.org/10.1017/S095410202100047X</v>
      </c>
      <c r="BG308" t="s">
        <v>74</v>
      </c>
      <c r="BH308" t="s">
        <v>5766</v>
      </c>
      <c r="BI308">
        <v>16</v>
      </c>
      <c r="BJ308" t="s">
        <v>6161</v>
      </c>
      <c r="BK308" t="s">
        <v>101</v>
      </c>
      <c r="BL308" t="s">
        <v>6162</v>
      </c>
      <c r="BM308" t="s">
        <v>6485</v>
      </c>
      <c r="BN308" t="s">
        <v>74</v>
      </c>
      <c r="BO308" t="s">
        <v>74</v>
      </c>
      <c r="BP308" t="s">
        <v>74</v>
      </c>
      <c r="BQ308" t="s">
        <v>74</v>
      </c>
      <c r="BR308" t="s">
        <v>105</v>
      </c>
      <c r="BS308" t="s">
        <v>6486</v>
      </c>
      <c r="BT308" t="str">
        <f>HYPERLINK("https%3A%2F%2Fwww.webofscience.com%2Fwos%2Fwoscc%2Ffull-record%2FWOS:000737586600001","View Full Record in Web of Science")</f>
        <v>View Full Record in Web of Science</v>
      </c>
    </row>
    <row r="309" spans="1:72" x14ac:dyDescent="0.15">
      <c r="A309" t="s">
        <v>72</v>
      </c>
      <c r="B309" t="s">
        <v>6487</v>
      </c>
      <c r="C309" t="s">
        <v>74</v>
      </c>
      <c r="D309" t="s">
        <v>74</v>
      </c>
      <c r="E309" t="s">
        <v>74</v>
      </c>
      <c r="F309" t="s">
        <v>6488</v>
      </c>
      <c r="G309" t="s">
        <v>74</v>
      </c>
      <c r="H309" t="s">
        <v>74</v>
      </c>
      <c r="I309" t="s">
        <v>6489</v>
      </c>
      <c r="J309" t="s">
        <v>372</v>
      </c>
      <c r="K309" t="s">
        <v>74</v>
      </c>
      <c r="L309" t="s">
        <v>74</v>
      </c>
      <c r="M309" t="s">
        <v>78</v>
      </c>
      <c r="N309" t="s">
        <v>79</v>
      </c>
      <c r="O309" t="s">
        <v>74</v>
      </c>
      <c r="P309" t="s">
        <v>74</v>
      </c>
      <c r="Q309" t="s">
        <v>74</v>
      </c>
      <c r="R309" t="s">
        <v>74</v>
      </c>
      <c r="S309" t="s">
        <v>74</v>
      </c>
      <c r="T309" t="s">
        <v>6490</v>
      </c>
      <c r="U309" t="s">
        <v>6491</v>
      </c>
      <c r="V309" t="s">
        <v>6492</v>
      </c>
      <c r="W309" t="s">
        <v>6493</v>
      </c>
      <c r="X309" t="s">
        <v>6494</v>
      </c>
      <c r="Y309" t="s">
        <v>6495</v>
      </c>
      <c r="Z309" t="s">
        <v>6496</v>
      </c>
      <c r="AA309" t="s">
        <v>6497</v>
      </c>
      <c r="AB309" t="s">
        <v>6498</v>
      </c>
      <c r="AC309" t="s">
        <v>6499</v>
      </c>
      <c r="AD309" t="s">
        <v>6500</v>
      </c>
      <c r="AE309" t="s">
        <v>6501</v>
      </c>
      <c r="AF309" t="s">
        <v>74</v>
      </c>
      <c r="AG309">
        <v>81</v>
      </c>
      <c r="AH309">
        <v>13</v>
      </c>
      <c r="AI309">
        <v>13</v>
      </c>
      <c r="AJ309">
        <v>5</v>
      </c>
      <c r="AK309">
        <v>40</v>
      </c>
      <c r="AL309" t="s">
        <v>383</v>
      </c>
      <c r="AM309" t="s">
        <v>384</v>
      </c>
      <c r="AN309" t="s">
        <v>385</v>
      </c>
      <c r="AO309" t="s">
        <v>74</v>
      </c>
      <c r="AP309" t="s">
        <v>386</v>
      </c>
      <c r="AQ309" t="s">
        <v>74</v>
      </c>
      <c r="AR309" t="s">
        <v>387</v>
      </c>
      <c r="AS309" t="s">
        <v>388</v>
      </c>
      <c r="AT309" t="s">
        <v>6502</v>
      </c>
      <c r="AU309">
        <v>2021</v>
      </c>
      <c r="AV309">
        <v>8</v>
      </c>
      <c r="AW309" t="s">
        <v>74</v>
      </c>
      <c r="AX309" t="s">
        <v>74</v>
      </c>
      <c r="AY309" t="s">
        <v>74</v>
      </c>
      <c r="AZ309" t="s">
        <v>74</v>
      </c>
      <c r="BA309" t="s">
        <v>74</v>
      </c>
      <c r="BB309" t="s">
        <v>74</v>
      </c>
      <c r="BC309" t="s">
        <v>74</v>
      </c>
      <c r="BD309">
        <v>742142</v>
      </c>
      <c r="BE309" t="s">
        <v>6503</v>
      </c>
      <c r="BF309" t="str">
        <f>HYPERLINK("http://dx.doi.org/10.3389/fmars.2021.742142","http://dx.doi.org/10.3389/fmars.2021.742142")</f>
        <v>http://dx.doi.org/10.3389/fmars.2021.742142</v>
      </c>
      <c r="BG309" t="s">
        <v>74</v>
      </c>
      <c r="BH309" t="s">
        <v>74</v>
      </c>
      <c r="BI309">
        <v>17</v>
      </c>
      <c r="BJ309" t="s">
        <v>391</v>
      </c>
      <c r="BK309" t="s">
        <v>101</v>
      </c>
      <c r="BL309" t="s">
        <v>392</v>
      </c>
      <c r="BM309" t="s">
        <v>6504</v>
      </c>
      <c r="BN309" t="s">
        <v>74</v>
      </c>
      <c r="BO309" t="s">
        <v>720</v>
      </c>
      <c r="BP309" t="s">
        <v>74</v>
      </c>
      <c r="BQ309" t="s">
        <v>74</v>
      </c>
      <c r="BR309" t="s">
        <v>105</v>
      </c>
      <c r="BS309" t="s">
        <v>6505</v>
      </c>
      <c r="BT309" t="str">
        <f>HYPERLINK("https%3A%2F%2Fwww.webofscience.com%2Fwos%2Fwoscc%2Ffull-record%2FWOS:000726207900001","View Full Record in Web of Science")</f>
        <v>View Full Record in Web of Science</v>
      </c>
    </row>
    <row r="310" spans="1:72" x14ac:dyDescent="0.15">
      <c r="A310" t="s">
        <v>72</v>
      </c>
      <c r="B310" t="s">
        <v>6506</v>
      </c>
      <c r="C310" t="s">
        <v>74</v>
      </c>
      <c r="D310" t="s">
        <v>74</v>
      </c>
      <c r="E310" t="s">
        <v>74</v>
      </c>
      <c r="F310" t="s">
        <v>6507</v>
      </c>
      <c r="G310" t="s">
        <v>74</v>
      </c>
      <c r="H310" t="s">
        <v>74</v>
      </c>
      <c r="I310" t="s">
        <v>6508</v>
      </c>
      <c r="J310" t="s">
        <v>6509</v>
      </c>
      <c r="K310" t="s">
        <v>74</v>
      </c>
      <c r="L310" t="s">
        <v>74</v>
      </c>
      <c r="M310" t="s">
        <v>78</v>
      </c>
      <c r="N310" t="s">
        <v>373</v>
      </c>
      <c r="O310" t="s">
        <v>74</v>
      </c>
      <c r="P310" t="s">
        <v>74</v>
      </c>
      <c r="Q310" t="s">
        <v>74</v>
      </c>
      <c r="R310" t="s">
        <v>74</v>
      </c>
      <c r="S310" t="s">
        <v>74</v>
      </c>
      <c r="T310" t="s">
        <v>6510</v>
      </c>
      <c r="U310" t="s">
        <v>6511</v>
      </c>
      <c r="V310" t="s">
        <v>6512</v>
      </c>
      <c r="W310" t="s">
        <v>6513</v>
      </c>
      <c r="X310" t="s">
        <v>6514</v>
      </c>
      <c r="Y310" t="s">
        <v>6515</v>
      </c>
      <c r="Z310" t="s">
        <v>6516</v>
      </c>
      <c r="AA310" t="s">
        <v>74</v>
      </c>
      <c r="AB310" t="s">
        <v>6517</v>
      </c>
      <c r="AC310" t="s">
        <v>6518</v>
      </c>
      <c r="AD310" t="s">
        <v>6519</v>
      </c>
      <c r="AE310" t="s">
        <v>6520</v>
      </c>
      <c r="AF310" t="s">
        <v>74</v>
      </c>
      <c r="AG310">
        <v>319</v>
      </c>
      <c r="AH310">
        <v>0</v>
      </c>
      <c r="AI310">
        <v>0</v>
      </c>
      <c r="AJ310">
        <v>1</v>
      </c>
      <c r="AK310">
        <v>16</v>
      </c>
      <c r="AL310" t="s">
        <v>198</v>
      </c>
      <c r="AM310" t="s">
        <v>199</v>
      </c>
      <c r="AN310" t="s">
        <v>200</v>
      </c>
      <c r="AO310" t="s">
        <v>6521</v>
      </c>
      <c r="AP310" t="s">
        <v>6522</v>
      </c>
      <c r="AQ310" t="s">
        <v>74</v>
      </c>
      <c r="AR310" t="s">
        <v>6523</v>
      </c>
      <c r="AS310" t="s">
        <v>6524</v>
      </c>
      <c r="AT310" t="s">
        <v>6525</v>
      </c>
      <c r="AU310">
        <v>2022</v>
      </c>
      <c r="AV310">
        <v>69</v>
      </c>
      <c r="AW310">
        <v>3</v>
      </c>
      <c r="AX310" t="s">
        <v>74</v>
      </c>
      <c r="AY310" t="s">
        <v>74</v>
      </c>
      <c r="AZ310" t="s">
        <v>74</v>
      </c>
      <c r="BA310" t="s">
        <v>74</v>
      </c>
      <c r="BB310">
        <v>305</v>
      </c>
      <c r="BC310">
        <v>382</v>
      </c>
      <c r="BD310" t="s">
        <v>74</v>
      </c>
      <c r="BE310" t="s">
        <v>6526</v>
      </c>
      <c r="BF310" t="str">
        <f>HYPERLINK("http://dx.doi.org/10.1080/08120099.2021.1966835","http://dx.doi.org/10.1080/08120099.2021.1966835")</f>
        <v>http://dx.doi.org/10.1080/08120099.2021.1966835</v>
      </c>
      <c r="BG310" t="s">
        <v>74</v>
      </c>
      <c r="BH310" t="s">
        <v>5766</v>
      </c>
      <c r="BI310">
        <v>78</v>
      </c>
      <c r="BJ310" t="s">
        <v>236</v>
      </c>
      <c r="BK310" t="s">
        <v>101</v>
      </c>
      <c r="BL310" t="s">
        <v>237</v>
      </c>
      <c r="BM310" t="s">
        <v>6527</v>
      </c>
      <c r="BN310" t="s">
        <v>74</v>
      </c>
      <c r="BO310" t="s">
        <v>6528</v>
      </c>
      <c r="BP310" t="s">
        <v>74</v>
      </c>
      <c r="BQ310" t="s">
        <v>74</v>
      </c>
      <c r="BR310" t="s">
        <v>105</v>
      </c>
      <c r="BS310" t="s">
        <v>6529</v>
      </c>
      <c r="BT310" t="str">
        <f>HYPERLINK("https%3A%2F%2Fwww.webofscience.com%2Fwos%2Fwoscc%2Ffull-record%2FWOS:000712376500001","View Full Record in Web of Science")</f>
        <v>View Full Record in Web of Science</v>
      </c>
    </row>
    <row r="311" spans="1:72" x14ac:dyDescent="0.15">
      <c r="A311" t="s">
        <v>72</v>
      </c>
      <c r="B311" t="s">
        <v>6530</v>
      </c>
      <c r="C311" t="s">
        <v>74</v>
      </c>
      <c r="D311" t="s">
        <v>74</v>
      </c>
      <c r="E311" t="s">
        <v>74</v>
      </c>
      <c r="F311" t="s">
        <v>6531</v>
      </c>
      <c r="G311" t="s">
        <v>74</v>
      </c>
      <c r="H311" t="s">
        <v>74</v>
      </c>
      <c r="I311" t="s">
        <v>6532</v>
      </c>
      <c r="J311" t="s">
        <v>372</v>
      </c>
      <c r="K311" t="s">
        <v>74</v>
      </c>
      <c r="L311" t="s">
        <v>74</v>
      </c>
      <c r="M311" t="s">
        <v>78</v>
      </c>
      <c r="N311" t="s">
        <v>79</v>
      </c>
      <c r="O311" t="s">
        <v>74</v>
      </c>
      <c r="P311" t="s">
        <v>74</v>
      </c>
      <c r="Q311" t="s">
        <v>74</v>
      </c>
      <c r="R311" t="s">
        <v>74</v>
      </c>
      <c r="S311" t="s">
        <v>74</v>
      </c>
      <c r="T311" t="s">
        <v>6533</v>
      </c>
      <c r="U311" t="s">
        <v>6534</v>
      </c>
      <c r="V311" t="s">
        <v>6535</v>
      </c>
      <c r="W311" t="s">
        <v>6536</v>
      </c>
      <c r="X311" t="s">
        <v>6537</v>
      </c>
      <c r="Y311" t="s">
        <v>6538</v>
      </c>
      <c r="Z311" t="s">
        <v>6539</v>
      </c>
      <c r="AA311" t="s">
        <v>6540</v>
      </c>
      <c r="AB311" t="s">
        <v>6541</v>
      </c>
      <c r="AC311" t="s">
        <v>6542</v>
      </c>
      <c r="AD311" t="s">
        <v>6543</v>
      </c>
      <c r="AE311" t="s">
        <v>6544</v>
      </c>
      <c r="AF311" t="s">
        <v>74</v>
      </c>
      <c r="AG311">
        <v>107</v>
      </c>
      <c r="AH311">
        <v>8</v>
      </c>
      <c r="AI311">
        <v>8</v>
      </c>
      <c r="AJ311">
        <v>4</v>
      </c>
      <c r="AK311">
        <v>23</v>
      </c>
      <c r="AL311" t="s">
        <v>383</v>
      </c>
      <c r="AM311" t="s">
        <v>384</v>
      </c>
      <c r="AN311" t="s">
        <v>385</v>
      </c>
      <c r="AO311" t="s">
        <v>74</v>
      </c>
      <c r="AP311" t="s">
        <v>386</v>
      </c>
      <c r="AQ311" t="s">
        <v>74</v>
      </c>
      <c r="AR311" t="s">
        <v>387</v>
      </c>
      <c r="AS311" t="s">
        <v>388</v>
      </c>
      <c r="AT311" t="s">
        <v>6502</v>
      </c>
      <c r="AU311">
        <v>2021</v>
      </c>
      <c r="AV311">
        <v>8</v>
      </c>
      <c r="AW311" t="s">
        <v>74</v>
      </c>
      <c r="AX311" t="s">
        <v>74</v>
      </c>
      <c r="AY311" t="s">
        <v>74</v>
      </c>
      <c r="AZ311" t="s">
        <v>74</v>
      </c>
      <c r="BA311" t="s">
        <v>74</v>
      </c>
      <c r="BB311" t="s">
        <v>74</v>
      </c>
      <c r="BC311" t="s">
        <v>74</v>
      </c>
      <c r="BD311">
        <v>749096</v>
      </c>
      <c r="BE311" t="s">
        <v>6545</v>
      </c>
      <c r="BF311" t="str">
        <f>HYPERLINK("http://dx.doi.org/10.3389/fmars.2021.749096","http://dx.doi.org/10.3389/fmars.2021.749096")</f>
        <v>http://dx.doi.org/10.3389/fmars.2021.749096</v>
      </c>
      <c r="BG311" t="s">
        <v>74</v>
      </c>
      <c r="BH311" t="s">
        <v>74</v>
      </c>
      <c r="BI311">
        <v>18</v>
      </c>
      <c r="BJ311" t="s">
        <v>391</v>
      </c>
      <c r="BK311" t="s">
        <v>101</v>
      </c>
      <c r="BL311" t="s">
        <v>392</v>
      </c>
      <c r="BM311" t="s">
        <v>6546</v>
      </c>
      <c r="BN311" t="s">
        <v>74</v>
      </c>
      <c r="BO311" t="s">
        <v>210</v>
      </c>
      <c r="BP311" t="s">
        <v>74</v>
      </c>
      <c r="BQ311" t="s">
        <v>74</v>
      </c>
      <c r="BR311" t="s">
        <v>105</v>
      </c>
      <c r="BS311" t="s">
        <v>6547</v>
      </c>
      <c r="BT311" t="str">
        <f>HYPERLINK("https%3A%2F%2Fwww.webofscience.com%2Fwos%2Fwoscc%2Ffull-record%2FWOS:000717627900001","View Full Record in Web of Science")</f>
        <v>View Full Record in Web of Science</v>
      </c>
    </row>
    <row r="312" spans="1:72" x14ac:dyDescent="0.15">
      <c r="A312" t="s">
        <v>72</v>
      </c>
      <c r="B312" t="s">
        <v>6548</v>
      </c>
      <c r="C312" t="s">
        <v>74</v>
      </c>
      <c r="D312" t="s">
        <v>74</v>
      </c>
      <c r="E312" t="s">
        <v>74</v>
      </c>
      <c r="F312" t="s">
        <v>6549</v>
      </c>
      <c r="G312" t="s">
        <v>74</v>
      </c>
      <c r="H312" t="s">
        <v>74</v>
      </c>
      <c r="I312" t="s">
        <v>6550</v>
      </c>
      <c r="J312" t="s">
        <v>2047</v>
      </c>
      <c r="K312" t="s">
        <v>74</v>
      </c>
      <c r="L312" t="s">
        <v>74</v>
      </c>
      <c r="M312" t="s">
        <v>78</v>
      </c>
      <c r="N312" t="s">
        <v>79</v>
      </c>
      <c r="O312" t="s">
        <v>74</v>
      </c>
      <c r="P312" t="s">
        <v>74</v>
      </c>
      <c r="Q312" t="s">
        <v>74</v>
      </c>
      <c r="R312" t="s">
        <v>74</v>
      </c>
      <c r="S312" t="s">
        <v>74</v>
      </c>
      <c r="T312" t="s">
        <v>6551</v>
      </c>
      <c r="U312" t="s">
        <v>6552</v>
      </c>
      <c r="V312" t="s">
        <v>6553</v>
      </c>
      <c r="W312" t="s">
        <v>6554</v>
      </c>
      <c r="X312" t="s">
        <v>6555</v>
      </c>
      <c r="Y312" t="s">
        <v>6556</v>
      </c>
      <c r="Z312" t="s">
        <v>6557</v>
      </c>
      <c r="AA312" t="s">
        <v>6558</v>
      </c>
      <c r="AB312" t="s">
        <v>6559</v>
      </c>
      <c r="AC312" t="s">
        <v>6560</v>
      </c>
      <c r="AD312" t="s">
        <v>6561</v>
      </c>
      <c r="AE312" t="s">
        <v>6562</v>
      </c>
      <c r="AF312" t="s">
        <v>74</v>
      </c>
      <c r="AG312">
        <v>93</v>
      </c>
      <c r="AH312">
        <v>7</v>
      </c>
      <c r="AI312">
        <v>7</v>
      </c>
      <c r="AJ312">
        <v>0</v>
      </c>
      <c r="AK312">
        <v>10</v>
      </c>
      <c r="AL312" t="s">
        <v>847</v>
      </c>
      <c r="AM312" t="s">
        <v>848</v>
      </c>
      <c r="AN312" t="s">
        <v>849</v>
      </c>
      <c r="AO312" t="s">
        <v>2059</v>
      </c>
      <c r="AP312" t="s">
        <v>2060</v>
      </c>
      <c r="AQ312" t="s">
        <v>74</v>
      </c>
      <c r="AR312" t="s">
        <v>2061</v>
      </c>
      <c r="AS312" t="s">
        <v>2062</v>
      </c>
      <c r="AT312" t="s">
        <v>525</v>
      </c>
      <c r="AU312">
        <v>2022</v>
      </c>
      <c r="AV312">
        <v>226</v>
      </c>
      <c r="AW312" t="s">
        <v>74</v>
      </c>
      <c r="AX312" t="s">
        <v>74</v>
      </c>
      <c r="AY312" t="s">
        <v>74</v>
      </c>
      <c r="AZ312" t="s">
        <v>74</v>
      </c>
      <c r="BA312" t="s">
        <v>74</v>
      </c>
      <c r="BB312" t="s">
        <v>74</v>
      </c>
      <c r="BC312" t="s">
        <v>74</v>
      </c>
      <c r="BD312">
        <v>103650</v>
      </c>
      <c r="BE312" t="s">
        <v>6563</v>
      </c>
      <c r="BF312" t="str">
        <f>HYPERLINK("http://dx.doi.org/10.1016/j.jmarsys.2021.103650","http://dx.doi.org/10.1016/j.jmarsys.2021.103650")</f>
        <v>http://dx.doi.org/10.1016/j.jmarsys.2021.103650</v>
      </c>
      <c r="BG312" t="s">
        <v>74</v>
      </c>
      <c r="BH312" t="s">
        <v>5766</v>
      </c>
      <c r="BI312">
        <v>18</v>
      </c>
      <c r="BJ312" t="s">
        <v>2064</v>
      </c>
      <c r="BK312" t="s">
        <v>101</v>
      </c>
      <c r="BL312" t="s">
        <v>2065</v>
      </c>
      <c r="BM312" t="s">
        <v>6564</v>
      </c>
      <c r="BN312" t="s">
        <v>74</v>
      </c>
      <c r="BO312" t="s">
        <v>5800</v>
      </c>
      <c r="BP312" t="s">
        <v>74</v>
      </c>
      <c r="BQ312" t="s">
        <v>74</v>
      </c>
      <c r="BR312" t="s">
        <v>105</v>
      </c>
      <c r="BS312" t="s">
        <v>6565</v>
      </c>
      <c r="BT312" t="str">
        <f>HYPERLINK("https%3A%2F%2Fwww.webofscience.com%2Fwos%2Fwoscc%2Ffull-record%2FWOS:000714510000003","View Full Record in Web of Science")</f>
        <v>View Full Record in Web of Science</v>
      </c>
    </row>
    <row r="313" spans="1:72" x14ac:dyDescent="0.15">
      <c r="A313" t="s">
        <v>72</v>
      </c>
      <c r="B313" t="s">
        <v>6566</v>
      </c>
      <c r="C313" t="s">
        <v>74</v>
      </c>
      <c r="D313" t="s">
        <v>74</v>
      </c>
      <c r="E313" t="s">
        <v>74</v>
      </c>
      <c r="F313" t="s">
        <v>6567</v>
      </c>
      <c r="G313" t="s">
        <v>74</v>
      </c>
      <c r="H313" t="s">
        <v>74</v>
      </c>
      <c r="I313" t="s">
        <v>6568</v>
      </c>
      <c r="J313" t="s">
        <v>244</v>
      </c>
      <c r="K313" t="s">
        <v>74</v>
      </c>
      <c r="L313" t="s">
        <v>74</v>
      </c>
      <c r="M313" t="s">
        <v>78</v>
      </c>
      <c r="N313" t="s">
        <v>79</v>
      </c>
      <c r="O313" t="s">
        <v>74</v>
      </c>
      <c r="P313" t="s">
        <v>74</v>
      </c>
      <c r="Q313" t="s">
        <v>74</v>
      </c>
      <c r="R313" t="s">
        <v>74</v>
      </c>
      <c r="S313" t="s">
        <v>74</v>
      </c>
      <c r="T313" t="s">
        <v>6569</v>
      </c>
      <c r="U313" t="s">
        <v>6570</v>
      </c>
      <c r="V313" t="s">
        <v>6571</v>
      </c>
      <c r="W313" t="s">
        <v>6572</v>
      </c>
      <c r="X313" t="s">
        <v>6573</v>
      </c>
      <c r="Y313" t="s">
        <v>6574</v>
      </c>
      <c r="Z313" t="s">
        <v>6575</v>
      </c>
      <c r="AA313" t="s">
        <v>74</v>
      </c>
      <c r="AB313" t="s">
        <v>6576</v>
      </c>
      <c r="AC313" t="s">
        <v>74</v>
      </c>
      <c r="AD313" t="s">
        <v>74</v>
      </c>
      <c r="AE313" t="s">
        <v>74</v>
      </c>
      <c r="AF313" t="s">
        <v>74</v>
      </c>
      <c r="AG313">
        <v>34</v>
      </c>
      <c r="AH313">
        <v>9</v>
      </c>
      <c r="AI313">
        <v>10</v>
      </c>
      <c r="AJ313">
        <v>1</v>
      </c>
      <c r="AK313">
        <v>23</v>
      </c>
      <c r="AL313" t="s">
        <v>255</v>
      </c>
      <c r="AM313" t="s">
        <v>256</v>
      </c>
      <c r="AN313" t="s">
        <v>257</v>
      </c>
      <c r="AO313" t="s">
        <v>258</v>
      </c>
      <c r="AP313" t="s">
        <v>259</v>
      </c>
      <c r="AQ313" t="s">
        <v>74</v>
      </c>
      <c r="AR313" t="s">
        <v>260</v>
      </c>
      <c r="AS313" t="s">
        <v>261</v>
      </c>
      <c r="AT313" t="s">
        <v>310</v>
      </c>
      <c r="AU313">
        <v>2021</v>
      </c>
      <c r="AV313">
        <v>193</v>
      </c>
      <c r="AW313" t="s">
        <v>74</v>
      </c>
      <c r="AX313" t="s">
        <v>74</v>
      </c>
      <c r="AY313" t="s">
        <v>74</v>
      </c>
      <c r="AZ313" t="s">
        <v>74</v>
      </c>
      <c r="BA313" t="s">
        <v>74</v>
      </c>
      <c r="BB313" t="s">
        <v>74</v>
      </c>
      <c r="BC313" t="s">
        <v>74</v>
      </c>
      <c r="BD313">
        <v>104973</v>
      </c>
      <c r="BE313" t="s">
        <v>6577</v>
      </c>
      <c r="BF313" t="str">
        <f>HYPERLINK("http://dx.doi.org/10.1016/j.dsr2.2021.104973","http://dx.doi.org/10.1016/j.dsr2.2021.104973")</f>
        <v>http://dx.doi.org/10.1016/j.dsr2.2021.104973</v>
      </c>
      <c r="BG313" t="s">
        <v>74</v>
      </c>
      <c r="BH313" t="s">
        <v>5766</v>
      </c>
      <c r="BI313">
        <v>11</v>
      </c>
      <c r="BJ313" t="s">
        <v>264</v>
      </c>
      <c r="BK313" t="s">
        <v>101</v>
      </c>
      <c r="BL313" t="s">
        <v>264</v>
      </c>
      <c r="BM313" t="s">
        <v>6578</v>
      </c>
      <c r="BN313" t="s">
        <v>74</v>
      </c>
      <c r="BO313" t="s">
        <v>1471</v>
      </c>
      <c r="BP313" t="s">
        <v>74</v>
      </c>
      <c r="BQ313" t="s">
        <v>74</v>
      </c>
      <c r="BR313" t="s">
        <v>105</v>
      </c>
      <c r="BS313" t="s">
        <v>6579</v>
      </c>
      <c r="BT313" t="str">
        <f>HYPERLINK("https%3A%2F%2Fwww.webofscience.com%2Fwos%2Fwoscc%2Ffull-record%2FWOS:000712904800003","View Full Record in Web of Science")</f>
        <v>View Full Record in Web of Science</v>
      </c>
    </row>
    <row r="314" spans="1:72" x14ac:dyDescent="0.15">
      <c r="A314" t="s">
        <v>72</v>
      </c>
      <c r="B314" t="s">
        <v>6580</v>
      </c>
      <c r="C314" t="s">
        <v>74</v>
      </c>
      <c r="D314" t="s">
        <v>74</v>
      </c>
      <c r="E314" t="s">
        <v>74</v>
      </c>
      <c r="F314" t="s">
        <v>6581</v>
      </c>
      <c r="G314" t="s">
        <v>74</v>
      </c>
      <c r="H314" t="s">
        <v>74</v>
      </c>
      <c r="I314" t="s">
        <v>6582</v>
      </c>
      <c r="J314" t="s">
        <v>244</v>
      </c>
      <c r="K314" t="s">
        <v>74</v>
      </c>
      <c r="L314" t="s">
        <v>74</v>
      </c>
      <c r="M314" t="s">
        <v>78</v>
      </c>
      <c r="N314" t="s">
        <v>79</v>
      </c>
      <c r="O314" t="s">
        <v>74</v>
      </c>
      <c r="P314" t="s">
        <v>74</v>
      </c>
      <c r="Q314" t="s">
        <v>74</v>
      </c>
      <c r="R314" t="s">
        <v>74</v>
      </c>
      <c r="S314" t="s">
        <v>74</v>
      </c>
      <c r="T314" t="s">
        <v>6583</v>
      </c>
      <c r="U314" t="s">
        <v>6584</v>
      </c>
      <c r="V314" t="s">
        <v>6585</v>
      </c>
      <c r="W314" t="s">
        <v>6586</v>
      </c>
      <c r="X314" t="s">
        <v>6587</v>
      </c>
      <c r="Y314" t="s">
        <v>6588</v>
      </c>
      <c r="Z314" t="s">
        <v>6589</v>
      </c>
      <c r="AA314" t="s">
        <v>74</v>
      </c>
      <c r="AB314" t="s">
        <v>74</v>
      </c>
      <c r="AC314" t="s">
        <v>74</v>
      </c>
      <c r="AD314" t="s">
        <v>74</v>
      </c>
      <c r="AE314" t="s">
        <v>74</v>
      </c>
      <c r="AF314" t="s">
        <v>74</v>
      </c>
      <c r="AG314">
        <v>79</v>
      </c>
      <c r="AH314">
        <v>2</v>
      </c>
      <c r="AI314">
        <v>2</v>
      </c>
      <c r="AJ314">
        <v>1</v>
      </c>
      <c r="AK314">
        <v>2</v>
      </c>
      <c r="AL314" t="s">
        <v>255</v>
      </c>
      <c r="AM314" t="s">
        <v>256</v>
      </c>
      <c r="AN314" t="s">
        <v>257</v>
      </c>
      <c r="AO314" t="s">
        <v>258</v>
      </c>
      <c r="AP314" t="s">
        <v>259</v>
      </c>
      <c r="AQ314" t="s">
        <v>74</v>
      </c>
      <c r="AR314" t="s">
        <v>260</v>
      </c>
      <c r="AS314" t="s">
        <v>261</v>
      </c>
      <c r="AT314" t="s">
        <v>310</v>
      </c>
      <c r="AU314">
        <v>2021</v>
      </c>
      <c r="AV314">
        <v>193</v>
      </c>
      <c r="AW314" t="s">
        <v>74</v>
      </c>
      <c r="AX314" t="s">
        <v>74</v>
      </c>
      <c r="AY314" t="s">
        <v>74</v>
      </c>
      <c r="AZ314" t="s">
        <v>74</v>
      </c>
      <c r="BA314" t="s">
        <v>74</v>
      </c>
      <c r="BB314" t="s">
        <v>74</v>
      </c>
      <c r="BC314" t="s">
        <v>74</v>
      </c>
      <c r="BD314">
        <v>104963</v>
      </c>
      <c r="BE314" t="s">
        <v>6590</v>
      </c>
      <c r="BF314" t="str">
        <f>HYPERLINK("http://dx.doi.org/10.1016/j.dsr2.2021.104963","http://dx.doi.org/10.1016/j.dsr2.2021.104963")</f>
        <v>http://dx.doi.org/10.1016/j.dsr2.2021.104963</v>
      </c>
      <c r="BG314" t="s">
        <v>74</v>
      </c>
      <c r="BH314" t="s">
        <v>5766</v>
      </c>
      <c r="BI314">
        <v>11</v>
      </c>
      <c r="BJ314" t="s">
        <v>264</v>
      </c>
      <c r="BK314" t="s">
        <v>101</v>
      </c>
      <c r="BL314" t="s">
        <v>264</v>
      </c>
      <c r="BM314" t="s">
        <v>6578</v>
      </c>
      <c r="BN314" t="s">
        <v>74</v>
      </c>
      <c r="BO314" t="s">
        <v>74</v>
      </c>
      <c r="BP314" t="s">
        <v>74</v>
      </c>
      <c r="BQ314" t="s">
        <v>74</v>
      </c>
      <c r="BR314" t="s">
        <v>105</v>
      </c>
      <c r="BS314" t="s">
        <v>6591</v>
      </c>
      <c r="BT314" t="str">
        <f>HYPERLINK("https%3A%2F%2Fwww.webofscience.com%2Fwos%2Fwoscc%2Ffull-record%2FWOS:000712904800002","View Full Record in Web of Science")</f>
        <v>View Full Record in Web of Science</v>
      </c>
    </row>
    <row r="315" spans="1:72" x14ac:dyDescent="0.15">
      <c r="A315" t="s">
        <v>72</v>
      </c>
      <c r="B315" t="s">
        <v>6592</v>
      </c>
      <c r="C315" t="s">
        <v>74</v>
      </c>
      <c r="D315" t="s">
        <v>74</v>
      </c>
      <c r="E315" t="s">
        <v>74</v>
      </c>
      <c r="F315" t="s">
        <v>6593</v>
      </c>
      <c r="G315" t="s">
        <v>74</v>
      </c>
      <c r="H315" t="s">
        <v>74</v>
      </c>
      <c r="I315" t="s">
        <v>6594</v>
      </c>
      <c r="J315" t="s">
        <v>2675</v>
      </c>
      <c r="K315" t="s">
        <v>74</v>
      </c>
      <c r="L315" t="s">
        <v>74</v>
      </c>
      <c r="M315" t="s">
        <v>78</v>
      </c>
      <c r="N315" t="s">
        <v>79</v>
      </c>
      <c r="O315" t="s">
        <v>74</v>
      </c>
      <c r="P315" t="s">
        <v>74</v>
      </c>
      <c r="Q315" t="s">
        <v>74</v>
      </c>
      <c r="R315" t="s">
        <v>74</v>
      </c>
      <c r="S315" t="s">
        <v>74</v>
      </c>
      <c r="T315" t="s">
        <v>74</v>
      </c>
      <c r="U315" t="s">
        <v>6595</v>
      </c>
      <c r="V315" t="s">
        <v>6596</v>
      </c>
      <c r="W315" t="s">
        <v>6597</v>
      </c>
      <c r="X315" t="s">
        <v>6598</v>
      </c>
      <c r="Y315" t="s">
        <v>6599</v>
      </c>
      <c r="Z315" t="s">
        <v>6600</v>
      </c>
      <c r="AA315" t="s">
        <v>6601</v>
      </c>
      <c r="AB315" t="s">
        <v>6602</v>
      </c>
      <c r="AC315" t="s">
        <v>6603</v>
      </c>
      <c r="AD315" t="s">
        <v>6604</v>
      </c>
      <c r="AE315" t="s">
        <v>6605</v>
      </c>
      <c r="AF315" t="s">
        <v>74</v>
      </c>
      <c r="AG315">
        <v>68</v>
      </c>
      <c r="AH315">
        <v>9</v>
      </c>
      <c r="AI315">
        <v>11</v>
      </c>
      <c r="AJ315">
        <v>2</v>
      </c>
      <c r="AK315">
        <v>14</v>
      </c>
      <c r="AL315" t="s">
        <v>227</v>
      </c>
      <c r="AM315" t="s">
        <v>228</v>
      </c>
      <c r="AN315" t="s">
        <v>229</v>
      </c>
      <c r="AO315" t="s">
        <v>2687</v>
      </c>
      <c r="AP315" t="s">
        <v>2688</v>
      </c>
      <c r="AQ315" t="s">
        <v>74</v>
      </c>
      <c r="AR315" t="s">
        <v>2689</v>
      </c>
      <c r="AS315" t="s">
        <v>2690</v>
      </c>
      <c r="AT315" t="s">
        <v>6502</v>
      </c>
      <c r="AU315">
        <v>2021</v>
      </c>
      <c r="AV315">
        <v>17</v>
      </c>
      <c r="AW315">
        <v>5</v>
      </c>
      <c r="AX315" t="s">
        <v>74</v>
      </c>
      <c r="AY315" t="s">
        <v>74</v>
      </c>
      <c r="AZ315" t="s">
        <v>74</v>
      </c>
      <c r="BA315" t="s">
        <v>74</v>
      </c>
      <c r="BB315">
        <v>2273</v>
      </c>
      <c r="BC315">
        <v>2289</v>
      </c>
      <c r="BD315" t="s">
        <v>74</v>
      </c>
      <c r="BE315" t="s">
        <v>6606</v>
      </c>
      <c r="BF315" t="str">
        <f>HYPERLINK("http://dx.doi.org/10.5194/cp-17-2273-2021","http://dx.doi.org/10.5194/cp-17-2273-2021")</f>
        <v>http://dx.doi.org/10.5194/cp-17-2273-2021</v>
      </c>
      <c r="BG315" t="s">
        <v>74</v>
      </c>
      <c r="BH315" t="s">
        <v>74</v>
      </c>
      <c r="BI315">
        <v>17</v>
      </c>
      <c r="BJ315" t="s">
        <v>1418</v>
      </c>
      <c r="BK315" t="s">
        <v>101</v>
      </c>
      <c r="BL315" t="s">
        <v>1419</v>
      </c>
      <c r="BM315" t="s">
        <v>6607</v>
      </c>
      <c r="BN315" t="s">
        <v>74</v>
      </c>
      <c r="BO315" t="s">
        <v>554</v>
      </c>
      <c r="BP315" t="s">
        <v>74</v>
      </c>
      <c r="BQ315" t="s">
        <v>74</v>
      </c>
      <c r="BR315" t="s">
        <v>105</v>
      </c>
      <c r="BS315" t="s">
        <v>6608</v>
      </c>
      <c r="BT315" t="str">
        <f>HYPERLINK("https%3A%2F%2Fwww.webofscience.com%2Fwos%2Fwoscc%2Ffull-record%2FWOS:000711973300001","View Full Record in Web of Science")</f>
        <v>View Full Record in Web of Science</v>
      </c>
    </row>
    <row r="316" spans="1:72" x14ac:dyDescent="0.15">
      <c r="A316" t="s">
        <v>72</v>
      </c>
      <c r="B316" t="s">
        <v>6609</v>
      </c>
      <c r="C316" t="s">
        <v>74</v>
      </c>
      <c r="D316" t="s">
        <v>74</v>
      </c>
      <c r="E316" t="s">
        <v>74</v>
      </c>
      <c r="F316" t="s">
        <v>6610</v>
      </c>
      <c r="G316" t="s">
        <v>74</v>
      </c>
      <c r="H316" t="s">
        <v>74</v>
      </c>
      <c r="I316" t="s">
        <v>6611</v>
      </c>
      <c r="J316" t="s">
        <v>6612</v>
      </c>
      <c r="K316" t="s">
        <v>74</v>
      </c>
      <c r="L316" t="s">
        <v>74</v>
      </c>
      <c r="M316" t="s">
        <v>78</v>
      </c>
      <c r="N316" t="s">
        <v>79</v>
      </c>
      <c r="O316" t="s">
        <v>74</v>
      </c>
      <c r="P316" t="s">
        <v>74</v>
      </c>
      <c r="Q316" t="s">
        <v>74</v>
      </c>
      <c r="R316" t="s">
        <v>74</v>
      </c>
      <c r="S316" t="s">
        <v>74</v>
      </c>
      <c r="T316" t="s">
        <v>6613</v>
      </c>
      <c r="U316" t="s">
        <v>6614</v>
      </c>
      <c r="V316" t="s">
        <v>6615</v>
      </c>
      <c r="W316" t="s">
        <v>6616</v>
      </c>
      <c r="X316" t="s">
        <v>6617</v>
      </c>
      <c r="Y316" t="s">
        <v>6618</v>
      </c>
      <c r="Z316" t="s">
        <v>6619</v>
      </c>
      <c r="AA316" t="s">
        <v>6620</v>
      </c>
      <c r="AB316" t="s">
        <v>6621</v>
      </c>
      <c r="AC316" t="s">
        <v>6622</v>
      </c>
      <c r="AD316" t="s">
        <v>6623</v>
      </c>
      <c r="AE316" t="s">
        <v>6624</v>
      </c>
      <c r="AF316" t="s">
        <v>74</v>
      </c>
      <c r="AG316">
        <v>50</v>
      </c>
      <c r="AH316">
        <v>6</v>
      </c>
      <c r="AI316">
        <v>7</v>
      </c>
      <c r="AJ316">
        <v>8</v>
      </c>
      <c r="AK316">
        <v>38</v>
      </c>
      <c r="AL316" t="s">
        <v>572</v>
      </c>
      <c r="AM316" t="s">
        <v>573</v>
      </c>
      <c r="AN316" t="s">
        <v>574</v>
      </c>
      <c r="AO316" t="s">
        <v>6625</v>
      </c>
      <c r="AP316" t="s">
        <v>6626</v>
      </c>
      <c r="AQ316" t="s">
        <v>74</v>
      </c>
      <c r="AR316" t="s">
        <v>6627</v>
      </c>
      <c r="AS316" t="s">
        <v>6628</v>
      </c>
      <c r="AT316" t="s">
        <v>416</v>
      </c>
      <c r="AU316">
        <v>2022</v>
      </c>
      <c r="AV316">
        <v>25</v>
      </c>
      <c r="AW316">
        <v>1</v>
      </c>
      <c r="AX316" t="s">
        <v>74</v>
      </c>
      <c r="AY316" t="s">
        <v>74</v>
      </c>
      <c r="AZ316" t="s">
        <v>74</v>
      </c>
      <c r="BA316" t="s">
        <v>74</v>
      </c>
      <c r="BB316">
        <v>17</v>
      </c>
      <c r="BC316">
        <v>25</v>
      </c>
      <c r="BD316" t="s">
        <v>74</v>
      </c>
      <c r="BE316" t="s">
        <v>6629</v>
      </c>
      <c r="BF316" t="str">
        <f>HYPERLINK("http://dx.doi.org/10.1111/ele.13893","http://dx.doi.org/10.1111/ele.13893")</f>
        <v>http://dx.doi.org/10.1111/ele.13893</v>
      </c>
      <c r="BG316" t="s">
        <v>74</v>
      </c>
      <c r="BH316" t="s">
        <v>5766</v>
      </c>
      <c r="BI316">
        <v>9</v>
      </c>
      <c r="BJ316" t="s">
        <v>629</v>
      </c>
      <c r="BK316" t="s">
        <v>101</v>
      </c>
      <c r="BL316" t="s">
        <v>630</v>
      </c>
      <c r="BM316" t="s">
        <v>6630</v>
      </c>
      <c r="BN316">
        <v>34708510</v>
      </c>
      <c r="BO316" t="s">
        <v>1902</v>
      </c>
      <c r="BP316" t="s">
        <v>74</v>
      </c>
      <c r="BQ316" t="s">
        <v>74</v>
      </c>
      <c r="BR316" t="s">
        <v>105</v>
      </c>
      <c r="BS316" t="s">
        <v>6631</v>
      </c>
      <c r="BT316" t="str">
        <f>HYPERLINK("https%3A%2F%2Fwww.webofscience.com%2Fwos%2Fwoscc%2Ffull-record%2FWOS:000711628300001","View Full Record in Web of Science")</f>
        <v>View Full Record in Web of Science</v>
      </c>
    </row>
    <row r="317" spans="1:72" x14ac:dyDescent="0.15">
      <c r="A317" t="s">
        <v>72</v>
      </c>
      <c r="B317" t="s">
        <v>6632</v>
      </c>
      <c r="C317" t="s">
        <v>74</v>
      </c>
      <c r="D317" t="s">
        <v>74</v>
      </c>
      <c r="E317" t="s">
        <v>74</v>
      </c>
      <c r="F317" t="s">
        <v>6633</v>
      </c>
      <c r="G317" t="s">
        <v>74</v>
      </c>
      <c r="H317" t="s">
        <v>74</v>
      </c>
      <c r="I317" t="s">
        <v>6634</v>
      </c>
      <c r="J317" t="s">
        <v>3322</v>
      </c>
      <c r="K317" t="s">
        <v>74</v>
      </c>
      <c r="L317" t="s">
        <v>74</v>
      </c>
      <c r="M317" t="s">
        <v>78</v>
      </c>
      <c r="N317" t="s">
        <v>79</v>
      </c>
      <c r="O317" t="s">
        <v>74</v>
      </c>
      <c r="P317" t="s">
        <v>74</v>
      </c>
      <c r="Q317" t="s">
        <v>74</v>
      </c>
      <c r="R317" t="s">
        <v>74</v>
      </c>
      <c r="S317" t="s">
        <v>74</v>
      </c>
      <c r="T317" t="s">
        <v>6635</v>
      </c>
      <c r="U317" t="s">
        <v>6636</v>
      </c>
      <c r="V317" t="s">
        <v>6637</v>
      </c>
      <c r="W317" t="s">
        <v>6638</v>
      </c>
      <c r="X317" t="s">
        <v>6639</v>
      </c>
      <c r="Y317" t="s">
        <v>6640</v>
      </c>
      <c r="Z317" t="s">
        <v>6641</v>
      </c>
      <c r="AA317" t="s">
        <v>6642</v>
      </c>
      <c r="AB317" t="s">
        <v>6643</v>
      </c>
      <c r="AC317" t="s">
        <v>6644</v>
      </c>
      <c r="AD317" t="s">
        <v>6645</v>
      </c>
      <c r="AE317" t="s">
        <v>6646</v>
      </c>
      <c r="AF317" t="s">
        <v>74</v>
      </c>
      <c r="AG317">
        <v>70</v>
      </c>
      <c r="AH317">
        <v>5</v>
      </c>
      <c r="AI317">
        <v>6</v>
      </c>
      <c r="AJ317">
        <v>2</v>
      </c>
      <c r="AK317">
        <v>17</v>
      </c>
      <c r="AL317" t="s">
        <v>3335</v>
      </c>
      <c r="AM317" t="s">
        <v>3336</v>
      </c>
      <c r="AN317" t="s">
        <v>3337</v>
      </c>
      <c r="AO317" t="s">
        <v>3338</v>
      </c>
      <c r="AP317" t="s">
        <v>74</v>
      </c>
      <c r="AQ317" t="s">
        <v>74</v>
      </c>
      <c r="AR317" t="s">
        <v>3339</v>
      </c>
      <c r="AS317" t="s">
        <v>3340</v>
      </c>
      <c r="AT317" t="s">
        <v>6502</v>
      </c>
      <c r="AU317">
        <v>2021</v>
      </c>
      <c r="AV317">
        <v>9</v>
      </c>
      <c r="AW317">
        <v>1</v>
      </c>
      <c r="AX317" t="s">
        <v>74</v>
      </c>
      <c r="AY317" t="s">
        <v>74</v>
      </c>
      <c r="AZ317" t="s">
        <v>74</v>
      </c>
      <c r="BA317" t="s">
        <v>74</v>
      </c>
      <c r="BB317" t="s">
        <v>74</v>
      </c>
      <c r="BC317" t="s">
        <v>74</v>
      </c>
      <c r="BD317">
        <v>1</v>
      </c>
      <c r="BE317" t="s">
        <v>6647</v>
      </c>
      <c r="BF317" t="str">
        <f>HYPERLINK("http://dx.doi.org/10.1525/elementa.2020.00167","http://dx.doi.org/10.1525/elementa.2020.00167")</f>
        <v>http://dx.doi.org/10.1525/elementa.2020.00167</v>
      </c>
      <c r="BG317" t="s">
        <v>74</v>
      </c>
      <c r="BH317" t="s">
        <v>74</v>
      </c>
      <c r="BI317">
        <v>21</v>
      </c>
      <c r="BJ317" t="s">
        <v>100</v>
      </c>
      <c r="BK317" t="s">
        <v>101</v>
      </c>
      <c r="BL317" t="s">
        <v>102</v>
      </c>
      <c r="BM317" t="s">
        <v>6648</v>
      </c>
      <c r="BN317" t="s">
        <v>74</v>
      </c>
      <c r="BO317" t="s">
        <v>394</v>
      </c>
      <c r="BP317" t="s">
        <v>74</v>
      </c>
      <c r="BQ317" t="s">
        <v>74</v>
      </c>
      <c r="BR317" t="s">
        <v>105</v>
      </c>
      <c r="BS317" t="s">
        <v>6649</v>
      </c>
      <c r="BT317" t="str">
        <f>HYPERLINK("https%3A%2F%2Fwww.webofscience.com%2Fwos%2Fwoscc%2Ffull-record%2FWOS:000711839000001","View Full Record in Web of Science")</f>
        <v>View Full Record in Web of Science</v>
      </c>
    </row>
    <row r="318" spans="1:72" x14ac:dyDescent="0.15">
      <c r="A318" t="s">
        <v>72</v>
      </c>
      <c r="B318" t="s">
        <v>6650</v>
      </c>
      <c r="C318" t="s">
        <v>74</v>
      </c>
      <c r="D318" t="s">
        <v>74</v>
      </c>
      <c r="E318" t="s">
        <v>74</v>
      </c>
      <c r="F318" t="s">
        <v>6651</v>
      </c>
      <c r="G318" t="s">
        <v>74</v>
      </c>
      <c r="H318" t="s">
        <v>74</v>
      </c>
      <c r="I318" t="s">
        <v>6652</v>
      </c>
      <c r="J318" t="s">
        <v>1882</v>
      </c>
      <c r="K318" t="s">
        <v>74</v>
      </c>
      <c r="L318" t="s">
        <v>74</v>
      </c>
      <c r="M318" t="s">
        <v>78</v>
      </c>
      <c r="N318" t="s">
        <v>79</v>
      </c>
      <c r="O318" t="s">
        <v>74</v>
      </c>
      <c r="P318" t="s">
        <v>74</v>
      </c>
      <c r="Q318" t="s">
        <v>74</v>
      </c>
      <c r="R318" t="s">
        <v>74</v>
      </c>
      <c r="S318" t="s">
        <v>74</v>
      </c>
      <c r="T318" t="s">
        <v>6653</v>
      </c>
      <c r="U318" t="s">
        <v>6654</v>
      </c>
      <c r="V318" t="s">
        <v>6655</v>
      </c>
      <c r="W318" t="s">
        <v>6656</v>
      </c>
      <c r="X318" t="s">
        <v>6657</v>
      </c>
      <c r="Y318" t="s">
        <v>6658</v>
      </c>
      <c r="Z318" t="s">
        <v>6659</v>
      </c>
      <c r="AA318" t="s">
        <v>74</v>
      </c>
      <c r="AB318" t="s">
        <v>6660</v>
      </c>
      <c r="AC318" t="s">
        <v>6661</v>
      </c>
      <c r="AD318" t="s">
        <v>6662</v>
      </c>
      <c r="AE318" t="s">
        <v>6663</v>
      </c>
      <c r="AF318" t="s">
        <v>74</v>
      </c>
      <c r="AG318">
        <v>74</v>
      </c>
      <c r="AH318">
        <v>19</v>
      </c>
      <c r="AI318">
        <v>20</v>
      </c>
      <c r="AJ318">
        <v>6</v>
      </c>
      <c r="AK318">
        <v>44</v>
      </c>
      <c r="AL318" t="s">
        <v>572</v>
      </c>
      <c r="AM318" t="s">
        <v>573</v>
      </c>
      <c r="AN318" t="s">
        <v>574</v>
      </c>
      <c r="AO318" t="s">
        <v>1895</v>
      </c>
      <c r="AP318" t="s">
        <v>1896</v>
      </c>
      <c r="AQ318" t="s">
        <v>74</v>
      </c>
      <c r="AR318" t="s">
        <v>1897</v>
      </c>
      <c r="AS318" t="s">
        <v>1898</v>
      </c>
      <c r="AT318" t="s">
        <v>416</v>
      </c>
      <c r="AU318">
        <v>2022</v>
      </c>
      <c r="AV318">
        <v>28</v>
      </c>
      <c r="AW318">
        <v>2</v>
      </c>
      <c r="AX318" t="s">
        <v>74</v>
      </c>
      <c r="AY318" t="s">
        <v>74</v>
      </c>
      <c r="AZ318" t="s">
        <v>74</v>
      </c>
      <c r="BA318" t="s">
        <v>74</v>
      </c>
      <c r="BB318">
        <v>429</v>
      </c>
      <c r="BC318">
        <v>440</v>
      </c>
      <c r="BD318" t="s">
        <v>74</v>
      </c>
      <c r="BE318" t="s">
        <v>6664</v>
      </c>
      <c r="BF318" t="str">
        <f>HYPERLINK("http://dx.doi.org/10.1111/gcb.15937","http://dx.doi.org/10.1111/gcb.15937")</f>
        <v>http://dx.doi.org/10.1111/gcb.15937</v>
      </c>
      <c r="BG318" t="s">
        <v>74</v>
      </c>
      <c r="BH318" t="s">
        <v>5766</v>
      </c>
      <c r="BI318">
        <v>12</v>
      </c>
      <c r="BJ318" t="s">
        <v>1900</v>
      </c>
      <c r="BK318" t="s">
        <v>101</v>
      </c>
      <c r="BL318" t="s">
        <v>606</v>
      </c>
      <c r="BM318" t="s">
        <v>6665</v>
      </c>
      <c r="BN318">
        <v>34652875</v>
      </c>
      <c r="BO318" t="s">
        <v>1511</v>
      </c>
      <c r="BP318" t="s">
        <v>74</v>
      </c>
      <c r="BQ318" t="s">
        <v>74</v>
      </c>
      <c r="BR318" t="s">
        <v>105</v>
      </c>
      <c r="BS318" t="s">
        <v>6666</v>
      </c>
      <c r="BT318" t="str">
        <f>HYPERLINK("https%3A%2F%2Fwww.webofscience.com%2Fwos%2Fwoscc%2Ffull-record%2FWOS:000711616400001","View Full Record in Web of Science")</f>
        <v>View Full Record in Web of Science</v>
      </c>
    </row>
    <row r="319" spans="1:72" x14ac:dyDescent="0.15">
      <c r="A319" t="s">
        <v>72</v>
      </c>
      <c r="B319" t="s">
        <v>6667</v>
      </c>
      <c r="C319" t="s">
        <v>74</v>
      </c>
      <c r="D319" t="s">
        <v>74</v>
      </c>
      <c r="E319" t="s">
        <v>74</v>
      </c>
      <c r="F319" t="s">
        <v>6668</v>
      </c>
      <c r="G319" t="s">
        <v>74</v>
      </c>
      <c r="H319" t="s">
        <v>74</v>
      </c>
      <c r="I319" t="s">
        <v>6669</v>
      </c>
      <c r="J319" t="s">
        <v>1882</v>
      </c>
      <c r="K319" t="s">
        <v>74</v>
      </c>
      <c r="L319" t="s">
        <v>74</v>
      </c>
      <c r="M319" t="s">
        <v>78</v>
      </c>
      <c r="N319" t="s">
        <v>79</v>
      </c>
      <c r="O319" t="s">
        <v>74</v>
      </c>
      <c r="P319" t="s">
        <v>74</v>
      </c>
      <c r="Q319" t="s">
        <v>74</v>
      </c>
      <c r="R319" t="s">
        <v>74</v>
      </c>
      <c r="S319" t="s">
        <v>74</v>
      </c>
      <c r="T319" t="s">
        <v>6670</v>
      </c>
      <c r="U319" t="s">
        <v>6671</v>
      </c>
      <c r="V319" t="s">
        <v>6672</v>
      </c>
      <c r="W319" t="s">
        <v>6673</v>
      </c>
      <c r="X319" t="s">
        <v>6674</v>
      </c>
      <c r="Y319" t="s">
        <v>6675</v>
      </c>
      <c r="Z319" t="s">
        <v>6676</v>
      </c>
      <c r="AA319" t="s">
        <v>6677</v>
      </c>
      <c r="AB319" t="s">
        <v>6678</v>
      </c>
      <c r="AC319" t="s">
        <v>6679</v>
      </c>
      <c r="AD319" t="s">
        <v>6680</v>
      </c>
      <c r="AE319" t="s">
        <v>6681</v>
      </c>
      <c r="AF319" t="s">
        <v>74</v>
      </c>
      <c r="AG319">
        <v>54</v>
      </c>
      <c r="AH319">
        <v>5</v>
      </c>
      <c r="AI319">
        <v>6</v>
      </c>
      <c r="AJ319">
        <v>9</v>
      </c>
      <c r="AK319">
        <v>44</v>
      </c>
      <c r="AL319" t="s">
        <v>572</v>
      </c>
      <c r="AM319" t="s">
        <v>573</v>
      </c>
      <c r="AN319" t="s">
        <v>574</v>
      </c>
      <c r="AO319" t="s">
        <v>1895</v>
      </c>
      <c r="AP319" t="s">
        <v>1896</v>
      </c>
      <c r="AQ319" t="s">
        <v>74</v>
      </c>
      <c r="AR319" t="s">
        <v>1897</v>
      </c>
      <c r="AS319" t="s">
        <v>1898</v>
      </c>
      <c r="AT319" t="s">
        <v>416</v>
      </c>
      <c r="AU319">
        <v>2022</v>
      </c>
      <c r="AV319">
        <v>28</v>
      </c>
      <c r="AW319">
        <v>2</v>
      </c>
      <c r="AX319" t="s">
        <v>74</v>
      </c>
      <c r="AY319" t="s">
        <v>74</v>
      </c>
      <c r="AZ319" t="s">
        <v>74</v>
      </c>
      <c r="BA319" t="s">
        <v>74</v>
      </c>
      <c r="BB319">
        <v>644</v>
      </c>
      <c r="BC319">
        <v>653</v>
      </c>
      <c r="BD319" t="s">
        <v>74</v>
      </c>
      <c r="BE319" t="s">
        <v>6682</v>
      </c>
      <c r="BF319" t="str">
        <f>HYPERLINK("http://dx.doi.org/10.1111/gcb.15940","http://dx.doi.org/10.1111/gcb.15940")</f>
        <v>http://dx.doi.org/10.1111/gcb.15940</v>
      </c>
      <c r="BG319" t="s">
        <v>74</v>
      </c>
      <c r="BH319" t="s">
        <v>5766</v>
      </c>
      <c r="BI319">
        <v>10</v>
      </c>
      <c r="BJ319" t="s">
        <v>1900</v>
      </c>
      <c r="BK319" t="s">
        <v>101</v>
      </c>
      <c r="BL319" t="s">
        <v>606</v>
      </c>
      <c r="BM319" t="s">
        <v>6665</v>
      </c>
      <c r="BN319">
        <v>34657350</v>
      </c>
      <c r="BO319" t="s">
        <v>6683</v>
      </c>
      <c r="BP319" t="s">
        <v>74</v>
      </c>
      <c r="BQ319" t="s">
        <v>74</v>
      </c>
      <c r="BR319" t="s">
        <v>105</v>
      </c>
      <c r="BS319" t="s">
        <v>6684</v>
      </c>
      <c r="BT319" t="str">
        <f>HYPERLINK("https%3A%2F%2Fwww.webofscience.com%2Fwos%2Fwoscc%2Ffull-record%2FWOS:000711615000001","View Full Record in Web of Science")</f>
        <v>View Full Record in Web of Science</v>
      </c>
    </row>
    <row r="320" spans="1:72" x14ac:dyDescent="0.15">
      <c r="A320" t="s">
        <v>72</v>
      </c>
      <c r="B320" t="s">
        <v>6685</v>
      </c>
      <c r="C320" t="s">
        <v>74</v>
      </c>
      <c r="D320" t="s">
        <v>74</v>
      </c>
      <c r="E320" t="s">
        <v>74</v>
      </c>
      <c r="F320" t="s">
        <v>6686</v>
      </c>
      <c r="G320" t="s">
        <v>74</v>
      </c>
      <c r="H320" t="s">
        <v>74</v>
      </c>
      <c r="I320" t="s">
        <v>6687</v>
      </c>
      <c r="J320" t="s">
        <v>886</v>
      </c>
      <c r="K320" t="s">
        <v>74</v>
      </c>
      <c r="L320" t="s">
        <v>74</v>
      </c>
      <c r="M320" t="s">
        <v>78</v>
      </c>
      <c r="N320" t="s">
        <v>79</v>
      </c>
      <c r="O320" t="s">
        <v>74</v>
      </c>
      <c r="P320" t="s">
        <v>74</v>
      </c>
      <c r="Q320" t="s">
        <v>74</v>
      </c>
      <c r="R320" t="s">
        <v>74</v>
      </c>
      <c r="S320" t="s">
        <v>74</v>
      </c>
      <c r="T320" t="s">
        <v>6688</v>
      </c>
      <c r="U320" t="s">
        <v>6689</v>
      </c>
      <c r="V320" t="s">
        <v>6690</v>
      </c>
      <c r="W320" t="s">
        <v>6691</v>
      </c>
      <c r="X320" t="s">
        <v>6692</v>
      </c>
      <c r="Y320" t="s">
        <v>6693</v>
      </c>
      <c r="Z320" t="s">
        <v>6694</v>
      </c>
      <c r="AA320" t="s">
        <v>6695</v>
      </c>
      <c r="AB320" t="s">
        <v>6696</v>
      </c>
      <c r="AC320" t="s">
        <v>6697</v>
      </c>
      <c r="AD320" t="s">
        <v>6698</v>
      </c>
      <c r="AE320" t="s">
        <v>6699</v>
      </c>
      <c r="AF320" t="s">
        <v>74</v>
      </c>
      <c r="AG320">
        <v>94</v>
      </c>
      <c r="AH320">
        <v>9</v>
      </c>
      <c r="AI320">
        <v>9</v>
      </c>
      <c r="AJ320">
        <v>2</v>
      </c>
      <c r="AK320">
        <v>21</v>
      </c>
      <c r="AL320" t="s">
        <v>760</v>
      </c>
      <c r="AM320" t="s">
        <v>438</v>
      </c>
      <c r="AN320" t="s">
        <v>761</v>
      </c>
      <c r="AO320" t="s">
        <v>899</v>
      </c>
      <c r="AP320" t="s">
        <v>900</v>
      </c>
      <c r="AQ320" t="s">
        <v>74</v>
      </c>
      <c r="AR320" t="s">
        <v>901</v>
      </c>
      <c r="AS320" t="s">
        <v>902</v>
      </c>
      <c r="AT320" t="s">
        <v>6502</v>
      </c>
      <c r="AU320">
        <v>2021</v>
      </c>
      <c r="AV320">
        <v>126</v>
      </c>
      <c r="AW320">
        <v>20</v>
      </c>
      <c r="AX320" t="s">
        <v>74</v>
      </c>
      <c r="AY320" t="s">
        <v>74</v>
      </c>
      <c r="AZ320" t="s">
        <v>74</v>
      </c>
      <c r="BA320" t="s">
        <v>74</v>
      </c>
      <c r="BB320" t="s">
        <v>74</v>
      </c>
      <c r="BC320" t="s">
        <v>74</v>
      </c>
      <c r="BD320" t="s">
        <v>6700</v>
      </c>
      <c r="BE320" t="s">
        <v>6701</v>
      </c>
      <c r="BF320" t="str">
        <f>HYPERLINK("http://dx.doi.org/10.1029/2021JD035062","http://dx.doi.org/10.1029/2021JD035062")</f>
        <v>http://dx.doi.org/10.1029/2021JD035062</v>
      </c>
      <c r="BG320" t="s">
        <v>74</v>
      </c>
      <c r="BH320" t="s">
        <v>74</v>
      </c>
      <c r="BI320">
        <v>29</v>
      </c>
      <c r="BJ320" t="s">
        <v>829</v>
      </c>
      <c r="BK320" t="s">
        <v>101</v>
      </c>
      <c r="BL320" t="s">
        <v>829</v>
      </c>
      <c r="BM320" t="s">
        <v>6702</v>
      </c>
      <c r="BN320" t="s">
        <v>74</v>
      </c>
      <c r="BO320" t="s">
        <v>2585</v>
      </c>
      <c r="BP320" t="s">
        <v>74</v>
      </c>
      <c r="BQ320" t="s">
        <v>74</v>
      </c>
      <c r="BR320" t="s">
        <v>105</v>
      </c>
      <c r="BS320" t="s">
        <v>6703</v>
      </c>
      <c r="BT320" t="str">
        <f>HYPERLINK("https%3A%2F%2Fwww.webofscience.com%2Fwos%2Fwoscc%2Ffull-record%2FWOS:000711482400017","View Full Record in Web of Science")</f>
        <v>View Full Record in Web of Science</v>
      </c>
    </row>
    <row r="321" spans="1:72" x14ac:dyDescent="0.15">
      <c r="A321" t="s">
        <v>72</v>
      </c>
      <c r="B321" t="s">
        <v>6704</v>
      </c>
      <c r="C321" t="s">
        <v>74</v>
      </c>
      <c r="D321" t="s">
        <v>74</v>
      </c>
      <c r="E321" t="s">
        <v>74</v>
      </c>
      <c r="F321" t="s">
        <v>6705</v>
      </c>
      <c r="G321" t="s">
        <v>74</v>
      </c>
      <c r="H321" t="s">
        <v>74</v>
      </c>
      <c r="I321" t="s">
        <v>6706</v>
      </c>
      <c r="J321" t="s">
        <v>886</v>
      </c>
      <c r="K321" t="s">
        <v>74</v>
      </c>
      <c r="L321" t="s">
        <v>74</v>
      </c>
      <c r="M321" t="s">
        <v>78</v>
      </c>
      <c r="N321" t="s">
        <v>79</v>
      </c>
      <c r="O321" t="s">
        <v>74</v>
      </c>
      <c r="P321" t="s">
        <v>74</v>
      </c>
      <c r="Q321" t="s">
        <v>74</v>
      </c>
      <c r="R321" t="s">
        <v>74</v>
      </c>
      <c r="S321" t="s">
        <v>74</v>
      </c>
      <c r="T321" t="s">
        <v>6707</v>
      </c>
      <c r="U321" t="s">
        <v>6708</v>
      </c>
      <c r="V321" t="s">
        <v>6709</v>
      </c>
      <c r="W321" t="s">
        <v>6710</v>
      </c>
      <c r="X321" t="s">
        <v>6711</v>
      </c>
      <c r="Y321" t="s">
        <v>6712</v>
      </c>
      <c r="Z321" t="s">
        <v>6713</v>
      </c>
      <c r="AA321" t="s">
        <v>74</v>
      </c>
      <c r="AB321" t="s">
        <v>74</v>
      </c>
      <c r="AC321" t="s">
        <v>6714</v>
      </c>
      <c r="AD321" t="s">
        <v>6715</v>
      </c>
      <c r="AE321" t="s">
        <v>6716</v>
      </c>
      <c r="AF321" t="s">
        <v>74</v>
      </c>
      <c r="AG321">
        <v>56</v>
      </c>
      <c r="AH321">
        <v>0</v>
      </c>
      <c r="AI321">
        <v>0</v>
      </c>
      <c r="AJ321">
        <v>1</v>
      </c>
      <c r="AK321">
        <v>8</v>
      </c>
      <c r="AL321" t="s">
        <v>760</v>
      </c>
      <c r="AM321" t="s">
        <v>438</v>
      </c>
      <c r="AN321" t="s">
        <v>761</v>
      </c>
      <c r="AO321" t="s">
        <v>899</v>
      </c>
      <c r="AP321" t="s">
        <v>900</v>
      </c>
      <c r="AQ321" t="s">
        <v>74</v>
      </c>
      <c r="AR321" t="s">
        <v>901</v>
      </c>
      <c r="AS321" t="s">
        <v>902</v>
      </c>
      <c r="AT321" t="s">
        <v>6502</v>
      </c>
      <c r="AU321">
        <v>2021</v>
      </c>
      <c r="AV321">
        <v>126</v>
      </c>
      <c r="AW321">
        <v>20</v>
      </c>
      <c r="AX321" t="s">
        <v>74</v>
      </c>
      <c r="AY321" t="s">
        <v>74</v>
      </c>
      <c r="AZ321" t="s">
        <v>74</v>
      </c>
      <c r="BA321" t="s">
        <v>74</v>
      </c>
      <c r="BB321" t="s">
        <v>74</v>
      </c>
      <c r="BC321" t="s">
        <v>74</v>
      </c>
      <c r="BD321" t="s">
        <v>6717</v>
      </c>
      <c r="BE321" t="s">
        <v>6718</v>
      </c>
      <c r="BF321" t="str">
        <f>HYPERLINK("http://dx.doi.org/10.1029/2021JD034904","http://dx.doi.org/10.1029/2021JD034904")</f>
        <v>http://dx.doi.org/10.1029/2021JD034904</v>
      </c>
      <c r="BG321" t="s">
        <v>74</v>
      </c>
      <c r="BH321" t="s">
        <v>74</v>
      </c>
      <c r="BI321">
        <v>33</v>
      </c>
      <c r="BJ321" t="s">
        <v>829</v>
      </c>
      <c r="BK321" t="s">
        <v>101</v>
      </c>
      <c r="BL321" t="s">
        <v>829</v>
      </c>
      <c r="BM321" t="s">
        <v>6702</v>
      </c>
      <c r="BN321" t="s">
        <v>74</v>
      </c>
      <c r="BO321" t="s">
        <v>1471</v>
      </c>
      <c r="BP321" t="s">
        <v>74</v>
      </c>
      <c r="BQ321" t="s">
        <v>74</v>
      </c>
      <c r="BR321" t="s">
        <v>105</v>
      </c>
      <c r="BS321" t="s">
        <v>6719</v>
      </c>
      <c r="BT321" t="str">
        <f>HYPERLINK("https%3A%2F%2Fwww.webofscience.com%2Fwos%2Fwoscc%2Ffull-record%2FWOS:000711482400011","View Full Record in Web of Science")</f>
        <v>View Full Record in Web of Science</v>
      </c>
    </row>
    <row r="322" spans="1:72" x14ac:dyDescent="0.15">
      <c r="A322" t="s">
        <v>72</v>
      </c>
      <c r="B322" t="s">
        <v>6704</v>
      </c>
      <c r="C322" t="s">
        <v>74</v>
      </c>
      <c r="D322" t="s">
        <v>74</v>
      </c>
      <c r="E322" t="s">
        <v>74</v>
      </c>
      <c r="F322" t="s">
        <v>6705</v>
      </c>
      <c r="G322" t="s">
        <v>74</v>
      </c>
      <c r="H322" t="s">
        <v>74</v>
      </c>
      <c r="I322" t="s">
        <v>6720</v>
      </c>
      <c r="J322" t="s">
        <v>886</v>
      </c>
      <c r="K322" t="s">
        <v>74</v>
      </c>
      <c r="L322" t="s">
        <v>74</v>
      </c>
      <c r="M322" t="s">
        <v>78</v>
      </c>
      <c r="N322" t="s">
        <v>79</v>
      </c>
      <c r="O322" t="s">
        <v>74</v>
      </c>
      <c r="P322" t="s">
        <v>74</v>
      </c>
      <c r="Q322" t="s">
        <v>74</v>
      </c>
      <c r="R322" t="s">
        <v>74</v>
      </c>
      <c r="S322" t="s">
        <v>74</v>
      </c>
      <c r="T322" t="s">
        <v>6721</v>
      </c>
      <c r="U322" t="s">
        <v>6722</v>
      </c>
      <c r="V322" t="s">
        <v>6723</v>
      </c>
      <c r="W322" t="s">
        <v>6710</v>
      </c>
      <c r="X322" t="s">
        <v>6711</v>
      </c>
      <c r="Y322" t="s">
        <v>6712</v>
      </c>
      <c r="Z322" t="s">
        <v>6713</v>
      </c>
      <c r="AA322" t="s">
        <v>74</v>
      </c>
      <c r="AB322" t="s">
        <v>6724</v>
      </c>
      <c r="AC322" t="s">
        <v>6714</v>
      </c>
      <c r="AD322" t="s">
        <v>6715</v>
      </c>
      <c r="AE322" t="s">
        <v>6725</v>
      </c>
      <c r="AF322" t="s">
        <v>74</v>
      </c>
      <c r="AG322">
        <v>78</v>
      </c>
      <c r="AH322">
        <v>2</v>
      </c>
      <c r="AI322">
        <v>2</v>
      </c>
      <c r="AJ322">
        <v>3</v>
      </c>
      <c r="AK322">
        <v>17</v>
      </c>
      <c r="AL322" t="s">
        <v>760</v>
      </c>
      <c r="AM322" t="s">
        <v>438</v>
      </c>
      <c r="AN322" t="s">
        <v>761</v>
      </c>
      <c r="AO322" t="s">
        <v>899</v>
      </c>
      <c r="AP322" t="s">
        <v>900</v>
      </c>
      <c r="AQ322" t="s">
        <v>74</v>
      </c>
      <c r="AR322" t="s">
        <v>901</v>
      </c>
      <c r="AS322" t="s">
        <v>902</v>
      </c>
      <c r="AT322" t="s">
        <v>6502</v>
      </c>
      <c r="AU322">
        <v>2021</v>
      </c>
      <c r="AV322">
        <v>126</v>
      </c>
      <c r="AW322">
        <v>20</v>
      </c>
      <c r="AX322" t="s">
        <v>74</v>
      </c>
      <c r="AY322" t="s">
        <v>74</v>
      </c>
      <c r="AZ322" t="s">
        <v>74</v>
      </c>
      <c r="BA322" t="s">
        <v>74</v>
      </c>
      <c r="BB322" t="s">
        <v>74</v>
      </c>
      <c r="BC322" t="s">
        <v>74</v>
      </c>
      <c r="BD322" t="s">
        <v>6726</v>
      </c>
      <c r="BE322" t="s">
        <v>6727</v>
      </c>
      <c r="BF322" t="str">
        <f>HYPERLINK("http://dx.doi.org/10.1029/2021JD034902","http://dx.doi.org/10.1029/2021JD034902")</f>
        <v>http://dx.doi.org/10.1029/2021JD034902</v>
      </c>
      <c r="BG322" t="s">
        <v>74</v>
      </c>
      <c r="BH322" t="s">
        <v>74</v>
      </c>
      <c r="BI322">
        <v>17</v>
      </c>
      <c r="BJ322" t="s">
        <v>829</v>
      </c>
      <c r="BK322" t="s">
        <v>101</v>
      </c>
      <c r="BL322" t="s">
        <v>829</v>
      </c>
      <c r="BM322" t="s">
        <v>6702</v>
      </c>
      <c r="BN322" t="s">
        <v>74</v>
      </c>
      <c r="BO322" t="s">
        <v>1471</v>
      </c>
      <c r="BP322" t="s">
        <v>74</v>
      </c>
      <c r="BQ322" t="s">
        <v>74</v>
      </c>
      <c r="BR322" t="s">
        <v>105</v>
      </c>
      <c r="BS322" t="s">
        <v>6728</v>
      </c>
      <c r="BT322" t="str">
        <f>HYPERLINK("https%3A%2F%2Fwww.webofscience.com%2Fwos%2Fwoscc%2Ffull-record%2FWOS:000711482400009","View Full Record in Web of Science")</f>
        <v>View Full Record in Web of Science</v>
      </c>
    </row>
    <row r="323" spans="1:72" x14ac:dyDescent="0.15">
      <c r="A323" t="s">
        <v>72</v>
      </c>
      <c r="B323" t="s">
        <v>6729</v>
      </c>
      <c r="C323" t="s">
        <v>74</v>
      </c>
      <c r="D323" t="s">
        <v>74</v>
      </c>
      <c r="E323" t="s">
        <v>74</v>
      </c>
      <c r="F323" t="s">
        <v>6730</v>
      </c>
      <c r="G323" t="s">
        <v>74</v>
      </c>
      <c r="H323" t="s">
        <v>74</v>
      </c>
      <c r="I323" t="s">
        <v>6731</v>
      </c>
      <c r="J323" t="s">
        <v>1139</v>
      </c>
      <c r="K323" t="s">
        <v>74</v>
      </c>
      <c r="L323" t="s">
        <v>74</v>
      </c>
      <c r="M323" t="s">
        <v>78</v>
      </c>
      <c r="N323" t="s">
        <v>79</v>
      </c>
      <c r="O323" t="s">
        <v>74</v>
      </c>
      <c r="P323" t="s">
        <v>74</v>
      </c>
      <c r="Q323" t="s">
        <v>74</v>
      </c>
      <c r="R323" t="s">
        <v>74</v>
      </c>
      <c r="S323" t="s">
        <v>74</v>
      </c>
      <c r="T323" t="s">
        <v>74</v>
      </c>
      <c r="U323" t="s">
        <v>6732</v>
      </c>
      <c r="V323" t="s">
        <v>6733</v>
      </c>
      <c r="W323" t="s">
        <v>6734</v>
      </c>
      <c r="X323" t="s">
        <v>6735</v>
      </c>
      <c r="Y323" t="s">
        <v>6736</v>
      </c>
      <c r="Z323" t="s">
        <v>6737</v>
      </c>
      <c r="AA323" t="s">
        <v>6738</v>
      </c>
      <c r="AB323" t="s">
        <v>6739</v>
      </c>
      <c r="AC323" t="s">
        <v>6740</v>
      </c>
      <c r="AD323" t="s">
        <v>6741</v>
      </c>
      <c r="AE323" t="s">
        <v>6742</v>
      </c>
      <c r="AF323" t="s">
        <v>74</v>
      </c>
      <c r="AG323">
        <v>84</v>
      </c>
      <c r="AH323">
        <v>6</v>
      </c>
      <c r="AI323">
        <v>7</v>
      </c>
      <c r="AJ323">
        <v>0</v>
      </c>
      <c r="AK323">
        <v>7</v>
      </c>
      <c r="AL323" t="s">
        <v>227</v>
      </c>
      <c r="AM323" t="s">
        <v>228</v>
      </c>
      <c r="AN323" t="s">
        <v>229</v>
      </c>
      <c r="AO323" t="s">
        <v>1150</v>
      </c>
      <c r="AP323" t="s">
        <v>1151</v>
      </c>
      <c r="AQ323" t="s">
        <v>74</v>
      </c>
      <c r="AR323" t="s">
        <v>1152</v>
      </c>
      <c r="AS323" t="s">
        <v>1153</v>
      </c>
      <c r="AT323" t="s">
        <v>6502</v>
      </c>
      <c r="AU323">
        <v>2021</v>
      </c>
      <c r="AV323">
        <v>17</v>
      </c>
      <c r="AW323">
        <v>5</v>
      </c>
      <c r="AX323" t="s">
        <v>74</v>
      </c>
      <c r="AY323" t="s">
        <v>74</v>
      </c>
      <c r="AZ323" t="s">
        <v>74</v>
      </c>
      <c r="BA323" t="s">
        <v>74</v>
      </c>
      <c r="BB323">
        <v>1489</v>
      </c>
      <c r="BC323">
        <v>1507</v>
      </c>
      <c r="BD323" t="s">
        <v>74</v>
      </c>
      <c r="BE323" t="s">
        <v>6743</v>
      </c>
      <c r="BF323" t="str">
        <f>HYPERLINK("http://dx.doi.org/10.5194/os-17-1489-2021","http://dx.doi.org/10.5194/os-17-1489-2021")</f>
        <v>http://dx.doi.org/10.5194/os-17-1489-2021</v>
      </c>
      <c r="BG323" t="s">
        <v>74</v>
      </c>
      <c r="BH323" t="s">
        <v>74</v>
      </c>
      <c r="BI323">
        <v>19</v>
      </c>
      <c r="BJ323" t="s">
        <v>1155</v>
      </c>
      <c r="BK323" t="s">
        <v>101</v>
      </c>
      <c r="BL323" t="s">
        <v>1155</v>
      </c>
      <c r="BM323" t="s">
        <v>6744</v>
      </c>
      <c r="BN323" t="s">
        <v>74</v>
      </c>
      <c r="BO323" t="s">
        <v>1117</v>
      </c>
      <c r="BP323" t="s">
        <v>74</v>
      </c>
      <c r="BQ323" t="s">
        <v>74</v>
      </c>
      <c r="BR323" t="s">
        <v>105</v>
      </c>
      <c r="BS323" t="s">
        <v>6745</v>
      </c>
      <c r="BT323" t="str">
        <f>HYPERLINK("https%3A%2F%2Fwww.webofscience.com%2Fwos%2Fwoscc%2Ffull-record%2FWOS:000711959300001","View Full Record in Web of Science")</f>
        <v>View Full Record in Web of Science</v>
      </c>
    </row>
    <row r="324" spans="1:72" x14ac:dyDescent="0.15">
      <c r="A324" t="s">
        <v>72</v>
      </c>
      <c r="B324" t="s">
        <v>6746</v>
      </c>
      <c r="C324" t="s">
        <v>74</v>
      </c>
      <c r="D324" t="s">
        <v>74</v>
      </c>
      <c r="E324" t="s">
        <v>74</v>
      </c>
      <c r="F324" t="s">
        <v>6747</v>
      </c>
      <c r="G324" t="s">
        <v>74</v>
      </c>
      <c r="H324" t="s">
        <v>74</v>
      </c>
      <c r="I324" t="s">
        <v>6748</v>
      </c>
      <c r="J324" t="s">
        <v>6749</v>
      </c>
      <c r="K324" t="s">
        <v>74</v>
      </c>
      <c r="L324" t="s">
        <v>74</v>
      </c>
      <c r="M324" t="s">
        <v>78</v>
      </c>
      <c r="N324" t="s">
        <v>79</v>
      </c>
      <c r="O324" t="s">
        <v>74</v>
      </c>
      <c r="P324" t="s">
        <v>74</v>
      </c>
      <c r="Q324" t="s">
        <v>74</v>
      </c>
      <c r="R324" t="s">
        <v>74</v>
      </c>
      <c r="S324" t="s">
        <v>74</v>
      </c>
      <c r="T324" t="s">
        <v>6750</v>
      </c>
      <c r="U324" t="s">
        <v>6751</v>
      </c>
      <c r="V324" t="s">
        <v>6752</v>
      </c>
      <c r="W324" t="s">
        <v>6753</v>
      </c>
      <c r="X324" t="s">
        <v>6754</v>
      </c>
      <c r="Y324" t="s">
        <v>6755</v>
      </c>
      <c r="Z324" t="s">
        <v>6756</v>
      </c>
      <c r="AA324" t="s">
        <v>6757</v>
      </c>
      <c r="AB324" t="s">
        <v>6758</v>
      </c>
      <c r="AC324" t="s">
        <v>6759</v>
      </c>
      <c r="AD324" t="s">
        <v>6760</v>
      </c>
      <c r="AE324" t="s">
        <v>6761</v>
      </c>
      <c r="AF324" t="s">
        <v>74</v>
      </c>
      <c r="AG324">
        <v>38</v>
      </c>
      <c r="AH324">
        <v>8</v>
      </c>
      <c r="AI324">
        <v>8</v>
      </c>
      <c r="AJ324">
        <v>0</v>
      </c>
      <c r="AK324">
        <v>0</v>
      </c>
      <c r="AL324" t="s">
        <v>1687</v>
      </c>
      <c r="AM324" t="s">
        <v>333</v>
      </c>
      <c r="AN324" t="s">
        <v>1688</v>
      </c>
      <c r="AO324" t="s">
        <v>6762</v>
      </c>
      <c r="AP324" t="s">
        <v>6763</v>
      </c>
      <c r="AQ324" t="s">
        <v>74</v>
      </c>
      <c r="AR324" t="s">
        <v>6764</v>
      </c>
      <c r="AS324" t="s">
        <v>6765</v>
      </c>
      <c r="AT324" t="s">
        <v>6502</v>
      </c>
      <c r="AU324">
        <v>2021</v>
      </c>
      <c r="AV324">
        <v>477</v>
      </c>
      <c r="AW324">
        <v>2254</v>
      </c>
      <c r="AX324" t="s">
        <v>74</v>
      </c>
      <c r="AY324" t="s">
        <v>74</v>
      </c>
      <c r="AZ324" t="s">
        <v>74</v>
      </c>
      <c r="BA324" t="s">
        <v>74</v>
      </c>
      <c r="BB324" t="s">
        <v>74</v>
      </c>
      <c r="BC324" t="s">
        <v>74</v>
      </c>
      <c r="BD324">
        <v>20210173</v>
      </c>
      <c r="BE324" t="s">
        <v>6766</v>
      </c>
      <c r="BF324" t="str">
        <f>HYPERLINK("http://dx.doi.org/10.1098/rspa.2021.0173","http://dx.doi.org/10.1098/rspa.2021.0173")</f>
        <v>http://dx.doi.org/10.1098/rspa.2021.0173</v>
      </c>
      <c r="BG324" t="s">
        <v>74</v>
      </c>
      <c r="BH324" t="s">
        <v>74</v>
      </c>
      <c r="BI324">
        <v>20</v>
      </c>
      <c r="BJ324" t="s">
        <v>126</v>
      </c>
      <c r="BK324" t="s">
        <v>101</v>
      </c>
      <c r="BL324" t="s">
        <v>127</v>
      </c>
      <c r="BM324" t="s">
        <v>6767</v>
      </c>
      <c r="BN324" t="s">
        <v>74</v>
      </c>
      <c r="BO324" t="s">
        <v>419</v>
      </c>
      <c r="BP324" t="s">
        <v>74</v>
      </c>
      <c r="BQ324" t="s">
        <v>74</v>
      </c>
      <c r="BR324" t="s">
        <v>105</v>
      </c>
      <c r="BS324" t="s">
        <v>6768</v>
      </c>
      <c r="BT324" t="str">
        <f>HYPERLINK("https%3A%2F%2Fwww.webofscience.com%2Fwos%2Fwoscc%2Ffull-record%2FWOS:000706619800013","View Full Record in Web of Science")</f>
        <v>View Full Record in Web of Science</v>
      </c>
    </row>
    <row r="325" spans="1:72" x14ac:dyDescent="0.15">
      <c r="A325" t="s">
        <v>72</v>
      </c>
      <c r="B325" t="s">
        <v>6769</v>
      </c>
      <c r="C325" t="s">
        <v>74</v>
      </c>
      <c r="D325" t="s">
        <v>74</v>
      </c>
      <c r="E325" t="s">
        <v>74</v>
      </c>
      <c r="F325" t="s">
        <v>6770</v>
      </c>
      <c r="G325" t="s">
        <v>74</v>
      </c>
      <c r="H325" t="s">
        <v>74</v>
      </c>
      <c r="I325" t="s">
        <v>6771</v>
      </c>
      <c r="J325" t="s">
        <v>6143</v>
      </c>
      <c r="K325" t="s">
        <v>74</v>
      </c>
      <c r="L325" t="s">
        <v>74</v>
      </c>
      <c r="M325" t="s">
        <v>78</v>
      </c>
      <c r="N325" t="s">
        <v>79</v>
      </c>
      <c r="O325" t="s">
        <v>74</v>
      </c>
      <c r="P325" t="s">
        <v>74</v>
      </c>
      <c r="Q325" t="s">
        <v>74</v>
      </c>
      <c r="R325" t="s">
        <v>74</v>
      </c>
      <c r="S325" t="s">
        <v>74</v>
      </c>
      <c r="T325" t="s">
        <v>6772</v>
      </c>
      <c r="U325" t="s">
        <v>6773</v>
      </c>
      <c r="V325" t="s">
        <v>6774</v>
      </c>
      <c r="W325" t="s">
        <v>6775</v>
      </c>
      <c r="X325" t="s">
        <v>6776</v>
      </c>
      <c r="Y325" t="s">
        <v>6777</v>
      </c>
      <c r="Z325" t="s">
        <v>6778</v>
      </c>
      <c r="AA325" t="s">
        <v>6779</v>
      </c>
      <c r="AB325" t="s">
        <v>6780</v>
      </c>
      <c r="AC325" t="s">
        <v>6781</v>
      </c>
      <c r="AD325" t="s">
        <v>1020</v>
      </c>
      <c r="AE325" t="s">
        <v>6782</v>
      </c>
      <c r="AF325" t="s">
        <v>74</v>
      </c>
      <c r="AG325">
        <v>123</v>
      </c>
      <c r="AH325">
        <v>5</v>
      </c>
      <c r="AI325">
        <v>5</v>
      </c>
      <c r="AJ325">
        <v>3</v>
      </c>
      <c r="AK325">
        <v>12</v>
      </c>
      <c r="AL325" t="s">
        <v>666</v>
      </c>
      <c r="AM325" t="s">
        <v>170</v>
      </c>
      <c r="AN325" t="s">
        <v>667</v>
      </c>
      <c r="AO325" t="s">
        <v>6156</v>
      </c>
      <c r="AP325" t="s">
        <v>6157</v>
      </c>
      <c r="AQ325" t="s">
        <v>74</v>
      </c>
      <c r="AR325" t="s">
        <v>6158</v>
      </c>
      <c r="AS325" t="s">
        <v>6159</v>
      </c>
      <c r="AT325" t="s">
        <v>98</v>
      </c>
      <c r="AU325">
        <v>2021</v>
      </c>
      <c r="AV325">
        <v>33</v>
      </c>
      <c r="AW325">
        <v>6</v>
      </c>
      <c r="AX325" t="s">
        <v>74</v>
      </c>
      <c r="AY325" t="s">
        <v>74</v>
      </c>
      <c r="AZ325" t="s">
        <v>74</v>
      </c>
      <c r="BA325" t="s">
        <v>74</v>
      </c>
      <c r="BB325">
        <v>605</v>
      </c>
      <c r="BC325">
        <v>623</v>
      </c>
      <c r="BD325" t="s">
        <v>6783</v>
      </c>
      <c r="BE325" t="s">
        <v>6784</v>
      </c>
      <c r="BF325" t="str">
        <f>HYPERLINK("http://dx.doi.org/10.1017/S0954102021000328","http://dx.doi.org/10.1017/S0954102021000328")</f>
        <v>http://dx.doi.org/10.1017/S0954102021000328</v>
      </c>
      <c r="BG325" t="s">
        <v>74</v>
      </c>
      <c r="BH325" t="s">
        <v>5766</v>
      </c>
      <c r="BI325">
        <v>19</v>
      </c>
      <c r="BJ325" t="s">
        <v>6161</v>
      </c>
      <c r="BK325" t="s">
        <v>101</v>
      </c>
      <c r="BL325" t="s">
        <v>6162</v>
      </c>
      <c r="BM325" t="s">
        <v>6163</v>
      </c>
      <c r="BN325" t="s">
        <v>74</v>
      </c>
      <c r="BO325" t="s">
        <v>74</v>
      </c>
      <c r="BP325" t="s">
        <v>74</v>
      </c>
      <c r="BQ325" t="s">
        <v>74</v>
      </c>
      <c r="BR325" t="s">
        <v>105</v>
      </c>
      <c r="BS325" t="s">
        <v>6785</v>
      </c>
      <c r="BT325" t="str">
        <f>HYPERLINK("https%3A%2F%2Fwww.webofscience.com%2Fwos%2Fwoscc%2Ffull-record%2FWOS:000737584300001","View Full Record in Web of Science")</f>
        <v>View Full Record in Web of Science</v>
      </c>
    </row>
    <row r="326" spans="1:72" x14ac:dyDescent="0.15">
      <c r="A326" t="s">
        <v>72</v>
      </c>
      <c r="B326" t="s">
        <v>6786</v>
      </c>
      <c r="C326" t="s">
        <v>74</v>
      </c>
      <c r="D326" t="s">
        <v>74</v>
      </c>
      <c r="E326" t="s">
        <v>74</v>
      </c>
      <c r="F326" t="s">
        <v>6787</v>
      </c>
      <c r="G326" t="s">
        <v>74</v>
      </c>
      <c r="H326" t="s">
        <v>74</v>
      </c>
      <c r="I326" t="s">
        <v>6788</v>
      </c>
      <c r="J326" t="s">
        <v>3558</v>
      </c>
      <c r="K326" t="s">
        <v>74</v>
      </c>
      <c r="L326" t="s">
        <v>74</v>
      </c>
      <c r="M326" t="s">
        <v>78</v>
      </c>
      <c r="N326" t="s">
        <v>79</v>
      </c>
      <c r="O326" t="s">
        <v>74</v>
      </c>
      <c r="P326" t="s">
        <v>74</v>
      </c>
      <c r="Q326" t="s">
        <v>74</v>
      </c>
      <c r="R326" t="s">
        <v>74</v>
      </c>
      <c r="S326" t="s">
        <v>74</v>
      </c>
      <c r="T326" t="s">
        <v>74</v>
      </c>
      <c r="U326" t="s">
        <v>6789</v>
      </c>
      <c r="V326" t="s">
        <v>6790</v>
      </c>
      <c r="W326" t="s">
        <v>6791</v>
      </c>
      <c r="X326" t="s">
        <v>6792</v>
      </c>
      <c r="Y326" t="s">
        <v>6793</v>
      </c>
      <c r="Z326" t="s">
        <v>6794</v>
      </c>
      <c r="AA326" t="s">
        <v>1563</v>
      </c>
      <c r="AB326" t="s">
        <v>6795</v>
      </c>
      <c r="AC326" t="s">
        <v>6796</v>
      </c>
      <c r="AD326" t="s">
        <v>6797</v>
      </c>
      <c r="AE326" t="s">
        <v>6798</v>
      </c>
      <c r="AF326" t="s">
        <v>74</v>
      </c>
      <c r="AG326">
        <v>80</v>
      </c>
      <c r="AH326">
        <v>5</v>
      </c>
      <c r="AI326">
        <v>5</v>
      </c>
      <c r="AJ326">
        <v>2</v>
      </c>
      <c r="AK326">
        <v>8</v>
      </c>
      <c r="AL326" t="s">
        <v>572</v>
      </c>
      <c r="AM326" t="s">
        <v>573</v>
      </c>
      <c r="AN326" t="s">
        <v>574</v>
      </c>
      <c r="AO326" t="s">
        <v>3570</v>
      </c>
      <c r="AP326" t="s">
        <v>3571</v>
      </c>
      <c r="AQ326" t="s">
        <v>74</v>
      </c>
      <c r="AR326" t="s">
        <v>3572</v>
      </c>
      <c r="AS326" t="s">
        <v>3573</v>
      </c>
      <c r="AT326" t="s">
        <v>98</v>
      </c>
      <c r="AU326">
        <v>2021</v>
      </c>
      <c r="AV326">
        <v>66</v>
      </c>
      <c r="AW326">
        <v>12</v>
      </c>
      <c r="AX326" t="s">
        <v>74</v>
      </c>
      <c r="AY326" t="s">
        <v>74</v>
      </c>
      <c r="AZ326" t="s">
        <v>74</v>
      </c>
      <c r="BA326" t="s">
        <v>74</v>
      </c>
      <c r="BB326">
        <v>4140</v>
      </c>
      <c r="BC326">
        <v>4158</v>
      </c>
      <c r="BD326" t="s">
        <v>74</v>
      </c>
      <c r="BE326" t="s">
        <v>6799</v>
      </c>
      <c r="BF326" t="str">
        <f>HYPERLINK("http://dx.doi.org/10.1002/lno.11949","http://dx.doi.org/10.1002/lno.11949")</f>
        <v>http://dx.doi.org/10.1002/lno.11949</v>
      </c>
      <c r="BG326" t="s">
        <v>74</v>
      </c>
      <c r="BH326" t="s">
        <v>5766</v>
      </c>
      <c r="BI326">
        <v>19</v>
      </c>
      <c r="BJ326" t="s">
        <v>3575</v>
      </c>
      <c r="BK326" t="s">
        <v>101</v>
      </c>
      <c r="BL326" t="s">
        <v>3136</v>
      </c>
      <c r="BM326" t="s">
        <v>6416</v>
      </c>
      <c r="BN326" t="s">
        <v>74</v>
      </c>
      <c r="BO326" t="s">
        <v>74</v>
      </c>
      <c r="BP326" t="s">
        <v>74</v>
      </c>
      <c r="BQ326" t="s">
        <v>74</v>
      </c>
      <c r="BR326" t="s">
        <v>105</v>
      </c>
      <c r="BS326" t="s">
        <v>6800</v>
      </c>
      <c r="BT326" t="str">
        <f>HYPERLINK("https%3A%2F%2Fwww.webofscience.com%2Fwos%2Fwoscc%2Ffull-record%2FWOS:000711023400001","View Full Record in Web of Science")</f>
        <v>View Full Record in Web of Science</v>
      </c>
    </row>
    <row r="327" spans="1:72" x14ac:dyDescent="0.15">
      <c r="A327" t="s">
        <v>72</v>
      </c>
      <c r="B327" t="s">
        <v>6801</v>
      </c>
      <c r="C327" t="s">
        <v>74</v>
      </c>
      <c r="D327" t="s">
        <v>74</v>
      </c>
      <c r="E327" t="s">
        <v>74</v>
      </c>
      <c r="F327" t="s">
        <v>6802</v>
      </c>
      <c r="G327" t="s">
        <v>74</v>
      </c>
      <c r="H327" t="s">
        <v>74</v>
      </c>
      <c r="I327" t="s">
        <v>6803</v>
      </c>
      <c r="J327" t="s">
        <v>6804</v>
      </c>
      <c r="K327" t="s">
        <v>74</v>
      </c>
      <c r="L327" t="s">
        <v>74</v>
      </c>
      <c r="M327" t="s">
        <v>78</v>
      </c>
      <c r="N327" t="s">
        <v>79</v>
      </c>
      <c r="O327" t="s">
        <v>74</v>
      </c>
      <c r="P327" t="s">
        <v>74</v>
      </c>
      <c r="Q327" t="s">
        <v>74</v>
      </c>
      <c r="R327" t="s">
        <v>74</v>
      </c>
      <c r="S327" t="s">
        <v>74</v>
      </c>
      <c r="T327" t="s">
        <v>6805</v>
      </c>
      <c r="U327" t="s">
        <v>6806</v>
      </c>
      <c r="V327" t="s">
        <v>6807</v>
      </c>
      <c r="W327" t="s">
        <v>6808</v>
      </c>
      <c r="X327" t="s">
        <v>6809</v>
      </c>
      <c r="Y327" t="s">
        <v>6810</v>
      </c>
      <c r="Z327" t="s">
        <v>6811</v>
      </c>
      <c r="AA327" t="s">
        <v>6812</v>
      </c>
      <c r="AB327" t="s">
        <v>6813</v>
      </c>
      <c r="AC327" t="s">
        <v>6814</v>
      </c>
      <c r="AD327" t="s">
        <v>6815</v>
      </c>
      <c r="AE327" t="s">
        <v>6816</v>
      </c>
      <c r="AF327" t="s">
        <v>74</v>
      </c>
      <c r="AG327">
        <v>86</v>
      </c>
      <c r="AH327">
        <v>13</v>
      </c>
      <c r="AI327">
        <v>13</v>
      </c>
      <c r="AJ327">
        <v>3</v>
      </c>
      <c r="AK327">
        <v>16</v>
      </c>
      <c r="AL327" t="s">
        <v>572</v>
      </c>
      <c r="AM327" t="s">
        <v>573</v>
      </c>
      <c r="AN327" t="s">
        <v>574</v>
      </c>
      <c r="AO327" t="s">
        <v>6817</v>
      </c>
      <c r="AP327" t="s">
        <v>6818</v>
      </c>
      <c r="AQ327" t="s">
        <v>74</v>
      </c>
      <c r="AR327" t="s">
        <v>6819</v>
      </c>
      <c r="AS327" t="s">
        <v>6820</v>
      </c>
      <c r="AT327" t="s">
        <v>525</v>
      </c>
      <c r="AU327">
        <v>2022</v>
      </c>
      <c r="AV327">
        <v>47</v>
      </c>
      <c r="AW327">
        <v>2</v>
      </c>
      <c r="AX327" t="s">
        <v>74</v>
      </c>
      <c r="AY327" t="s">
        <v>74</v>
      </c>
      <c r="AZ327" t="s">
        <v>74</v>
      </c>
      <c r="BA327" t="s">
        <v>74</v>
      </c>
      <c r="BB327">
        <v>367</v>
      </c>
      <c r="BC327">
        <v>382</v>
      </c>
      <c r="BD327" t="s">
        <v>74</v>
      </c>
      <c r="BE327" t="s">
        <v>6821</v>
      </c>
      <c r="BF327" t="str">
        <f>HYPERLINK("http://dx.doi.org/10.1002/esp.5253","http://dx.doi.org/10.1002/esp.5253")</f>
        <v>http://dx.doi.org/10.1002/esp.5253</v>
      </c>
      <c r="BG327" t="s">
        <v>74</v>
      </c>
      <c r="BH327" t="s">
        <v>5766</v>
      </c>
      <c r="BI327">
        <v>16</v>
      </c>
      <c r="BJ327" t="s">
        <v>340</v>
      </c>
      <c r="BK327" t="s">
        <v>101</v>
      </c>
      <c r="BL327" t="s">
        <v>341</v>
      </c>
      <c r="BM327" t="s">
        <v>6822</v>
      </c>
      <c r="BN327" t="s">
        <v>74</v>
      </c>
      <c r="BO327" t="s">
        <v>74</v>
      </c>
      <c r="BP327" t="s">
        <v>74</v>
      </c>
      <c r="BQ327" t="s">
        <v>74</v>
      </c>
      <c r="BR327" t="s">
        <v>105</v>
      </c>
      <c r="BS327" t="s">
        <v>6823</v>
      </c>
      <c r="BT327" t="str">
        <f>HYPERLINK("https%3A%2F%2Fwww.webofscience.com%2Fwos%2Fwoscc%2Ffull-record%2FWOS:000710902900001","View Full Record in Web of Science")</f>
        <v>View Full Record in Web of Science</v>
      </c>
    </row>
    <row r="328" spans="1:72" x14ac:dyDescent="0.15">
      <c r="A328" t="s">
        <v>72</v>
      </c>
      <c r="B328" t="s">
        <v>6824</v>
      </c>
      <c r="C328" t="s">
        <v>74</v>
      </c>
      <c r="D328" t="s">
        <v>74</v>
      </c>
      <c r="E328" t="s">
        <v>74</v>
      </c>
      <c r="F328" t="s">
        <v>6825</v>
      </c>
      <c r="G328" t="s">
        <v>74</v>
      </c>
      <c r="H328" t="s">
        <v>74</v>
      </c>
      <c r="I328" t="s">
        <v>6826</v>
      </c>
      <c r="J328" t="s">
        <v>6143</v>
      </c>
      <c r="K328" t="s">
        <v>74</v>
      </c>
      <c r="L328" t="s">
        <v>74</v>
      </c>
      <c r="M328" t="s">
        <v>78</v>
      </c>
      <c r="N328" t="s">
        <v>79</v>
      </c>
      <c r="O328" t="s">
        <v>74</v>
      </c>
      <c r="P328" t="s">
        <v>74</v>
      </c>
      <c r="Q328" t="s">
        <v>74</v>
      </c>
      <c r="R328" t="s">
        <v>74</v>
      </c>
      <c r="S328" t="s">
        <v>74</v>
      </c>
      <c r="T328" t="s">
        <v>6827</v>
      </c>
      <c r="U328" t="s">
        <v>6828</v>
      </c>
      <c r="V328" t="s">
        <v>6829</v>
      </c>
      <c r="W328" t="s">
        <v>6830</v>
      </c>
      <c r="X328" t="s">
        <v>6831</v>
      </c>
      <c r="Y328" t="s">
        <v>6832</v>
      </c>
      <c r="Z328" t="s">
        <v>6833</v>
      </c>
      <c r="AA328" t="s">
        <v>74</v>
      </c>
      <c r="AB328" t="s">
        <v>6834</v>
      </c>
      <c r="AC328" t="s">
        <v>6835</v>
      </c>
      <c r="AD328" t="s">
        <v>6836</v>
      </c>
      <c r="AE328" t="s">
        <v>6837</v>
      </c>
      <c r="AF328" t="s">
        <v>74</v>
      </c>
      <c r="AG328">
        <v>36</v>
      </c>
      <c r="AH328">
        <v>1</v>
      </c>
      <c r="AI328">
        <v>1</v>
      </c>
      <c r="AJ328">
        <v>1</v>
      </c>
      <c r="AK328">
        <v>16</v>
      </c>
      <c r="AL328" t="s">
        <v>666</v>
      </c>
      <c r="AM328" t="s">
        <v>170</v>
      </c>
      <c r="AN328" t="s">
        <v>667</v>
      </c>
      <c r="AO328" t="s">
        <v>6156</v>
      </c>
      <c r="AP328" t="s">
        <v>6157</v>
      </c>
      <c r="AQ328" t="s">
        <v>74</v>
      </c>
      <c r="AR328" t="s">
        <v>6158</v>
      </c>
      <c r="AS328" t="s">
        <v>6159</v>
      </c>
      <c r="AT328" t="s">
        <v>98</v>
      </c>
      <c r="AU328">
        <v>2021</v>
      </c>
      <c r="AV328">
        <v>33</v>
      </c>
      <c r="AW328">
        <v>6</v>
      </c>
      <c r="AX328" t="s">
        <v>74</v>
      </c>
      <c r="AY328" t="s">
        <v>74</v>
      </c>
      <c r="AZ328" t="s">
        <v>74</v>
      </c>
      <c r="BA328" t="s">
        <v>74</v>
      </c>
      <c r="BB328">
        <v>660</v>
      </c>
      <c r="BC328">
        <v>673</v>
      </c>
      <c r="BD328" t="s">
        <v>6838</v>
      </c>
      <c r="BE328" t="s">
        <v>6839</v>
      </c>
      <c r="BF328" t="str">
        <f>HYPERLINK("http://dx.doi.org/10.1017/S0954102021000419","http://dx.doi.org/10.1017/S0954102021000419")</f>
        <v>http://dx.doi.org/10.1017/S0954102021000419</v>
      </c>
      <c r="BG328" t="s">
        <v>74</v>
      </c>
      <c r="BH328" t="s">
        <v>5766</v>
      </c>
      <c r="BI328">
        <v>14</v>
      </c>
      <c r="BJ328" t="s">
        <v>6161</v>
      </c>
      <c r="BK328" t="s">
        <v>101</v>
      </c>
      <c r="BL328" t="s">
        <v>6162</v>
      </c>
      <c r="BM328" t="s">
        <v>6163</v>
      </c>
      <c r="BN328" t="s">
        <v>74</v>
      </c>
      <c r="BO328" t="s">
        <v>419</v>
      </c>
      <c r="BP328" t="s">
        <v>74</v>
      </c>
      <c r="BQ328" t="s">
        <v>74</v>
      </c>
      <c r="BR328" t="s">
        <v>105</v>
      </c>
      <c r="BS328" t="s">
        <v>6840</v>
      </c>
      <c r="BT328" t="str">
        <f>HYPERLINK("https%3A%2F%2Fwww.webofscience.com%2Fwos%2Fwoscc%2Ffull-record%2FWOS:000737585700001","View Full Record in Web of Science")</f>
        <v>View Full Record in Web of Science</v>
      </c>
    </row>
    <row r="329" spans="1:72" x14ac:dyDescent="0.15">
      <c r="A329" t="s">
        <v>72</v>
      </c>
      <c r="B329" t="s">
        <v>6841</v>
      </c>
      <c r="C329" t="s">
        <v>74</v>
      </c>
      <c r="D329" t="s">
        <v>74</v>
      </c>
      <c r="E329" t="s">
        <v>74</v>
      </c>
      <c r="F329" t="s">
        <v>6842</v>
      </c>
      <c r="G329" t="s">
        <v>74</v>
      </c>
      <c r="H329" t="s">
        <v>74</v>
      </c>
      <c r="I329" t="s">
        <v>6843</v>
      </c>
      <c r="J329" t="s">
        <v>372</v>
      </c>
      <c r="K329" t="s">
        <v>74</v>
      </c>
      <c r="L329" t="s">
        <v>74</v>
      </c>
      <c r="M329" t="s">
        <v>78</v>
      </c>
      <c r="N329" t="s">
        <v>79</v>
      </c>
      <c r="O329" t="s">
        <v>74</v>
      </c>
      <c r="P329" t="s">
        <v>74</v>
      </c>
      <c r="Q329" t="s">
        <v>74</v>
      </c>
      <c r="R329" t="s">
        <v>74</v>
      </c>
      <c r="S329" t="s">
        <v>74</v>
      </c>
      <c r="T329" t="s">
        <v>6844</v>
      </c>
      <c r="U329" t="s">
        <v>6845</v>
      </c>
      <c r="V329" t="s">
        <v>6846</v>
      </c>
      <c r="W329" t="s">
        <v>6847</v>
      </c>
      <c r="X329" t="s">
        <v>6848</v>
      </c>
      <c r="Y329" t="s">
        <v>6849</v>
      </c>
      <c r="Z329" t="s">
        <v>6850</v>
      </c>
      <c r="AA329" t="s">
        <v>6851</v>
      </c>
      <c r="AB329" t="s">
        <v>6852</v>
      </c>
      <c r="AC329" t="s">
        <v>6853</v>
      </c>
      <c r="AD329" t="s">
        <v>6854</v>
      </c>
      <c r="AE329" t="s">
        <v>6855</v>
      </c>
      <c r="AF329" t="s">
        <v>74</v>
      </c>
      <c r="AG329">
        <v>123</v>
      </c>
      <c r="AH329">
        <v>11</v>
      </c>
      <c r="AI329">
        <v>12</v>
      </c>
      <c r="AJ329">
        <v>6</v>
      </c>
      <c r="AK329">
        <v>26</v>
      </c>
      <c r="AL329" t="s">
        <v>383</v>
      </c>
      <c r="AM329" t="s">
        <v>384</v>
      </c>
      <c r="AN329" t="s">
        <v>385</v>
      </c>
      <c r="AO329" t="s">
        <v>74</v>
      </c>
      <c r="AP329" t="s">
        <v>386</v>
      </c>
      <c r="AQ329" t="s">
        <v>74</v>
      </c>
      <c r="AR329" t="s">
        <v>387</v>
      </c>
      <c r="AS329" t="s">
        <v>388</v>
      </c>
      <c r="AT329" t="s">
        <v>6856</v>
      </c>
      <c r="AU329">
        <v>2021</v>
      </c>
      <c r="AV329">
        <v>8</v>
      </c>
      <c r="AW329" t="s">
        <v>74</v>
      </c>
      <c r="AX329" t="s">
        <v>74</v>
      </c>
      <c r="AY329" t="s">
        <v>74</v>
      </c>
      <c r="AZ329" t="s">
        <v>74</v>
      </c>
      <c r="BA329" t="s">
        <v>74</v>
      </c>
      <c r="BB329" t="s">
        <v>74</v>
      </c>
      <c r="BC329" t="s">
        <v>74</v>
      </c>
      <c r="BD329">
        <v>737416</v>
      </c>
      <c r="BE329" t="s">
        <v>6857</v>
      </c>
      <c r="BF329" t="str">
        <f>HYPERLINK("http://dx.doi.org/10.3389/fmars.2021.737416","http://dx.doi.org/10.3389/fmars.2021.737416")</f>
        <v>http://dx.doi.org/10.3389/fmars.2021.737416</v>
      </c>
      <c r="BG329" t="s">
        <v>74</v>
      </c>
      <c r="BH329" t="s">
        <v>74</v>
      </c>
      <c r="BI329">
        <v>19</v>
      </c>
      <c r="BJ329" t="s">
        <v>391</v>
      </c>
      <c r="BK329" t="s">
        <v>207</v>
      </c>
      <c r="BL329" t="s">
        <v>392</v>
      </c>
      <c r="BM329" t="s">
        <v>6858</v>
      </c>
      <c r="BN329" t="s">
        <v>74</v>
      </c>
      <c r="BO329" t="s">
        <v>2114</v>
      </c>
      <c r="BP329" t="s">
        <v>74</v>
      </c>
      <c r="BQ329" t="s">
        <v>74</v>
      </c>
      <c r="BR329" t="s">
        <v>105</v>
      </c>
      <c r="BS329" t="s">
        <v>6859</v>
      </c>
      <c r="BT329" t="str">
        <f>HYPERLINK("https%3A%2F%2Fwww.webofscience.com%2Fwos%2Fwoscc%2Ffull-record%2FWOS:000717268700001","View Full Record in Web of Science")</f>
        <v>View Full Record in Web of Science</v>
      </c>
    </row>
    <row r="330" spans="1:72" x14ac:dyDescent="0.15">
      <c r="A330" t="s">
        <v>72</v>
      </c>
      <c r="B330" t="s">
        <v>6860</v>
      </c>
      <c r="C330" t="s">
        <v>74</v>
      </c>
      <c r="D330" t="s">
        <v>74</v>
      </c>
      <c r="E330" t="s">
        <v>74</v>
      </c>
      <c r="F330" t="s">
        <v>6861</v>
      </c>
      <c r="G330" t="s">
        <v>74</v>
      </c>
      <c r="H330" t="s">
        <v>74</v>
      </c>
      <c r="I330" t="s">
        <v>6862</v>
      </c>
      <c r="J330" t="s">
        <v>1313</v>
      </c>
      <c r="K330" t="s">
        <v>74</v>
      </c>
      <c r="L330" t="s">
        <v>74</v>
      </c>
      <c r="M330" t="s">
        <v>78</v>
      </c>
      <c r="N330" t="s">
        <v>79</v>
      </c>
      <c r="O330" t="s">
        <v>74</v>
      </c>
      <c r="P330" t="s">
        <v>74</v>
      </c>
      <c r="Q330" t="s">
        <v>74</v>
      </c>
      <c r="R330" t="s">
        <v>74</v>
      </c>
      <c r="S330" t="s">
        <v>74</v>
      </c>
      <c r="T330" t="s">
        <v>6863</v>
      </c>
      <c r="U330" t="s">
        <v>6864</v>
      </c>
      <c r="V330" t="s">
        <v>6865</v>
      </c>
      <c r="W330" t="s">
        <v>6866</v>
      </c>
      <c r="X330" t="s">
        <v>6867</v>
      </c>
      <c r="Y330" t="s">
        <v>6868</v>
      </c>
      <c r="Z330" t="s">
        <v>6869</v>
      </c>
      <c r="AA330" t="s">
        <v>6870</v>
      </c>
      <c r="AB330" t="s">
        <v>6871</v>
      </c>
      <c r="AC330" t="s">
        <v>6872</v>
      </c>
      <c r="AD330" t="s">
        <v>1020</v>
      </c>
      <c r="AE330" t="s">
        <v>74</v>
      </c>
      <c r="AF330" t="s">
        <v>74</v>
      </c>
      <c r="AG330">
        <v>113</v>
      </c>
      <c r="AH330">
        <v>2</v>
      </c>
      <c r="AI330">
        <v>2</v>
      </c>
      <c r="AJ330">
        <v>0</v>
      </c>
      <c r="AK330">
        <v>4</v>
      </c>
      <c r="AL330" t="s">
        <v>1326</v>
      </c>
      <c r="AM330" t="s">
        <v>256</v>
      </c>
      <c r="AN330" t="s">
        <v>1327</v>
      </c>
      <c r="AO330" t="s">
        <v>1328</v>
      </c>
      <c r="AP330" t="s">
        <v>1329</v>
      </c>
      <c r="AQ330" t="s">
        <v>74</v>
      </c>
      <c r="AR330" t="s">
        <v>1330</v>
      </c>
      <c r="AS330" t="s">
        <v>1331</v>
      </c>
      <c r="AT330" t="s">
        <v>98</v>
      </c>
      <c r="AU330">
        <v>2021</v>
      </c>
      <c r="AV330">
        <v>168</v>
      </c>
      <c r="AW330" t="s">
        <v>74</v>
      </c>
      <c r="AX330" t="s">
        <v>74</v>
      </c>
      <c r="AY330" t="s">
        <v>74</v>
      </c>
      <c r="AZ330" t="s">
        <v>74</v>
      </c>
      <c r="BA330" t="s">
        <v>74</v>
      </c>
      <c r="BB330" t="s">
        <v>74</v>
      </c>
      <c r="BC330" t="s">
        <v>74</v>
      </c>
      <c r="BD330">
        <v>101891</v>
      </c>
      <c r="BE330" t="s">
        <v>6873</v>
      </c>
      <c r="BF330" t="str">
        <f>HYPERLINK("http://dx.doi.org/10.1016/j.ocemod.2021.101891","http://dx.doi.org/10.1016/j.ocemod.2021.101891")</f>
        <v>http://dx.doi.org/10.1016/j.ocemod.2021.101891</v>
      </c>
      <c r="BG330" t="s">
        <v>74</v>
      </c>
      <c r="BH330" t="s">
        <v>5766</v>
      </c>
      <c r="BI330">
        <v>20</v>
      </c>
      <c r="BJ330" t="s">
        <v>1155</v>
      </c>
      <c r="BK330" t="s">
        <v>101</v>
      </c>
      <c r="BL330" t="s">
        <v>1155</v>
      </c>
      <c r="BM330" t="s">
        <v>6874</v>
      </c>
      <c r="BN330" t="s">
        <v>74</v>
      </c>
      <c r="BO330" t="s">
        <v>6875</v>
      </c>
      <c r="BP330" t="s">
        <v>74</v>
      </c>
      <c r="BQ330" t="s">
        <v>74</v>
      </c>
      <c r="BR330" t="s">
        <v>105</v>
      </c>
      <c r="BS330" t="s">
        <v>6876</v>
      </c>
      <c r="BT330" t="str">
        <f>HYPERLINK("https%3A%2F%2Fwww.webofscience.com%2Fwos%2Fwoscc%2Ffull-record%2FWOS:000714621900004","View Full Record in Web of Science")</f>
        <v>View Full Record in Web of Science</v>
      </c>
    </row>
    <row r="331" spans="1:72" x14ac:dyDescent="0.15">
      <c r="A331" t="s">
        <v>72</v>
      </c>
      <c r="B331" t="s">
        <v>6877</v>
      </c>
      <c r="C331" t="s">
        <v>74</v>
      </c>
      <c r="D331" t="s">
        <v>74</v>
      </c>
      <c r="E331" t="s">
        <v>74</v>
      </c>
      <c r="F331" t="s">
        <v>6878</v>
      </c>
      <c r="G331" t="s">
        <v>74</v>
      </c>
      <c r="H331" t="s">
        <v>74</v>
      </c>
      <c r="I331" t="s">
        <v>6879</v>
      </c>
      <c r="J331" t="s">
        <v>6880</v>
      </c>
      <c r="K331" t="s">
        <v>74</v>
      </c>
      <c r="L331" t="s">
        <v>74</v>
      </c>
      <c r="M331" t="s">
        <v>78</v>
      </c>
      <c r="N331" t="s">
        <v>79</v>
      </c>
      <c r="O331" t="s">
        <v>74</v>
      </c>
      <c r="P331" t="s">
        <v>74</v>
      </c>
      <c r="Q331" t="s">
        <v>74</v>
      </c>
      <c r="R331" t="s">
        <v>74</v>
      </c>
      <c r="S331" t="s">
        <v>74</v>
      </c>
      <c r="T331" t="s">
        <v>6881</v>
      </c>
      <c r="U331" t="s">
        <v>6882</v>
      </c>
      <c r="V331" t="s">
        <v>6883</v>
      </c>
      <c r="W331" t="s">
        <v>6884</v>
      </c>
      <c r="X331" t="s">
        <v>6885</v>
      </c>
      <c r="Y331" t="s">
        <v>6886</v>
      </c>
      <c r="Z331" t="s">
        <v>6887</v>
      </c>
      <c r="AA331" t="s">
        <v>6888</v>
      </c>
      <c r="AB331" t="s">
        <v>74</v>
      </c>
      <c r="AC331" t="s">
        <v>6889</v>
      </c>
      <c r="AD331" t="s">
        <v>6890</v>
      </c>
      <c r="AE331" t="s">
        <v>6891</v>
      </c>
      <c r="AF331" t="s">
        <v>74</v>
      </c>
      <c r="AG331">
        <v>48</v>
      </c>
      <c r="AH331">
        <v>3</v>
      </c>
      <c r="AI331">
        <v>3</v>
      </c>
      <c r="AJ331">
        <v>2</v>
      </c>
      <c r="AK331">
        <v>6</v>
      </c>
      <c r="AL331" t="s">
        <v>169</v>
      </c>
      <c r="AM331" t="s">
        <v>520</v>
      </c>
      <c r="AN331" t="s">
        <v>521</v>
      </c>
      <c r="AO331" t="s">
        <v>6892</v>
      </c>
      <c r="AP331" t="s">
        <v>6893</v>
      </c>
      <c r="AQ331" t="s">
        <v>74</v>
      </c>
      <c r="AR331" t="s">
        <v>6894</v>
      </c>
      <c r="AS331" t="s">
        <v>6895</v>
      </c>
      <c r="AT331" t="s">
        <v>98</v>
      </c>
      <c r="AU331">
        <v>2021</v>
      </c>
      <c r="AV331">
        <v>114</v>
      </c>
      <c r="AW331">
        <v>12</v>
      </c>
      <c r="AX331" t="s">
        <v>74</v>
      </c>
      <c r="AY331" t="s">
        <v>74</v>
      </c>
      <c r="AZ331" t="s">
        <v>74</v>
      </c>
      <c r="BA331" t="s">
        <v>74</v>
      </c>
      <c r="BB331">
        <v>2219</v>
      </c>
      <c r="BC331">
        <v>2228</v>
      </c>
      <c r="BD331" t="s">
        <v>74</v>
      </c>
      <c r="BE331" t="s">
        <v>6896</v>
      </c>
      <c r="BF331" t="str">
        <f>HYPERLINK("http://dx.doi.org/10.1007/s10482-021-01674-9","http://dx.doi.org/10.1007/s10482-021-01674-9")</f>
        <v>http://dx.doi.org/10.1007/s10482-021-01674-9</v>
      </c>
      <c r="BG331" t="s">
        <v>74</v>
      </c>
      <c r="BH331" t="s">
        <v>5766</v>
      </c>
      <c r="BI331">
        <v>10</v>
      </c>
      <c r="BJ331" t="s">
        <v>975</v>
      </c>
      <c r="BK331" t="s">
        <v>101</v>
      </c>
      <c r="BL331" t="s">
        <v>975</v>
      </c>
      <c r="BM331" t="s">
        <v>6897</v>
      </c>
      <c r="BN331">
        <v>34697697</v>
      </c>
      <c r="BO331" t="s">
        <v>419</v>
      </c>
      <c r="BP331" t="s">
        <v>74</v>
      </c>
      <c r="BQ331" t="s">
        <v>74</v>
      </c>
      <c r="BR331" t="s">
        <v>105</v>
      </c>
      <c r="BS331" t="s">
        <v>6898</v>
      </c>
      <c r="BT331" t="str">
        <f>HYPERLINK("https%3A%2F%2Fwww.webofscience.com%2Fwos%2Fwoscc%2Ffull-record%2FWOS:000710832000001","View Full Record in Web of Science")</f>
        <v>View Full Record in Web of Science</v>
      </c>
    </row>
    <row r="332" spans="1:72" x14ac:dyDescent="0.15">
      <c r="A332" t="s">
        <v>72</v>
      </c>
      <c r="B332" t="s">
        <v>6899</v>
      </c>
      <c r="C332" t="s">
        <v>74</v>
      </c>
      <c r="D332" t="s">
        <v>74</v>
      </c>
      <c r="E332" t="s">
        <v>74</v>
      </c>
      <c r="F332" t="s">
        <v>6900</v>
      </c>
      <c r="G332" t="s">
        <v>74</v>
      </c>
      <c r="H332" t="s">
        <v>74</v>
      </c>
      <c r="I332" t="s">
        <v>6901</v>
      </c>
      <c r="J332" t="s">
        <v>1058</v>
      </c>
      <c r="K332" t="s">
        <v>74</v>
      </c>
      <c r="L332" t="s">
        <v>74</v>
      </c>
      <c r="M332" t="s">
        <v>78</v>
      </c>
      <c r="N332" t="s">
        <v>79</v>
      </c>
      <c r="O332" t="s">
        <v>74</v>
      </c>
      <c r="P332" t="s">
        <v>74</v>
      </c>
      <c r="Q332" t="s">
        <v>74</v>
      </c>
      <c r="R332" t="s">
        <v>74</v>
      </c>
      <c r="S332" t="s">
        <v>74</v>
      </c>
      <c r="T332" t="s">
        <v>74</v>
      </c>
      <c r="U332" t="s">
        <v>6902</v>
      </c>
      <c r="V332" t="s">
        <v>6903</v>
      </c>
      <c r="W332" t="s">
        <v>6904</v>
      </c>
      <c r="X332" t="s">
        <v>6905</v>
      </c>
      <c r="Y332" t="s">
        <v>6906</v>
      </c>
      <c r="Z332" t="s">
        <v>6907</v>
      </c>
      <c r="AA332" t="s">
        <v>6908</v>
      </c>
      <c r="AB332" t="s">
        <v>6909</v>
      </c>
      <c r="AC332" t="s">
        <v>6910</v>
      </c>
      <c r="AD332" t="s">
        <v>6911</v>
      </c>
      <c r="AE332" t="s">
        <v>6912</v>
      </c>
      <c r="AF332" t="s">
        <v>74</v>
      </c>
      <c r="AG332">
        <v>90</v>
      </c>
      <c r="AH332">
        <v>7</v>
      </c>
      <c r="AI332">
        <v>7</v>
      </c>
      <c r="AJ332">
        <v>0</v>
      </c>
      <c r="AK332">
        <v>5</v>
      </c>
      <c r="AL332" t="s">
        <v>227</v>
      </c>
      <c r="AM332" t="s">
        <v>228</v>
      </c>
      <c r="AN332" t="s">
        <v>229</v>
      </c>
      <c r="AO332" t="s">
        <v>1065</v>
      </c>
      <c r="AP332" t="s">
        <v>1066</v>
      </c>
      <c r="AQ332" t="s">
        <v>74</v>
      </c>
      <c r="AR332" t="s">
        <v>1058</v>
      </c>
      <c r="AS332" t="s">
        <v>1067</v>
      </c>
      <c r="AT332" t="s">
        <v>6856</v>
      </c>
      <c r="AU332">
        <v>2021</v>
      </c>
      <c r="AV332">
        <v>15</v>
      </c>
      <c r="AW332">
        <v>10</v>
      </c>
      <c r="AX332" t="s">
        <v>74</v>
      </c>
      <c r="AY332" t="s">
        <v>74</v>
      </c>
      <c r="AZ332" t="s">
        <v>74</v>
      </c>
      <c r="BA332" t="s">
        <v>74</v>
      </c>
      <c r="BB332">
        <v>4929</v>
      </c>
      <c r="BC332">
        <v>4947</v>
      </c>
      <c r="BD332" t="s">
        <v>74</v>
      </c>
      <c r="BE332" t="s">
        <v>6913</v>
      </c>
      <c r="BF332" t="str">
        <f>HYPERLINK("http://dx.doi.org/10.5194/tc-15-4929-2021","http://dx.doi.org/10.5194/tc-15-4929-2021")</f>
        <v>http://dx.doi.org/10.5194/tc-15-4929-2021</v>
      </c>
      <c r="BG332" t="s">
        <v>74</v>
      </c>
      <c r="BH332" t="s">
        <v>74</v>
      </c>
      <c r="BI332">
        <v>19</v>
      </c>
      <c r="BJ332" t="s">
        <v>340</v>
      </c>
      <c r="BK332" t="s">
        <v>101</v>
      </c>
      <c r="BL332" t="s">
        <v>341</v>
      </c>
      <c r="BM332" t="s">
        <v>6914</v>
      </c>
      <c r="BN332" t="s">
        <v>74</v>
      </c>
      <c r="BO332" t="s">
        <v>239</v>
      </c>
      <c r="BP332" t="s">
        <v>74</v>
      </c>
      <c r="BQ332" t="s">
        <v>74</v>
      </c>
      <c r="BR332" t="s">
        <v>105</v>
      </c>
      <c r="BS332" t="s">
        <v>6915</v>
      </c>
      <c r="BT332" t="str">
        <f>HYPERLINK("https%3A%2F%2Fwww.webofscience.com%2Fwos%2Fwoscc%2Ffull-record%2FWOS:000711009900001","View Full Record in Web of Science")</f>
        <v>View Full Record in Web of Science</v>
      </c>
    </row>
    <row r="333" spans="1:72" x14ac:dyDescent="0.15">
      <c r="A333" t="s">
        <v>72</v>
      </c>
      <c r="B333" t="s">
        <v>6916</v>
      </c>
      <c r="C333" t="s">
        <v>74</v>
      </c>
      <c r="D333" t="s">
        <v>74</v>
      </c>
      <c r="E333" t="s">
        <v>74</v>
      </c>
      <c r="F333" t="s">
        <v>6917</v>
      </c>
      <c r="G333" t="s">
        <v>74</v>
      </c>
      <c r="H333" t="s">
        <v>74</v>
      </c>
      <c r="I333" t="s">
        <v>6918</v>
      </c>
      <c r="J333" t="s">
        <v>2533</v>
      </c>
      <c r="K333" t="s">
        <v>74</v>
      </c>
      <c r="L333" t="s">
        <v>74</v>
      </c>
      <c r="M333" t="s">
        <v>78</v>
      </c>
      <c r="N333" t="s">
        <v>79</v>
      </c>
      <c r="O333" t="s">
        <v>74</v>
      </c>
      <c r="P333" t="s">
        <v>74</v>
      </c>
      <c r="Q333" t="s">
        <v>74</v>
      </c>
      <c r="R333" t="s">
        <v>74</v>
      </c>
      <c r="S333" t="s">
        <v>74</v>
      </c>
      <c r="T333" t="s">
        <v>74</v>
      </c>
      <c r="U333" t="s">
        <v>6919</v>
      </c>
      <c r="V333" t="s">
        <v>6920</v>
      </c>
      <c r="W333" t="s">
        <v>6921</v>
      </c>
      <c r="X333" t="s">
        <v>6922</v>
      </c>
      <c r="Y333" t="s">
        <v>6923</v>
      </c>
      <c r="Z333" t="s">
        <v>6924</v>
      </c>
      <c r="AA333" t="s">
        <v>6925</v>
      </c>
      <c r="AB333" t="s">
        <v>6926</v>
      </c>
      <c r="AC333" t="s">
        <v>6927</v>
      </c>
      <c r="AD333" t="s">
        <v>6928</v>
      </c>
      <c r="AE333" t="s">
        <v>6929</v>
      </c>
      <c r="AF333" t="s">
        <v>74</v>
      </c>
      <c r="AG333">
        <v>55</v>
      </c>
      <c r="AH333">
        <v>1</v>
      </c>
      <c r="AI333">
        <v>1</v>
      </c>
      <c r="AJ333">
        <v>0</v>
      </c>
      <c r="AK333">
        <v>9</v>
      </c>
      <c r="AL333" t="s">
        <v>572</v>
      </c>
      <c r="AM333" t="s">
        <v>573</v>
      </c>
      <c r="AN333" t="s">
        <v>574</v>
      </c>
      <c r="AO333" t="s">
        <v>2544</v>
      </c>
      <c r="AP333" t="s">
        <v>2545</v>
      </c>
      <c r="AQ333" t="s">
        <v>74</v>
      </c>
      <c r="AR333" t="s">
        <v>2546</v>
      </c>
      <c r="AS333" t="s">
        <v>2547</v>
      </c>
      <c r="AT333" t="s">
        <v>310</v>
      </c>
      <c r="AU333">
        <v>2021</v>
      </c>
      <c r="AV333">
        <v>56</v>
      </c>
      <c r="AW333">
        <v>11</v>
      </c>
      <c r="AX333" t="s">
        <v>74</v>
      </c>
      <c r="AY333" t="s">
        <v>74</v>
      </c>
      <c r="AZ333" t="s">
        <v>74</v>
      </c>
      <c r="BA333" t="s">
        <v>74</v>
      </c>
      <c r="BB333">
        <v>2118</v>
      </c>
      <c r="BC333">
        <v>2127</v>
      </c>
      <c r="BD333" t="s">
        <v>74</v>
      </c>
      <c r="BE333" t="s">
        <v>6930</v>
      </c>
      <c r="BF333" t="str">
        <f>HYPERLINK("http://dx.doi.org/10.1111/maps.13757","http://dx.doi.org/10.1111/maps.13757")</f>
        <v>http://dx.doi.org/10.1111/maps.13757</v>
      </c>
      <c r="BG333" t="s">
        <v>74</v>
      </c>
      <c r="BH333" t="s">
        <v>5766</v>
      </c>
      <c r="BI333">
        <v>10</v>
      </c>
      <c r="BJ333" t="s">
        <v>365</v>
      </c>
      <c r="BK333" t="s">
        <v>101</v>
      </c>
      <c r="BL333" t="s">
        <v>365</v>
      </c>
      <c r="BM333" t="s">
        <v>2549</v>
      </c>
      <c r="BN333" t="s">
        <v>74</v>
      </c>
      <c r="BO333" t="s">
        <v>74</v>
      </c>
      <c r="BP333" t="s">
        <v>74</v>
      </c>
      <c r="BQ333" t="s">
        <v>74</v>
      </c>
      <c r="BR333" t="s">
        <v>105</v>
      </c>
      <c r="BS333" t="s">
        <v>6931</v>
      </c>
      <c r="BT333" t="str">
        <f>HYPERLINK("https%3A%2F%2Fwww.webofscience.com%2Fwos%2Fwoscc%2Ffull-record%2FWOS:000710629200001","View Full Record in Web of Science")</f>
        <v>View Full Record in Web of Science</v>
      </c>
    </row>
    <row r="334" spans="1:72" x14ac:dyDescent="0.15">
      <c r="A334" t="s">
        <v>72</v>
      </c>
      <c r="B334" t="s">
        <v>6932</v>
      </c>
      <c r="C334" t="s">
        <v>74</v>
      </c>
      <c r="D334" t="s">
        <v>74</v>
      </c>
      <c r="E334" t="s">
        <v>74</v>
      </c>
      <c r="F334" t="s">
        <v>6933</v>
      </c>
      <c r="G334" t="s">
        <v>74</v>
      </c>
      <c r="H334" t="s">
        <v>74</v>
      </c>
      <c r="I334" t="s">
        <v>6934</v>
      </c>
      <c r="J334" t="s">
        <v>6935</v>
      </c>
      <c r="K334" t="s">
        <v>74</v>
      </c>
      <c r="L334" t="s">
        <v>74</v>
      </c>
      <c r="M334" t="s">
        <v>78</v>
      </c>
      <c r="N334" t="s">
        <v>1764</v>
      </c>
      <c r="O334" t="s">
        <v>74</v>
      </c>
      <c r="P334" t="s">
        <v>74</v>
      </c>
      <c r="Q334" t="s">
        <v>74</v>
      </c>
      <c r="R334" t="s">
        <v>74</v>
      </c>
      <c r="S334" t="s">
        <v>74</v>
      </c>
      <c r="T334" t="s">
        <v>6936</v>
      </c>
      <c r="U334" t="s">
        <v>74</v>
      </c>
      <c r="V334" t="s">
        <v>6937</v>
      </c>
      <c r="W334" t="s">
        <v>6938</v>
      </c>
      <c r="X334" t="s">
        <v>6939</v>
      </c>
      <c r="Y334" t="s">
        <v>6940</v>
      </c>
      <c r="Z334" t="s">
        <v>6941</v>
      </c>
      <c r="AA334" t="s">
        <v>6942</v>
      </c>
      <c r="AB334" t="s">
        <v>6943</v>
      </c>
      <c r="AC334" t="s">
        <v>6944</v>
      </c>
      <c r="AD334" t="s">
        <v>6945</v>
      </c>
      <c r="AE334" t="s">
        <v>6946</v>
      </c>
      <c r="AF334" t="s">
        <v>74</v>
      </c>
      <c r="AG334">
        <v>16</v>
      </c>
      <c r="AH334">
        <v>14</v>
      </c>
      <c r="AI334">
        <v>14</v>
      </c>
      <c r="AJ334">
        <v>2</v>
      </c>
      <c r="AK334">
        <v>5</v>
      </c>
      <c r="AL334" t="s">
        <v>1997</v>
      </c>
      <c r="AM334" t="s">
        <v>1998</v>
      </c>
      <c r="AN334" t="s">
        <v>1999</v>
      </c>
      <c r="AO334" t="s">
        <v>6947</v>
      </c>
      <c r="AP334" t="s">
        <v>6948</v>
      </c>
      <c r="AQ334" t="s">
        <v>74</v>
      </c>
      <c r="AR334" t="s">
        <v>6949</v>
      </c>
      <c r="AS334" t="s">
        <v>6950</v>
      </c>
      <c r="AT334" t="s">
        <v>6951</v>
      </c>
      <c r="AU334">
        <v>2022</v>
      </c>
      <c r="AV334">
        <v>74</v>
      </c>
      <c r="AW334">
        <v>10</v>
      </c>
      <c r="AX334" t="s">
        <v>74</v>
      </c>
      <c r="AY334" t="s">
        <v>74</v>
      </c>
      <c r="AZ334" t="s">
        <v>74</v>
      </c>
      <c r="BA334" t="s">
        <v>74</v>
      </c>
      <c r="BB334">
        <v>1862</v>
      </c>
      <c r="BC334">
        <v>1865</v>
      </c>
      <c r="BD334" t="s">
        <v>74</v>
      </c>
      <c r="BE334" t="s">
        <v>6952</v>
      </c>
      <c r="BF334" t="str">
        <f>HYPERLINK("http://dx.doi.org/10.1093/cid/ciab748","http://dx.doi.org/10.1093/cid/ciab748")</f>
        <v>http://dx.doi.org/10.1093/cid/ciab748</v>
      </c>
      <c r="BG334" t="s">
        <v>74</v>
      </c>
      <c r="BH334" t="s">
        <v>5766</v>
      </c>
      <c r="BI334">
        <v>4</v>
      </c>
      <c r="BJ334" t="s">
        <v>6953</v>
      </c>
      <c r="BK334" t="s">
        <v>101</v>
      </c>
      <c r="BL334" t="s">
        <v>6953</v>
      </c>
      <c r="BM334" t="s">
        <v>6954</v>
      </c>
      <c r="BN334">
        <v>34453514</v>
      </c>
      <c r="BO334" t="s">
        <v>74</v>
      </c>
      <c r="BP334" t="s">
        <v>74</v>
      </c>
      <c r="BQ334" t="s">
        <v>74</v>
      </c>
      <c r="BR334" t="s">
        <v>105</v>
      </c>
      <c r="BS334" t="s">
        <v>6955</v>
      </c>
      <c r="BT334" t="str">
        <f>HYPERLINK("https%3A%2F%2Fwww.webofscience.com%2Fwos%2Fwoscc%2Ffull-record%2FWOS:000756558500001","View Full Record in Web of Science")</f>
        <v>View Full Record in Web of Science</v>
      </c>
    </row>
    <row r="335" spans="1:72" x14ac:dyDescent="0.15">
      <c r="A335" t="s">
        <v>72</v>
      </c>
      <c r="B335" t="s">
        <v>6956</v>
      </c>
      <c r="C335" t="s">
        <v>74</v>
      </c>
      <c r="D335" t="s">
        <v>74</v>
      </c>
      <c r="E335" t="s">
        <v>74</v>
      </c>
      <c r="F335" t="s">
        <v>6957</v>
      </c>
      <c r="G335" t="s">
        <v>74</v>
      </c>
      <c r="H335" t="s">
        <v>74</v>
      </c>
      <c r="I335" t="s">
        <v>6958</v>
      </c>
      <c r="J335" t="s">
        <v>835</v>
      </c>
      <c r="K335" t="s">
        <v>74</v>
      </c>
      <c r="L335" t="s">
        <v>74</v>
      </c>
      <c r="M335" t="s">
        <v>78</v>
      </c>
      <c r="N335" t="s">
        <v>79</v>
      </c>
      <c r="O335" t="s">
        <v>74</v>
      </c>
      <c r="P335" t="s">
        <v>74</v>
      </c>
      <c r="Q335" t="s">
        <v>74</v>
      </c>
      <c r="R335" t="s">
        <v>74</v>
      </c>
      <c r="S335" t="s">
        <v>74</v>
      </c>
      <c r="T335" t="s">
        <v>6959</v>
      </c>
      <c r="U335" t="s">
        <v>6960</v>
      </c>
      <c r="V335" t="s">
        <v>6961</v>
      </c>
      <c r="W335" t="s">
        <v>6962</v>
      </c>
      <c r="X335" t="s">
        <v>6963</v>
      </c>
      <c r="Y335" t="s">
        <v>6964</v>
      </c>
      <c r="Z335" t="s">
        <v>6965</v>
      </c>
      <c r="AA335" t="s">
        <v>6966</v>
      </c>
      <c r="AB335" t="s">
        <v>6967</v>
      </c>
      <c r="AC335" t="s">
        <v>6968</v>
      </c>
      <c r="AD335" t="s">
        <v>6969</v>
      </c>
      <c r="AE335" t="s">
        <v>6970</v>
      </c>
      <c r="AF335" t="s">
        <v>74</v>
      </c>
      <c r="AG335">
        <v>88</v>
      </c>
      <c r="AH335">
        <v>24</v>
      </c>
      <c r="AI335">
        <v>24</v>
      </c>
      <c r="AJ335">
        <v>8</v>
      </c>
      <c r="AK335">
        <v>59</v>
      </c>
      <c r="AL335" t="s">
        <v>847</v>
      </c>
      <c r="AM335" t="s">
        <v>848</v>
      </c>
      <c r="AN335" t="s">
        <v>849</v>
      </c>
      <c r="AO335" t="s">
        <v>850</v>
      </c>
      <c r="AP335" t="s">
        <v>851</v>
      </c>
      <c r="AQ335" t="s">
        <v>74</v>
      </c>
      <c r="AR335" t="s">
        <v>852</v>
      </c>
      <c r="AS335" t="s">
        <v>853</v>
      </c>
      <c r="AT335" t="s">
        <v>6971</v>
      </c>
      <c r="AU335">
        <v>2022</v>
      </c>
      <c r="AV335">
        <v>807</v>
      </c>
      <c r="AW335" t="s">
        <v>74</v>
      </c>
      <c r="AX335">
        <v>2</v>
      </c>
      <c r="AY335" t="s">
        <v>74</v>
      </c>
      <c r="AZ335" t="s">
        <v>74</v>
      </c>
      <c r="BA335" t="s">
        <v>74</v>
      </c>
      <c r="BB335" t="s">
        <v>74</v>
      </c>
      <c r="BC335" t="s">
        <v>74</v>
      </c>
      <c r="BD335">
        <v>150874</v>
      </c>
      <c r="BE335" t="s">
        <v>6972</v>
      </c>
      <c r="BF335" t="str">
        <f>HYPERLINK("http://dx.doi.org/10.1016/j.scitotenv.2021.150874","http://dx.doi.org/10.1016/j.scitotenv.2021.150874")</f>
        <v>http://dx.doi.org/10.1016/j.scitotenv.2021.150874</v>
      </c>
      <c r="BG335" t="s">
        <v>74</v>
      </c>
      <c r="BH335" t="s">
        <v>5766</v>
      </c>
      <c r="BI335">
        <v>16</v>
      </c>
      <c r="BJ335" t="s">
        <v>856</v>
      </c>
      <c r="BK335" t="s">
        <v>101</v>
      </c>
      <c r="BL335" t="s">
        <v>630</v>
      </c>
      <c r="BM335" t="s">
        <v>6973</v>
      </c>
      <c r="BN335">
        <v>34627905</v>
      </c>
      <c r="BO335" t="s">
        <v>2241</v>
      </c>
      <c r="BP335" t="s">
        <v>74</v>
      </c>
      <c r="BQ335" t="s">
        <v>74</v>
      </c>
      <c r="BR335" t="s">
        <v>105</v>
      </c>
      <c r="BS335" t="s">
        <v>6974</v>
      </c>
      <c r="BT335" t="str">
        <f>HYPERLINK("https%3A%2F%2Fwww.webofscience.com%2Fwos%2Fwoscc%2Ffull-record%2FWOS:000711161700012","View Full Record in Web of Science")</f>
        <v>View Full Record in Web of Science</v>
      </c>
    </row>
    <row r="336" spans="1:72" x14ac:dyDescent="0.15">
      <c r="A336" t="s">
        <v>72</v>
      </c>
      <c r="B336" t="s">
        <v>6975</v>
      </c>
      <c r="C336" t="s">
        <v>74</v>
      </c>
      <c r="D336" t="s">
        <v>74</v>
      </c>
      <c r="E336" t="s">
        <v>74</v>
      </c>
      <c r="F336" t="s">
        <v>6976</v>
      </c>
      <c r="G336" t="s">
        <v>74</v>
      </c>
      <c r="H336" t="s">
        <v>74</v>
      </c>
      <c r="I336" t="s">
        <v>6977</v>
      </c>
      <c r="J336" t="s">
        <v>935</v>
      </c>
      <c r="K336" t="s">
        <v>74</v>
      </c>
      <c r="L336" t="s">
        <v>74</v>
      </c>
      <c r="M336" t="s">
        <v>78</v>
      </c>
      <c r="N336" t="s">
        <v>79</v>
      </c>
      <c r="O336" t="s">
        <v>74</v>
      </c>
      <c r="P336" t="s">
        <v>74</v>
      </c>
      <c r="Q336" t="s">
        <v>74</v>
      </c>
      <c r="R336" t="s">
        <v>74</v>
      </c>
      <c r="S336" t="s">
        <v>74</v>
      </c>
      <c r="T336" t="s">
        <v>6978</v>
      </c>
      <c r="U336" t="s">
        <v>6979</v>
      </c>
      <c r="V336" t="s">
        <v>6980</v>
      </c>
      <c r="W336" t="s">
        <v>6981</v>
      </c>
      <c r="X336" t="s">
        <v>6982</v>
      </c>
      <c r="Y336" t="s">
        <v>6983</v>
      </c>
      <c r="Z336" t="s">
        <v>6984</v>
      </c>
      <c r="AA336" t="s">
        <v>6985</v>
      </c>
      <c r="AB336" t="s">
        <v>6986</v>
      </c>
      <c r="AC336" t="s">
        <v>6987</v>
      </c>
      <c r="AD336" t="s">
        <v>6988</v>
      </c>
      <c r="AE336" t="s">
        <v>6989</v>
      </c>
      <c r="AF336" t="s">
        <v>74</v>
      </c>
      <c r="AG336">
        <v>65</v>
      </c>
      <c r="AH336">
        <v>2</v>
      </c>
      <c r="AI336">
        <v>2</v>
      </c>
      <c r="AJ336">
        <v>3</v>
      </c>
      <c r="AK336">
        <v>5</v>
      </c>
      <c r="AL336" t="s">
        <v>169</v>
      </c>
      <c r="AM336" t="s">
        <v>170</v>
      </c>
      <c r="AN336" t="s">
        <v>171</v>
      </c>
      <c r="AO336" t="s">
        <v>948</v>
      </c>
      <c r="AP336" t="s">
        <v>949</v>
      </c>
      <c r="AQ336" t="s">
        <v>74</v>
      </c>
      <c r="AR336" t="s">
        <v>950</v>
      </c>
      <c r="AS336" t="s">
        <v>951</v>
      </c>
      <c r="AT336" t="s">
        <v>98</v>
      </c>
      <c r="AU336">
        <v>2021</v>
      </c>
      <c r="AV336">
        <v>44</v>
      </c>
      <c r="AW336">
        <v>12</v>
      </c>
      <c r="AX336" t="s">
        <v>74</v>
      </c>
      <c r="AY336" t="s">
        <v>74</v>
      </c>
      <c r="AZ336" t="s">
        <v>74</v>
      </c>
      <c r="BA336" t="s">
        <v>74</v>
      </c>
      <c r="BB336">
        <v>2243</v>
      </c>
      <c r="BC336">
        <v>2254</v>
      </c>
      <c r="BD336" t="s">
        <v>74</v>
      </c>
      <c r="BE336" t="s">
        <v>6990</v>
      </c>
      <c r="BF336" t="str">
        <f>HYPERLINK("http://dx.doi.org/10.1007/s00300-021-02957-7","http://dx.doi.org/10.1007/s00300-021-02957-7")</f>
        <v>http://dx.doi.org/10.1007/s00300-021-02957-7</v>
      </c>
      <c r="BG336" t="s">
        <v>74</v>
      </c>
      <c r="BH336" t="s">
        <v>5766</v>
      </c>
      <c r="BI336">
        <v>12</v>
      </c>
      <c r="BJ336" t="s">
        <v>605</v>
      </c>
      <c r="BK336" t="s">
        <v>101</v>
      </c>
      <c r="BL336" t="s">
        <v>606</v>
      </c>
      <c r="BM336" t="s">
        <v>5767</v>
      </c>
      <c r="BN336" t="s">
        <v>74</v>
      </c>
      <c r="BO336" t="s">
        <v>343</v>
      </c>
      <c r="BP336" t="s">
        <v>74</v>
      </c>
      <c r="BQ336" t="s">
        <v>74</v>
      </c>
      <c r="BR336" t="s">
        <v>105</v>
      </c>
      <c r="BS336" t="s">
        <v>6991</v>
      </c>
      <c r="BT336" t="str">
        <f>HYPERLINK("https%3A%2F%2Fwww.webofscience.com%2Fwos%2Fwoscc%2Ffull-record%2FWOS:000710332400001","View Full Record in Web of Science")</f>
        <v>View Full Record in Web of Science</v>
      </c>
    </row>
    <row r="337" spans="1:72" x14ac:dyDescent="0.15">
      <c r="A337" t="s">
        <v>72</v>
      </c>
      <c r="B337" t="s">
        <v>6992</v>
      </c>
      <c r="C337" t="s">
        <v>74</v>
      </c>
      <c r="D337" t="s">
        <v>74</v>
      </c>
      <c r="E337" t="s">
        <v>74</v>
      </c>
      <c r="F337" t="s">
        <v>6993</v>
      </c>
      <c r="G337" t="s">
        <v>74</v>
      </c>
      <c r="H337" t="s">
        <v>74</v>
      </c>
      <c r="I337" t="s">
        <v>6994</v>
      </c>
      <c r="J337" t="s">
        <v>6995</v>
      </c>
      <c r="K337" t="s">
        <v>74</v>
      </c>
      <c r="L337" t="s">
        <v>74</v>
      </c>
      <c r="M337" t="s">
        <v>78</v>
      </c>
      <c r="N337" t="s">
        <v>79</v>
      </c>
      <c r="O337" t="s">
        <v>74</v>
      </c>
      <c r="P337" t="s">
        <v>74</v>
      </c>
      <c r="Q337" t="s">
        <v>74</v>
      </c>
      <c r="R337" t="s">
        <v>74</v>
      </c>
      <c r="S337" t="s">
        <v>74</v>
      </c>
      <c r="T337" t="s">
        <v>6996</v>
      </c>
      <c r="U337" t="s">
        <v>6997</v>
      </c>
      <c r="V337" t="s">
        <v>6998</v>
      </c>
      <c r="W337" t="s">
        <v>6999</v>
      </c>
      <c r="X337" t="s">
        <v>7000</v>
      </c>
      <c r="Y337" t="s">
        <v>7001</v>
      </c>
      <c r="Z337" t="s">
        <v>7002</v>
      </c>
      <c r="AA337" t="s">
        <v>7003</v>
      </c>
      <c r="AB337" t="s">
        <v>7004</v>
      </c>
      <c r="AC337" t="s">
        <v>7005</v>
      </c>
      <c r="AD337" t="s">
        <v>7006</v>
      </c>
      <c r="AE337" t="s">
        <v>7007</v>
      </c>
      <c r="AF337" t="s">
        <v>74</v>
      </c>
      <c r="AG337">
        <v>45</v>
      </c>
      <c r="AH337">
        <v>82</v>
      </c>
      <c r="AI337">
        <v>85</v>
      </c>
      <c r="AJ337">
        <v>9</v>
      </c>
      <c r="AK337">
        <v>109</v>
      </c>
      <c r="AL337" t="s">
        <v>1326</v>
      </c>
      <c r="AM337" t="s">
        <v>256</v>
      </c>
      <c r="AN337" t="s">
        <v>1327</v>
      </c>
      <c r="AO337" t="s">
        <v>7008</v>
      </c>
      <c r="AP337" t="s">
        <v>7009</v>
      </c>
      <c r="AQ337" t="s">
        <v>74</v>
      </c>
      <c r="AR337" t="s">
        <v>7010</v>
      </c>
      <c r="AS337" t="s">
        <v>7011</v>
      </c>
      <c r="AT337" t="s">
        <v>310</v>
      </c>
      <c r="AU337">
        <v>2021</v>
      </c>
      <c r="AV337">
        <v>263</v>
      </c>
      <c r="AW337" t="s">
        <v>74</v>
      </c>
      <c r="AX337" t="s">
        <v>74</v>
      </c>
      <c r="AY337" t="s">
        <v>74</v>
      </c>
      <c r="AZ337" t="s">
        <v>74</v>
      </c>
      <c r="BA337" t="s">
        <v>74</v>
      </c>
      <c r="BB337" t="s">
        <v>74</v>
      </c>
      <c r="BC337" t="s">
        <v>74</v>
      </c>
      <c r="BD337">
        <v>109175</v>
      </c>
      <c r="BE337" t="s">
        <v>7012</v>
      </c>
      <c r="BF337" t="str">
        <f>HYPERLINK("http://dx.doi.org/10.1016/j.biocon.2021.109175","http://dx.doi.org/10.1016/j.biocon.2021.109175")</f>
        <v>http://dx.doi.org/10.1016/j.biocon.2021.109175</v>
      </c>
      <c r="BG337" t="s">
        <v>74</v>
      </c>
      <c r="BH337" t="s">
        <v>5766</v>
      </c>
      <c r="BI337">
        <v>18</v>
      </c>
      <c r="BJ337" t="s">
        <v>1900</v>
      </c>
      <c r="BK337" t="s">
        <v>101</v>
      </c>
      <c r="BL337" t="s">
        <v>606</v>
      </c>
      <c r="BM337" t="s">
        <v>7013</v>
      </c>
      <c r="BN337">
        <v>34035536</v>
      </c>
      <c r="BO337" t="s">
        <v>7014</v>
      </c>
      <c r="BP337" t="s">
        <v>74</v>
      </c>
      <c r="BQ337" t="s">
        <v>74</v>
      </c>
      <c r="BR337" t="s">
        <v>105</v>
      </c>
      <c r="BS337" t="s">
        <v>7015</v>
      </c>
      <c r="BT337" t="str">
        <f>HYPERLINK("https%3A%2F%2Fwww.webofscience.com%2Fwos%2Fwoscc%2Ffull-record%2FWOS:000719385700005","View Full Record in Web of Science")</f>
        <v>View Full Record in Web of Science</v>
      </c>
    </row>
    <row r="338" spans="1:72" x14ac:dyDescent="0.15">
      <c r="A338" t="s">
        <v>72</v>
      </c>
      <c r="B338" t="s">
        <v>7016</v>
      </c>
      <c r="C338" t="s">
        <v>74</v>
      </c>
      <c r="D338" t="s">
        <v>74</v>
      </c>
      <c r="E338" t="s">
        <v>74</v>
      </c>
      <c r="F338" t="s">
        <v>7017</v>
      </c>
      <c r="G338" t="s">
        <v>74</v>
      </c>
      <c r="H338" t="s">
        <v>74</v>
      </c>
      <c r="I338" t="s">
        <v>7018</v>
      </c>
      <c r="J338" t="s">
        <v>7019</v>
      </c>
      <c r="K338" t="s">
        <v>74</v>
      </c>
      <c r="L338" t="s">
        <v>74</v>
      </c>
      <c r="M338" t="s">
        <v>78</v>
      </c>
      <c r="N338" t="s">
        <v>79</v>
      </c>
      <c r="O338" t="s">
        <v>74</v>
      </c>
      <c r="P338" t="s">
        <v>74</v>
      </c>
      <c r="Q338" t="s">
        <v>74</v>
      </c>
      <c r="R338" t="s">
        <v>74</v>
      </c>
      <c r="S338" t="s">
        <v>74</v>
      </c>
      <c r="T338" t="s">
        <v>7020</v>
      </c>
      <c r="U338" t="s">
        <v>7021</v>
      </c>
      <c r="V338" t="s">
        <v>7022</v>
      </c>
      <c r="W338" t="s">
        <v>7023</v>
      </c>
      <c r="X338" t="s">
        <v>7024</v>
      </c>
      <c r="Y338" t="s">
        <v>7025</v>
      </c>
      <c r="Z338" t="s">
        <v>7026</v>
      </c>
      <c r="AA338" t="s">
        <v>7027</v>
      </c>
      <c r="AB338" t="s">
        <v>7028</v>
      </c>
      <c r="AC338" t="s">
        <v>7029</v>
      </c>
      <c r="AD338" t="s">
        <v>7029</v>
      </c>
      <c r="AE338" t="s">
        <v>7030</v>
      </c>
      <c r="AF338" t="s">
        <v>74</v>
      </c>
      <c r="AG338">
        <v>81</v>
      </c>
      <c r="AH338">
        <v>1</v>
      </c>
      <c r="AI338">
        <v>1</v>
      </c>
      <c r="AJ338">
        <v>3</v>
      </c>
      <c r="AK338">
        <v>14</v>
      </c>
      <c r="AL338" t="s">
        <v>847</v>
      </c>
      <c r="AM338" t="s">
        <v>848</v>
      </c>
      <c r="AN338" t="s">
        <v>849</v>
      </c>
      <c r="AO338" t="s">
        <v>7031</v>
      </c>
      <c r="AP338" t="s">
        <v>74</v>
      </c>
      <c r="AQ338" t="s">
        <v>74</v>
      </c>
      <c r="AR338" t="s">
        <v>7032</v>
      </c>
      <c r="AS338" t="s">
        <v>7033</v>
      </c>
      <c r="AT338" t="s">
        <v>310</v>
      </c>
      <c r="AU338">
        <v>2021</v>
      </c>
      <c r="AV338">
        <v>48</v>
      </c>
      <c r="AW338" t="s">
        <v>74</v>
      </c>
      <c r="AX338" t="s">
        <v>74</v>
      </c>
      <c r="AY338" t="s">
        <v>74</v>
      </c>
      <c r="AZ338" t="s">
        <v>74</v>
      </c>
      <c r="BA338" t="s">
        <v>74</v>
      </c>
      <c r="BB338" t="s">
        <v>74</v>
      </c>
      <c r="BC338" t="s">
        <v>74</v>
      </c>
      <c r="BD338">
        <v>102038</v>
      </c>
      <c r="BE338" t="s">
        <v>7034</v>
      </c>
      <c r="BF338" t="str">
        <f>HYPERLINK("http://dx.doi.org/10.1016/j.rsma.2021.102038","http://dx.doi.org/10.1016/j.rsma.2021.102038")</f>
        <v>http://dx.doi.org/10.1016/j.rsma.2021.102038</v>
      </c>
      <c r="BG338" t="s">
        <v>74</v>
      </c>
      <c r="BH338" t="s">
        <v>5766</v>
      </c>
      <c r="BI338">
        <v>14</v>
      </c>
      <c r="BJ338" t="s">
        <v>7035</v>
      </c>
      <c r="BK338" t="s">
        <v>101</v>
      </c>
      <c r="BL338" t="s">
        <v>392</v>
      </c>
      <c r="BM338" t="s">
        <v>7036</v>
      </c>
      <c r="BN338" t="s">
        <v>74</v>
      </c>
      <c r="BO338" t="s">
        <v>180</v>
      </c>
      <c r="BP338" t="s">
        <v>74</v>
      </c>
      <c r="BQ338" t="s">
        <v>74</v>
      </c>
      <c r="BR338" t="s">
        <v>105</v>
      </c>
      <c r="BS338" t="s">
        <v>7037</v>
      </c>
      <c r="BT338" t="str">
        <f>HYPERLINK("https%3A%2F%2Fwww.webofscience.com%2Fwos%2Fwoscc%2Ffull-record%2FWOS:000714972600019","View Full Record in Web of Science")</f>
        <v>View Full Record in Web of Science</v>
      </c>
    </row>
    <row r="339" spans="1:72" x14ac:dyDescent="0.15">
      <c r="A339" t="s">
        <v>72</v>
      </c>
      <c r="B339" t="s">
        <v>7038</v>
      </c>
      <c r="C339" t="s">
        <v>74</v>
      </c>
      <c r="D339" t="s">
        <v>74</v>
      </c>
      <c r="E339" t="s">
        <v>74</v>
      </c>
      <c r="F339" t="s">
        <v>7039</v>
      </c>
      <c r="G339" t="s">
        <v>74</v>
      </c>
      <c r="H339" t="s">
        <v>74</v>
      </c>
      <c r="I339" t="s">
        <v>7040</v>
      </c>
      <c r="J339" t="s">
        <v>7041</v>
      </c>
      <c r="K339" t="s">
        <v>74</v>
      </c>
      <c r="L339" t="s">
        <v>74</v>
      </c>
      <c r="M339" t="s">
        <v>78</v>
      </c>
      <c r="N339" t="s">
        <v>79</v>
      </c>
      <c r="O339" t="s">
        <v>74</v>
      </c>
      <c r="P339" t="s">
        <v>74</v>
      </c>
      <c r="Q339" t="s">
        <v>74</v>
      </c>
      <c r="R339" t="s">
        <v>74</v>
      </c>
      <c r="S339" t="s">
        <v>74</v>
      </c>
      <c r="T339" t="s">
        <v>7042</v>
      </c>
      <c r="U339" t="s">
        <v>7043</v>
      </c>
      <c r="V339" t="s">
        <v>7044</v>
      </c>
      <c r="W339" t="s">
        <v>7045</v>
      </c>
      <c r="X339" t="s">
        <v>7046</v>
      </c>
      <c r="Y339" t="s">
        <v>7047</v>
      </c>
      <c r="Z339" t="s">
        <v>7048</v>
      </c>
      <c r="AA339" t="s">
        <v>7049</v>
      </c>
      <c r="AB339" t="s">
        <v>74</v>
      </c>
      <c r="AC339" t="s">
        <v>7050</v>
      </c>
      <c r="AD339" t="s">
        <v>7051</v>
      </c>
      <c r="AE339" t="s">
        <v>7052</v>
      </c>
      <c r="AF339" t="s">
        <v>74</v>
      </c>
      <c r="AG339">
        <v>66</v>
      </c>
      <c r="AH339">
        <v>8</v>
      </c>
      <c r="AI339">
        <v>9</v>
      </c>
      <c r="AJ339">
        <v>1</v>
      </c>
      <c r="AK339">
        <v>19</v>
      </c>
      <c r="AL339" t="s">
        <v>847</v>
      </c>
      <c r="AM339" t="s">
        <v>848</v>
      </c>
      <c r="AN339" t="s">
        <v>849</v>
      </c>
      <c r="AO339" t="s">
        <v>7053</v>
      </c>
      <c r="AP339" t="s">
        <v>74</v>
      </c>
      <c r="AQ339" t="s">
        <v>74</v>
      </c>
      <c r="AR339" t="s">
        <v>7054</v>
      </c>
      <c r="AS339" t="s">
        <v>7055</v>
      </c>
      <c r="AT339" t="s">
        <v>310</v>
      </c>
      <c r="AU339">
        <v>2021</v>
      </c>
      <c r="AV339">
        <v>21</v>
      </c>
      <c r="AW339" t="s">
        <v>74</v>
      </c>
      <c r="AX339" t="s">
        <v>74</v>
      </c>
      <c r="AY339" t="s">
        <v>74</v>
      </c>
      <c r="AZ339" t="s">
        <v>74</v>
      </c>
      <c r="BA339" t="s">
        <v>74</v>
      </c>
      <c r="BB339" t="s">
        <v>74</v>
      </c>
      <c r="BC339" t="s">
        <v>74</v>
      </c>
      <c r="BD339">
        <v>100914</v>
      </c>
      <c r="BE339" t="s">
        <v>7056</v>
      </c>
      <c r="BF339" t="str">
        <f>HYPERLINK("http://dx.doi.org/10.1016/j.aqrep.2021.100914","http://dx.doi.org/10.1016/j.aqrep.2021.100914")</f>
        <v>http://dx.doi.org/10.1016/j.aqrep.2021.100914</v>
      </c>
      <c r="BG339" t="s">
        <v>74</v>
      </c>
      <c r="BH339" t="s">
        <v>5766</v>
      </c>
      <c r="BI339">
        <v>12</v>
      </c>
      <c r="BJ339" t="s">
        <v>700</v>
      </c>
      <c r="BK339" t="s">
        <v>101</v>
      </c>
      <c r="BL339" t="s">
        <v>700</v>
      </c>
      <c r="BM339" t="s">
        <v>7057</v>
      </c>
      <c r="BN339" t="s">
        <v>74</v>
      </c>
      <c r="BO339" t="s">
        <v>210</v>
      </c>
      <c r="BP339" t="s">
        <v>74</v>
      </c>
      <c r="BQ339" t="s">
        <v>74</v>
      </c>
      <c r="BR339" t="s">
        <v>105</v>
      </c>
      <c r="BS339" t="s">
        <v>7058</v>
      </c>
      <c r="BT339" t="str">
        <f>HYPERLINK("https%3A%2F%2Fwww.webofscience.com%2Fwos%2Fwoscc%2Ffull-record%2FWOS:000712092900006","View Full Record in Web of Science")</f>
        <v>View Full Record in Web of Science</v>
      </c>
    </row>
    <row r="340" spans="1:72" x14ac:dyDescent="0.15">
      <c r="A340" t="s">
        <v>72</v>
      </c>
      <c r="B340" t="s">
        <v>7059</v>
      </c>
      <c r="C340" t="s">
        <v>74</v>
      </c>
      <c r="D340" t="s">
        <v>74</v>
      </c>
      <c r="E340" t="s">
        <v>74</v>
      </c>
      <c r="F340" t="s">
        <v>7060</v>
      </c>
      <c r="G340" t="s">
        <v>74</v>
      </c>
      <c r="H340" t="s">
        <v>74</v>
      </c>
      <c r="I340" t="s">
        <v>7061</v>
      </c>
      <c r="J340" t="s">
        <v>659</v>
      </c>
      <c r="K340" t="s">
        <v>74</v>
      </c>
      <c r="L340" t="s">
        <v>74</v>
      </c>
      <c r="M340" t="s">
        <v>78</v>
      </c>
      <c r="N340" t="s">
        <v>111</v>
      </c>
      <c r="O340" t="s">
        <v>74</v>
      </c>
      <c r="P340" t="s">
        <v>74</v>
      </c>
      <c r="Q340" t="s">
        <v>74</v>
      </c>
      <c r="R340" t="s">
        <v>74</v>
      </c>
      <c r="S340" t="s">
        <v>74</v>
      </c>
      <c r="T340" t="s">
        <v>74</v>
      </c>
      <c r="U340" t="s">
        <v>74</v>
      </c>
      <c r="V340" t="s">
        <v>74</v>
      </c>
      <c r="W340" t="s">
        <v>74</v>
      </c>
      <c r="X340" t="s">
        <v>74</v>
      </c>
      <c r="Y340" t="s">
        <v>74</v>
      </c>
      <c r="Z340" t="s">
        <v>7062</v>
      </c>
      <c r="AA340" t="s">
        <v>74</v>
      </c>
      <c r="AB340" t="s">
        <v>74</v>
      </c>
      <c r="AC340" t="s">
        <v>74</v>
      </c>
      <c r="AD340" t="s">
        <v>74</v>
      </c>
      <c r="AE340" t="s">
        <v>74</v>
      </c>
      <c r="AF340" t="s">
        <v>74</v>
      </c>
      <c r="AG340">
        <v>1</v>
      </c>
      <c r="AH340">
        <v>0</v>
      </c>
      <c r="AI340">
        <v>0</v>
      </c>
      <c r="AJ340">
        <v>0</v>
      </c>
      <c r="AK340">
        <v>0</v>
      </c>
      <c r="AL340" t="s">
        <v>666</v>
      </c>
      <c r="AM340" t="s">
        <v>170</v>
      </c>
      <c r="AN340" t="s">
        <v>667</v>
      </c>
      <c r="AO340" t="s">
        <v>668</v>
      </c>
      <c r="AP340" t="s">
        <v>669</v>
      </c>
      <c r="AQ340" t="s">
        <v>74</v>
      </c>
      <c r="AR340" t="s">
        <v>670</v>
      </c>
      <c r="AS340" t="s">
        <v>671</v>
      </c>
      <c r="AT340" t="s">
        <v>7063</v>
      </c>
      <c r="AU340">
        <v>2021</v>
      </c>
      <c r="AV340">
        <v>57</v>
      </c>
      <c r="AW340" t="s">
        <v>74</v>
      </c>
      <c r="AX340" t="s">
        <v>74</v>
      </c>
      <c r="AY340" t="s">
        <v>74</v>
      </c>
      <c r="AZ340" t="s">
        <v>74</v>
      </c>
      <c r="BA340" t="s">
        <v>74</v>
      </c>
      <c r="BB340" t="s">
        <v>74</v>
      </c>
      <c r="BC340" t="s">
        <v>74</v>
      </c>
      <c r="BD340" t="s">
        <v>7064</v>
      </c>
      <c r="BE340" t="s">
        <v>7065</v>
      </c>
      <c r="BF340" t="str">
        <f>HYPERLINK("http://dx.doi.org/10.1017/S0032247421000644","http://dx.doi.org/10.1017/S0032247421000644")</f>
        <v>http://dx.doi.org/10.1017/S0032247421000644</v>
      </c>
      <c r="BG340" t="s">
        <v>74</v>
      </c>
      <c r="BH340" t="s">
        <v>74</v>
      </c>
      <c r="BI340">
        <v>1</v>
      </c>
      <c r="BJ340" t="s">
        <v>674</v>
      </c>
      <c r="BK340" t="s">
        <v>101</v>
      </c>
      <c r="BL340" t="s">
        <v>630</v>
      </c>
      <c r="BM340" t="s">
        <v>7066</v>
      </c>
      <c r="BN340" t="s">
        <v>74</v>
      </c>
      <c r="BO340" t="s">
        <v>2217</v>
      </c>
      <c r="BP340" t="s">
        <v>74</v>
      </c>
      <c r="BQ340" t="s">
        <v>74</v>
      </c>
      <c r="BR340" t="s">
        <v>105</v>
      </c>
      <c r="BS340" t="s">
        <v>7067</v>
      </c>
      <c r="BT340" t="str">
        <f>HYPERLINK("https%3A%2F%2Fwww.webofscience.com%2Fwos%2Fwoscc%2Ffull-record%2FWOS:000721268100001","View Full Record in Web of Science")</f>
        <v>View Full Record in Web of Science</v>
      </c>
    </row>
    <row r="341" spans="1:72" x14ac:dyDescent="0.15">
      <c r="A341" t="s">
        <v>72</v>
      </c>
      <c r="B341" t="s">
        <v>7068</v>
      </c>
      <c r="C341" t="s">
        <v>74</v>
      </c>
      <c r="D341" t="s">
        <v>74</v>
      </c>
      <c r="E341" t="s">
        <v>74</v>
      </c>
      <c r="F341" t="s">
        <v>7069</v>
      </c>
      <c r="G341" t="s">
        <v>74</v>
      </c>
      <c r="H341" t="s">
        <v>74</v>
      </c>
      <c r="I341" t="s">
        <v>7070</v>
      </c>
      <c r="J341" t="s">
        <v>1099</v>
      </c>
      <c r="K341" t="s">
        <v>74</v>
      </c>
      <c r="L341" t="s">
        <v>74</v>
      </c>
      <c r="M341" t="s">
        <v>78</v>
      </c>
      <c r="N341" t="s">
        <v>79</v>
      </c>
      <c r="O341" t="s">
        <v>74</v>
      </c>
      <c r="P341" t="s">
        <v>74</v>
      </c>
      <c r="Q341" t="s">
        <v>74</v>
      </c>
      <c r="R341" t="s">
        <v>74</v>
      </c>
      <c r="S341" t="s">
        <v>74</v>
      </c>
      <c r="T341" t="s">
        <v>7071</v>
      </c>
      <c r="U341" t="s">
        <v>7072</v>
      </c>
      <c r="V341" t="s">
        <v>7073</v>
      </c>
      <c r="W341" t="s">
        <v>7074</v>
      </c>
      <c r="X341" t="s">
        <v>7075</v>
      </c>
      <c r="Y341" t="s">
        <v>7076</v>
      </c>
      <c r="Z341" t="s">
        <v>7077</v>
      </c>
      <c r="AA341" t="s">
        <v>7078</v>
      </c>
      <c r="AB341" t="s">
        <v>7079</v>
      </c>
      <c r="AC341" t="s">
        <v>7080</v>
      </c>
      <c r="AD341" t="s">
        <v>7080</v>
      </c>
      <c r="AE341" t="s">
        <v>7081</v>
      </c>
      <c r="AF341" t="s">
        <v>74</v>
      </c>
      <c r="AG341">
        <v>67</v>
      </c>
      <c r="AH341">
        <v>1</v>
      </c>
      <c r="AI341">
        <v>1</v>
      </c>
      <c r="AJ341">
        <v>1</v>
      </c>
      <c r="AK341">
        <v>17</v>
      </c>
      <c r="AL341" t="s">
        <v>383</v>
      </c>
      <c r="AM341" t="s">
        <v>384</v>
      </c>
      <c r="AN341" t="s">
        <v>385</v>
      </c>
      <c r="AO341" t="s">
        <v>74</v>
      </c>
      <c r="AP341" t="s">
        <v>1112</v>
      </c>
      <c r="AQ341" t="s">
        <v>74</v>
      </c>
      <c r="AR341" t="s">
        <v>1113</v>
      </c>
      <c r="AS341" t="s">
        <v>1114</v>
      </c>
      <c r="AT341" t="s">
        <v>7063</v>
      </c>
      <c r="AU341">
        <v>2021</v>
      </c>
      <c r="AV341">
        <v>9</v>
      </c>
      <c r="AW341" t="s">
        <v>74</v>
      </c>
      <c r="AX341" t="s">
        <v>74</v>
      </c>
      <c r="AY341" t="s">
        <v>74</v>
      </c>
      <c r="AZ341" t="s">
        <v>74</v>
      </c>
      <c r="BA341" t="s">
        <v>74</v>
      </c>
      <c r="BB341" t="s">
        <v>74</v>
      </c>
      <c r="BC341" t="s">
        <v>74</v>
      </c>
      <c r="BD341">
        <v>757475</v>
      </c>
      <c r="BE341" t="s">
        <v>7082</v>
      </c>
      <c r="BF341" t="str">
        <f>HYPERLINK("http://dx.doi.org/10.3389/feart.2021.757475","http://dx.doi.org/10.3389/feart.2021.757475")</f>
        <v>http://dx.doi.org/10.3389/feart.2021.757475</v>
      </c>
      <c r="BG341" t="s">
        <v>74</v>
      </c>
      <c r="BH341" t="s">
        <v>74</v>
      </c>
      <c r="BI341">
        <v>13</v>
      </c>
      <c r="BJ341" t="s">
        <v>236</v>
      </c>
      <c r="BK341" t="s">
        <v>101</v>
      </c>
      <c r="BL341" t="s">
        <v>237</v>
      </c>
      <c r="BM341" t="s">
        <v>7083</v>
      </c>
      <c r="BN341" t="s">
        <v>74</v>
      </c>
      <c r="BO341" t="s">
        <v>210</v>
      </c>
      <c r="BP341" t="s">
        <v>74</v>
      </c>
      <c r="BQ341" t="s">
        <v>74</v>
      </c>
      <c r="BR341" t="s">
        <v>105</v>
      </c>
      <c r="BS341" t="s">
        <v>7084</v>
      </c>
      <c r="BT341" t="str">
        <f>HYPERLINK("https%3A%2F%2Fwww.webofscience.com%2Fwos%2Fwoscc%2Ffull-record%2FWOS:000716474500001","View Full Record in Web of Science")</f>
        <v>View Full Record in Web of Science</v>
      </c>
    </row>
    <row r="342" spans="1:72" x14ac:dyDescent="0.15">
      <c r="A342" t="s">
        <v>72</v>
      </c>
      <c r="B342" t="s">
        <v>7085</v>
      </c>
      <c r="C342" t="s">
        <v>74</v>
      </c>
      <c r="D342" t="s">
        <v>74</v>
      </c>
      <c r="E342" t="s">
        <v>74</v>
      </c>
      <c r="F342" t="s">
        <v>7086</v>
      </c>
      <c r="G342" t="s">
        <v>74</v>
      </c>
      <c r="H342" t="s">
        <v>74</v>
      </c>
      <c r="I342" t="s">
        <v>7087</v>
      </c>
      <c r="J342" t="s">
        <v>1212</v>
      </c>
      <c r="K342" t="s">
        <v>74</v>
      </c>
      <c r="L342" t="s">
        <v>74</v>
      </c>
      <c r="M342" t="s">
        <v>78</v>
      </c>
      <c r="N342" t="s">
        <v>79</v>
      </c>
      <c r="O342" t="s">
        <v>74</v>
      </c>
      <c r="P342" t="s">
        <v>74</v>
      </c>
      <c r="Q342" t="s">
        <v>74</v>
      </c>
      <c r="R342" t="s">
        <v>74</v>
      </c>
      <c r="S342" t="s">
        <v>74</v>
      </c>
      <c r="T342" t="s">
        <v>74</v>
      </c>
      <c r="U342" t="s">
        <v>7088</v>
      </c>
      <c r="V342" t="s">
        <v>7089</v>
      </c>
      <c r="W342" t="s">
        <v>7090</v>
      </c>
      <c r="X342" t="s">
        <v>7091</v>
      </c>
      <c r="Y342" t="s">
        <v>7092</v>
      </c>
      <c r="Z342" t="s">
        <v>7093</v>
      </c>
      <c r="AA342" t="s">
        <v>7094</v>
      </c>
      <c r="AB342" t="s">
        <v>7095</v>
      </c>
      <c r="AC342" t="s">
        <v>7096</v>
      </c>
      <c r="AD342" t="s">
        <v>7096</v>
      </c>
      <c r="AE342" t="s">
        <v>7097</v>
      </c>
      <c r="AF342" t="s">
        <v>74</v>
      </c>
      <c r="AG342">
        <v>80</v>
      </c>
      <c r="AH342">
        <v>7</v>
      </c>
      <c r="AI342">
        <v>8</v>
      </c>
      <c r="AJ342">
        <v>1</v>
      </c>
      <c r="AK342">
        <v>5</v>
      </c>
      <c r="AL342" t="s">
        <v>492</v>
      </c>
      <c r="AM342" t="s">
        <v>493</v>
      </c>
      <c r="AN342" t="s">
        <v>494</v>
      </c>
      <c r="AO342" t="s">
        <v>1224</v>
      </c>
      <c r="AP342" t="s">
        <v>74</v>
      </c>
      <c r="AQ342" t="s">
        <v>74</v>
      </c>
      <c r="AR342" t="s">
        <v>1225</v>
      </c>
      <c r="AS342" t="s">
        <v>1226</v>
      </c>
      <c r="AT342" t="s">
        <v>7063</v>
      </c>
      <c r="AU342">
        <v>2021</v>
      </c>
      <c r="AV342">
        <v>11</v>
      </c>
      <c r="AW342">
        <v>1</v>
      </c>
      <c r="AX342" t="s">
        <v>74</v>
      </c>
      <c r="AY342" t="s">
        <v>74</v>
      </c>
      <c r="AZ342" t="s">
        <v>74</v>
      </c>
      <c r="BA342" t="s">
        <v>74</v>
      </c>
      <c r="BB342" t="s">
        <v>74</v>
      </c>
      <c r="BC342" t="s">
        <v>74</v>
      </c>
      <c r="BD342">
        <v>20896</v>
      </c>
      <c r="BE342" t="s">
        <v>7098</v>
      </c>
      <c r="BF342" t="str">
        <f>HYPERLINK("http://dx.doi.org/10.1038/s41598-021-00253-2","http://dx.doi.org/10.1038/s41598-021-00253-2")</f>
        <v>http://dx.doi.org/10.1038/s41598-021-00253-2</v>
      </c>
      <c r="BG342" t="s">
        <v>74</v>
      </c>
      <c r="BH342" t="s">
        <v>74</v>
      </c>
      <c r="BI342">
        <v>13</v>
      </c>
      <c r="BJ342" t="s">
        <v>126</v>
      </c>
      <c r="BK342" t="s">
        <v>101</v>
      </c>
      <c r="BL342" t="s">
        <v>127</v>
      </c>
      <c r="BM342" t="s">
        <v>7099</v>
      </c>
      <c r="BN342">
        <v>34686699</v>
      </c>
      <c r="BO342" t="s">
        <v>1094</v>
      </c>
      <c r="BP342" t="s">
        <v>74</v>
      </c>
      <c r="BQ342" t="s">
        <v>74</v>
      </c>
      <c r="BR342" t="s">
        <v>105</v>
      </c>
      <c r="BS342" t="s">
        <v>7100</v>
      </c>
      <c r="BT342" t="str">
        <f>HYPERLINK("https%3A%2F%2Fwww.webofscience.com%2Fwos%2Fwoscc%2Ffull-record%2FWOS:000710192900074","View Full Record in Web of Science")</f>
        <v>View Full Record in Web of Science</v>
      </c>
    </row>
    <row r="343" spans="1:72" x14ac:dyDescent="0.15">
      <c r="A343" t="s">
        <v>72</v>
      </c>
      <c r="B343" t="s">
        <v>7101</v>
      </c>
      <c r="C343" t="s">
        <v>74</v>
      </c>
      <c r="D343" t="s">
        <v>74</v>
      </c>
      <c r="E343" t="s">
        <v>74</v>
      </c>
      <c r="F343" t="s">
        <v>7102</v>
      </c>
      <c r="G343" t="s">
        <v>74</v>
      </c>
      <c r="H343" t="s">
        <v>74</v>
      </c>
      <c r="I343" t="s">
        <v>7103</v>
      </c>
      <c r="J343" t="s">
        <v>3823</v>
      </c>
      <c r="K343" t="s">
        <v>74</v>
      </c>
      <c r="L343" t="s">
        <v>74</v>
      </c>
      <c r="M343" t="s">
        <v>78</v>
      </c>
      <c r="N343" t="s">
        <v>5461</v>
      </c>
      <c r="O343" t="s">
        <v>74</v>
      </c>
      <c r="P343" t="s">
        <v>74</v>
      </c>
      <c r="Q343" t="s">
        <v>74</v>
      </c>
      <c r="R343" t="s">
        <v>74</v>
      </c>
      <c r="S343" t="s">
        <v>74</v>
      </c>
      <c r="T343" t="s">
        <v>74</v>
      </c>
      <c r="U343" t="s">
        <v>74</v>
      </c>
      <c r="V343" t="s">
        <v>74</v>
      </c>
      <c r="W343" t="s">
        <v>74</v>
      </c>
      <c r="X343" t="s">
        <v>74</v>
      </c>
      <c r="Y343" t="s">
        <v>74</v>
      </c>
      <c r="Z343" t="s">
        <v>74</v>
      </c>
      <c r="AA343" t="s">
        <v>74</v>
      </c>
      <c r="AB343" t="s">
        <v>74</v>
      </c>
      <c r="AC343" t="s">
        <v>74</v>
      </c>
      <c r="AD343" t="s">
        <v>74</v>
      </c>
      <c r="AE343" t="s">
        <v>74</v>
      </c>
      <c r="AF343" t="s">
        <v>74</v>
      </c>
      <c r="AG343">
        <v>0</v>
      </c>
      <c r="AH343">
        <v>0</v>
      </c>
      <c r="AI343">
        <v>1</v>
      </c>
      <c r="AJ343">
        <v>0</v>
      </c>
      <c r="AK343">
        <v>2</v>
      </c>
      <c r="AL343" t="s">
        <v>3835</v>
      </c>
      <c r="AM343" t="s">
        <v>438</v>
      </c>
      <c r="AN343" t="s">
        <v>3836</v>
      </c>
      <c r="AO343" t="s">
        <v>3837</v>
      </c>
      <c r="AP343" t="s">
        <v>3838</v>
      </c>
      <c r="AQ343" t="s">
        <v>74</v>
      </c>
      <c r="AR343" t="s">
        <v>3823</v>
      </c>
      <c r="AS343" t="s">
        <v>3839</v>
      </c>
      <c r="AT343" t="s">
        <v>7063</v>
      </c>
      <c r="AU343">
        <v>2021</v>
      </c>
      <c r="AV343">
        <v>374</v>
      </c>
      <c r="AW343">
        <v>6566</v>
      </c>
      <c r="AX343" t="s">
        <v>74</v>
      </c>
      <c r="AY343" t="s">
        <v>74</v>
      </c>
      <c r="AZ343" t="s">
        <v>74</v>
      </c>
      <c r="BA343" t="s">
        <v>74</v>
      </c>
      <c r="BB343">
        <v>388</v>
      </c>
      <c r="BC343">
        <v>389</v>
      </c>
      <c r="BD343" t="s">
        <v>74</v>
      </c>
      <c r="BE343" t="s">
        <v>74</v>
      </c>
      <c r="BF343" t="s">
        <v>74</v>
      </c>
      <c r="BG343" t="s">
        <v>74</v>
      </c>
      <c r="BH343" t="s">
        <v>74</v>
      </c>
      <c r="BI343">
        <v>2</v>
      </c>
      <c r="BJ343" t="s">
        <v>126</v>
      </c>
      <c r="BK343" t="s">
        <v>101</v>
      </c>
      <c r="BL343" t="s">
        <v>127</v>
      </c>
      <c r="BM343" t="s">
        <v>7104</v>
      </c>
      <c r="BN343">
        <v>34672752</v>
      </c>
      <c r="BO343" t="s">
        <v>74</v>
      </c>
      <c r="BP343" t="s">
        <v>74</v>
      </c>
      <c r="BQ343" t="s">
        <v>74</v>
      </c>
      <c r="BR343" t="s">
        <v>105</v>
      </c>
      <c r="BS343" t="s">
        <v>7105</v>
      </c>
      <c r="BT343" t="str">
        <f>HYPERLINK("https%3A%2F%2Fwww.webofscience.com%2Fwos%2Fwoscc%2Ffull-record%2FWOS:000710251800017","View Full Record in Web of Science")</f>
        <v>View Full Record in Web of Science</v>
      </c>
    </row>
    <row r="344" spans="1:72" x14ac:dyDescent="0.15">
      <c r="A344" t="s">
        <v>72</v>
      </c>
      <c r="B344" t="s">
        <v>7106</v>
      </c>
      <c r="C344" t="s">
        <v>74</v>
      </c>
      <c r="D344" t="s">
        <v>74</v>
      </c>
      <c r="E344" t="s">
        <v>74</v>
      </c>
      <c r="F344" t="s">
        <v>7107</v>
      </c>
      <c r="G344" t="s">
        <v>74</v>
      </c>
      <c r="H344" t="s">
        <v>74</v>
      </c>
      <c r="I344" t="s">
        <v>7108</v>
      </c>
      <c r="J344" t="s">
        <v>536</v>
      </c>
      <c r="K344" t="s">
        <v>74</v>
      </c>
      <c r="L344" t="s">
        <v>74</v>
      </c>
      <c r="M344" t="s">
        <v>78</v>
      </c>
      <c r="N344" t="s">
        <v>79</v>
      </c>
      <c r="O344" t="s">
        <v>74</v>
      </c>
      <c r="P344" t="s">
        <v>74</v>
      </c>
      <c r="Q344" t="s">
        <v>74</v>
      </c>
      <c r="R344" t="s">
        <v>74</v>
      </c>
      <c r="S344" t="s">
        <v>74</v>
      </c>
      <c r="T344" t="s">
        <v>74</v>
      </c>
      <c r="U344" t="s">
        <v>7109</v>
      </c>
      <c r="V344" t="s">
        <v>7110</v>
      </c>
      <c r="W344" t="s">
        <v>7111</v>
      </c>
      <c r="X344" t="s">
        <v>7112</v>
      </c>
      <c r="Y344" t="s">
        <v>7113</v>
      </c>
      <c r="Z344" t="s">
        <v>7114</v>
      </c>
      <c r="AA344" t="s">
        <v>7115</v>
      </c>
      <c r="AB344" t="s">
        <v>7116</v>
      </c>
      <c r="AC344" t="s">
        <v>7117</v>
      </c>
      <c r="AD344" t="s">
        <v>7118</v>
      </c>
      <c r="AE344" t="s">
        <v>7119</v>
      </c>
      <c r="AF344" t="s">
        <v>74</v>
      </c>
      <c r="AG344">
        <v>51</v>
      </c>
      <c r="AH344">
        <v>11</v>
      </c>
      <c r="AI344">
        <v>11</v>
      </c>
      <c r="AJ344">
        <v>2</v>
      </c>
      <c r="AK344">
        <v>22</v>
      </c>
      <c r="AL344" t="s">
        <v>227</v>
      </c>
      <c r="AM344" t="s">
        <v>228</v>
      </c>
      <c r="AN344" t="s">
        <v>229</v>
      </c>
      <c r="AO344" t="s">
        <v>548</v>
      </c>
      <c r="AP344" t="s">
        <v>549</v>
      </c>
      <c r="AQ344" t="s">
        <v>74</v>
      </c>
      <c r="AR344" t="s">
        <v>550</v>
      </c>
      <c r="AS344" t="s">
        <v>551</v>
      </c>
      <c r="AT344" t="s">
        <v>7063</v>
      </c>
      <c r="AU344">
        <v>2021</v>
      </c>
      <c r="AV344">
        <v>21</v>
      </c>
      <c r="AW344">
        <v>20</v>
      </c>
      <c r="AX344" t="s">
        <v>74</v>
      </c>
      <c r="AY344" t="s">
        <v>74</v>
      </c>
      <c r="AZ344" t="s">
        <v>74</v>
      </c>
      <c r="BA344" t="s">
        <v>74</v>
      </c>
      <c r="BB344">
        <v>15771</v>
      </c>
      <c r="BC344">
        <v>15781</v>
      </c>
      <c r="BD344" t="s">
        <v>74</v>
      </c>
      <c r="BE344" t="s">
        <v>7120</v>
      </c>
      <c r="BF344" t="str">
        <f>HYPERLINK("http://dx.doi.org/10.5194/acp-21-15771-2021","http://dx.doi.org/10.5194/acp-21-15771-2021")</f>
        <v>http://dx.doi.org/10.5194/acp-21-15771-2021</v>
      </c>
      <c r="BG344" t="s">
        <v>74</v>
      </c>
      <c r="BH344" t="s">
        <v>74</v>
      </c>
      <c r="BI344">
        <v>11</v>
      </c>
      <c r="BJ344" t="s">
        <v>100</v>
      </c>
      <c r="BK344" t="s">
        <v>101</v>
      </c>
      <c r="BL344" t="s">
        <v>102</v>
      </c>
      <c r="BM344" t="s">
        <v>7121</v>
      </c>
      <c r="BN344" t="s">
        <v>74</v>
      </c>
      <c r="BO344" t="s">
        <v>239</v>
      </c>
      <c r="BP344" t="s">
        <v>74</v>
      </c>
      <c r="BQ344" t="s">
        <v>74</v>
      </c>
      <c r="BR344" t="s">
        <v>105</v>
      </c>
      <c r="BS344" t="s">
        <v>7122</v>
      </c>
      <c r="BT344" t="str">
        <f>HYPERLINK("https%3A%2F%2Fwww.webofscience.com%2Fwos%2Fwoscc%2Ffull-record%2FWOS:000710805500001","View Full Record in Web of Science")</f>
        <v>View Full Record in Web of Science</v>
      </c>
    </row>
    <row r="345" spans="1:72" x14ac:dyDescent="0.15">
      <c r="A345" t="s">
        <v>72</v>
      </c>
      <c r="B345" t="s">
        <v>7123</v>
      </c>
      <c r="C345" t="s">
        <v>74</v>
      </c>
      <c r="D345" t="s">
        <v>74</v>
      </c>
      <c r="E345" t="s">
        <v>74</v>
      </c>
      <c r="F345" t="s">
        <v>7124</v>
      </c>
      <c r="G345" t="s">
        <v>74</v>
      </c>
      <c r="H345" t="s">
        <v>74</v>
      </c>
      <c r="I345" t="s">
        <v>7125</v>
      </c>
      <c r="J345" t="s">
        <v>7126</v>
      </c>
      <c r="K345" t="s">
        <v>74</v>
      </c>
      <c r="L345" t="s">
        <v>74</v>
      </c>
      <c r="M345" t="s">
        <v>78</v>
      </c>
      <c r="N345" t="s">
        <v>79</v>
      </c>
      <c r="O345" t="s">
        <v>74</v>
      </c>
      <c r="P345" t="s">
        <v>74</v>
      </c>
      <c r="Q345" t="s">
        <v>74</v>
      </c>
      <c r="R345" t="s">
        <v>74</v>
      </c>
      <c r="S345" t="s">
        <v>74</v>
      </c>
      <c r="T345" t="s">
        <v>7127</v>
      </c>
      <c r="U345" t="s">
        <v>7128</v>
      </c>
      <c r="V345" t="s">
        <v>7129</v>
      </c>
      <c r="W345" t="s">
        <v>7130</v>
      </c>
      <c r="X345" t="s">
        <v>7131</v>
      </c>
      <c r="Y345" t="s">
        <v>74</v>
      </c>
      <c r="Z345" t="s">
        <v>7132</v>
      </c>
      <c r="AA345" t="s">
        <v>7133</v>
      </c>
      <c r="AB345" t="s">
        <v>7134</v>
      </c>
      <c r="AC345" t="s">
        <v>7135</v>
      </c>
      <c r="AD345" t="s">
        <v>7136</v>
      </c>
      <c r="AE345" t="s">
        <v>7137</v>
      </c>
      <c r="AF345" t="s">
        <v>74</v>
      </c>
      <c r="AG345">
        <v>50</v>
      </c>
      <c r="AH345">
        <v>5</v>
      </c>
      <c r="AI345">
        <v>5</v>
      </c>
      <c r="AJ345">
        <v>3</v>
      </c>
      <c r="AK345">
        <v>14</v>
      </c>
      <c r="AL345" t="s">
        <v>169</v>
      </c>
      <c r="AM345" t="s">
        <v>520</v>
      </c>
      <c r="AN345" t="s">
        <v>521</v>
      </c>
      <c r="AO345" t="s">
        <v>7138</v>
      </c>
      <c r="AP345" t="s">
        <v>7139</v>
      </c>
      <c r="AQ345" t="s">
        <v>74</v>
      </c>
      <c r="AR345" t="s">
        <v>7140</v>
      </c>
      <c r="AS345" t="s">
        <v>7141</v>
      </c>
      <c r="AT345" t="s">
        <v>416</v>
      </c>
      <c r="AU345">
        <v>2022</v>
      </c>
      <c r="AV345">
        <v>49</v>
      </c>
      <c r="AW345">
        <v>1</v>
      </c>
      <c r="AX345" t="s">
        <v>74</v>
      </c>
      <c r="AY345" t="s">
        <v>74</v>
      </c>
      <c r="AZ345" t="s">
        <v>74</v>
      </c>
      <c r="BA345" t="s">
        <v>74</v>
      </c>
      <c r="BB345">
        <v>179</v>
      </c>
      <c r="BC345">
        <v>188</v>
      </c>
      <c r="BD345" t="s">
        <v>74</v>
      </c>
      <c r="BE345" t="s">
        <v>7142</v>
      </c>
      <c r="BF345" t="str">
        <f>HYPERLINK("http://dx.doi.org/10.1007/s11033-021-06857-1","http://dx.doi.org/10.1007/s11033-021-06857-1")</f>
        <v>http://dx.doi.org/10.1007/s11033-021-06857-1</v>
      </c>
      <c r="BG345" t="s">
        <v>74</v>
      </c>
      <c r="BH345" t="s">
        <v>5766</v>
      </c>
      <c r="BI345">
        <v>10</v>
      </c>
      <c r="BJ345" t="s">
        <v>4007</v>
      </c>
      <c r="BK345" t="s">
        <v>101</v>
      </c>
      <c r="BL345" t="s">
        <v>4007</v>
      </c>
      <c r="BM345" t="s">
        <v>7143</v>
      </c>
      <c r="BN345">
        <v>34686990</v>
      </c>
      <c r="BO345" t="s">
        <v>74</v>
      </c>
      <c r="BP345" t="s">
        <v>74</v>
      </c>
      <c r="BQ345" t="s">
        <v>74</v>
      </c>
      <c r="BR345" t="s">
        <v>105</v>
      </c>
      <c r="BS345" t="s">
        <v>7144</v>
      </c>
      <c r="BT345" t="str">
        <f>HYPERLINK("https%3A%2F%2Fwww.webofscience.com%2Fwos%2Fwoscc%2Ffull-record%2FWOS:000710077300008","View Full Record in Web of Science")</f>
        <v>View Full Record in Web of Science</v>
      </c>
    </row>
    <row r="346" spans="1:72" x14ac:dyDescent="0.15">
      <c r="A346" t="s">
        <v>72</v>
      </c>
      <c r="B346" t="s">
        <v>7145</v>
      </c>
      <c r="C346" t="s">
        <v>74</v>
      </c>
      <c r="D346" t="s">
        <v>74</v>
      </c>
      <c r="E346" t="s">
        <v>74</v>
      </c>
      <c r="F346" t="s">
        <v>7146</v>
      </c>
      <c r="G346" t="s">
        <v>74</v>
      </c>
      <c r="H346" t="s">
        <v>74</v>
      </c>
      <c r="I346" t="s">
        <v>7147</v>
      </c>
      <c r="J346" t="s">
        <v>7148</v>
      </c>
      <c r="K346" t="s">
        <v>74</v>
      </c>
      <c r="L346" t="s">
        <v>74</v>
      </c>
      <c r="M346" t="s">
        <v>78</v>
      </c>
      <c r="N346" t="s">
        <v>79</v>
      </c>
      <c r="O346" t="s">
        <v>74</v>
      </c>
      <c r="P346" t="s">
        <v>74</v>
      </c>
      <c r="Q346" t="s">
        <v>74</v>
      </c>
      <c r="R346" t="s">
        <v>74</v>
      </c>
      <c r="S346" t="s">
        <v>74</v>
      </c>
      <c r="T346" t="s">
        <v>7149</v>
      </c>
      <c r="U346" t="s">
        <v>7150</v>
      </c>
      <c r="V346" t="s">
        <v>7151</v>
      </c>
      <c r="W346" t="s">
        <v>7152</v>
      </c>
      <c r="X346" t="s">
        <v>7153</v>
      </c>
      <c r="Y346" t="s">
        <v>7154</v>
      </c>
      <c r="Z346" t="s">
        <v>7155</v>
      </c>
      <c r="AA346" t="s">
        <v>7156</v>
      </c>
      <c r="AB346" t="s">
        <v>74</v>
      </c>
      <c r="AC346" t="s">
        <v>7157</v>
      </c>
      <c r="AD346" t="s">
        <v>7158</v>
      </c>
      <c r="AE346" t="s">
        <v>7159</v>
      </c>
      <c r="AF346" t="s">
        <v>74</v>
      </c>
      <c r="AG346">
        <v>46</v>
      </c>
      <c r="AH346">
        <v>4</v>
      </c>
      <c r="AI346">
        <v>4</v>
      </c>
      <c r="AJ346">
        <v>5</v>
      </c>
      <c r="AK346">
        <v>21</v>
      </c>
      <c r="AL346" t="s">
        <v>1088</v>
      </c>
      <c r="AM346" t="s">
        <v>333</v>
      </c>
      <c r="AN346" t="s">
        <v>1089</v>
      </c>
      <c r="AO346" t="s">
        <v>7160</v>
      </c>
      <c r="AP346" t="s">
        <v>74</v>
      </c>
      <c r="AQ346" t="s">
        <v>74</v>
      </c>
      <c r="AR346" t="s">
        <v>7161</v>
      </c>
      <c r="AS346" t="s">
        <v>7162</v>
      </c>
      <c r="AT346" t="s">
        <v>7063</v>
      </c>
      <c r="AU346">
        <v>2021</v>
      </c>
      <c r="AV346">
        <v>21</v>
      </c>
      <c r="AW346">
        <v>1</v>
      </c>
      <c r="AX346" t="s">
        <v>74</v>
      </c>
      <c r="AY346" t="s">
        <v>74</v>
      </c>
      <c r="AZ346" t="s">
        <v>74</v>
      </c>
      <c r="BA346" t="s">
        <v>74</v>
      </c>
      <c r="BB346" t="s">
        <v>74</v>
      </c>
      <c r="BC346" t="s">
        <v>74</v>
      </c>
      <c r="BD346">
        <v>288</v>
      </c>
      <c r="BE346" t="s">
        <v>7163</v>
      </c>
      <c r="BF346" t="str">
        <f>HYPERLINK("http://dx.doi.org/10.1186/s12866-021-02347-3","http://dx.doi.org/10.1186/s12866-021-02347-3")</f>
        <v>http://dx.doi.org/10.1186/s12866-021-02347-3</v>
      </c>
      <c r="BG346" t="s">
        <v>74</v>
      </c>
      <c r="BH346" t="s">
        <v>74</v>
      </c>
      <c r="BI346">
        <v>15</v>
      </c>
      <c r="BJ346" t="s">
        <v>975</v>
      </c>
      <c r="BK346" t="s">
        <v>101</v>
      </c>
      <c r="BL346" t="s">
        <v>975</v>
      </c>
      <c r="BM346" t="s">
        <v>7164</v>
      </c>
      <c r="BN346">
        <v>34686131</v>
      </c>
      <c r="BO346" t="s">
        <v>394</v>
      </c>
      <c r="BP346" t="s">
        <v>74</v>
      </c>
      <c r="BQ346" t="s">
        <v>74</v>
      </c>
      <c r="BR346" t="s">
        <v>105</v>
      </c>
      <c r="BS346" t="s">
        <v>7165</v>
      </c>
      <c r="BT346" t="str">
        <f>HYPERLINK("https%3A%2F%2Fwww.webofscience.com%2Fwos%2Fwoscc%2Ffull-record%2FWOS:000710134600003","View Full Record in Web of Science")</f>
        <v>View Full Record in Web of Science</v>
      </c>
    </row>
    <row r="347" spans="1:72" x14ac:dyDescent="0.15">
      <c r="A347" t="s">
        <v>72</v>
      </c>
      <c r="B347" t="s">
        <v>7166</v>
      </c>
      <c r="C347" t="s">
        <v>74</v>
      </c>
      <c r="D347" t="s">
        <v>74</v>
      </c>
      <c r="E347" t="s">
        <v>74</v>
      </c>
      <c r="F347" t="s">
        <v>7167</v>
      </c>
      <c r="G347" t="s">
        <v>74</v>
      </c>
      <c r="H347" t="s">
        <v>74</v>
      </c>
      <c r="I347" t="s">
        <v>7168</v>
      </c>
      <c r="J347" t="s">
        <v>372</v>
      </c>
      <c r="K347" t="s">
        <v>74</v>
      </c>
      <c r="L347" t="s">
        <v>74</v>
      </c>
      <c r="M347" t="s">
        <v>78</v>
      </c>
      <c r="N347" t="s">
        <v>79</v>
      </c>
      <c r="O347" t="s">
        <v>74</v>
      </c>
      <c r="P347" t="s">
        <v>74</v>
      </c>
      <c r="Q347" t="s">
        <v>74</v>
      </c>
      <c r="R347" t="s">
        <v>74</v>
      </c>
      <c r="S347" t="s">
        <v>74</v>
      </c>
      <c r="T347" t="s">
        <v>7169</v>
      </c>
      <c r="U347" t="s">
        <v>7170</v>
      </c>
      <c r="V347" t="s">
        <v>7171</v>
      </c>
      <c r="W347" t="s">
        <v>7172</v>
      </c>
      <c r="X347" t="s">
        <v>7173</v>
      </c>
      <c r="Y347" t="s">
        <v>7174</v>
      </c>
      <c r="Z347" t="s">
        <v>7175</v>
      </c>
      <c r="AA347" t="s">
        <v>7176</v>
      </c>
      <c r="AB347" t="s">
        <v>7177</v>
      </c>
      <c r="AC347" t="s">
        <v>7178</v>
      </c>
      <c r="AD347" t="s">
        <v>7178</v>
      </c>
      <c r="AE347" t="s">
        <v>7179</v>
      </c>
      <c r="AF347" t="s">
        <v>74</v>
      </c>
      <c r="AG347">
        <v>116</v>
      </c>
      <c r="AH347">
        <v>13</v>
      </c>
      <c r="AI347">
        <v>14</v>
      </c>
      <c r="AJ347">
        <v>4</v>
      </c>
      <c r="AK347">
        <v>19</v>
      </c>
      <c r="AL347" t="s">
        <v>383</v>
      </c>
      <c r="AM347" t="s">
        <v>384</v>
      </c>
      <c r="AN347" t="s">
        <v>385</v>
      </c>
      <c r="AO347" t="s">
        <v>74</v>
      </c>
      <c r="AP347" t="s">
        <v>386</v>
      </c>
      <c r="AQ347" t="s">
        <v>74</v>
      </c>
      <c r="AR347" t="s">
        <v>387</v>
      </c>
      <c r="AS347" t="s">
        <v>388</v>
      </c>
      <c r="AT347" t="s">
        <v>7063</v>
      </c>
      <c r="AU347">
        <v>2021</v>
      </c>
      <c r="AV347">
        <v>8</v>
      </c>
      <c r="AW347" t="s">
        <v>74</v>
      </c>
      <c r="AX347" t="s">
        <v>74</v>
      </c>
      <c r="AY347" t="s">
        <v>74</v>
      </c>
      <c r="AZ347" t="s">
        <v>74</v>
      </c>
      <c r="BA347" t="s">
        <v>74</v>
      </c>
      <c r="BB347" t="s">
        <v>74</v>
      </c>
      <c r="BC347" t="s">
        <v>74</v>
      </c>
      <c r="BD347">
        <v>660648</v>
      </c>
      <c r="BE347" t="s">
        <v>7180</v>
      </c>
      <c r="BF347" t="str">
        <f>HYPERLINK("http://dx.doi.org/10.3389/fmars.2021.660648","http://dx.doi.org/10.3389/fmars.2021.660648")</f>
        <v>http://dx.doi.org/10.3389/fmars.2021.660648</v>
      </c>
      <c r="BG347" t="s">
        <v>74</v>
      </c>
      <c r="BH347" t="s">
        <v>74</v>
      </c>
      <c r="BI347">
        <v>18</v>
      </c>
      <c r="BJ347" t="s">
        <v>391</v>
      </c>
      <c r="BK347" t="s">
        <v>101</v>
      </c>
      <c r="BL347" t="s">
        <v>392</v>
      </c>
      <c r="BM347" t="s">
        <v>7181</v>
      </c>
      <c r="BN347" t="s">
        <v>74</v>
      </c>
      <c r="BO347" t="s">
        <v>2114</v>
      </c>
      <c r="BP347" t="s">
        <v>74</v>
      </c>
      <c r="BQ347" t="s">
        <v>74</v>
      </c>
      <c r="BR347" t="s">
        <v>105</v>
      </c>
      <c r="BS347" t="s">
        <v>7182</v>
      </c>
      <c r="BT347" t="str">
        <f>HYPERLINK("https%3A%2F%2Fwww.webofscience.com%2Fwos%2Fwoscc%2Ffull-record%2FWOS:000716471500001","View Full Record in Web of Science")</f>
        <v>View Full Record in Web of Science</v>
      </c>
    </row>
    <row r="348" spans="1:72" x14ac:dyDescent="0.15">
      <c r="A348" t="s">
        <v>72</v>
      </c>
      <c r="B348" t="s">
        <v>7183</v>
      </c>
      <c r="C348" t="s">
        <v>74</v>
      </c>
      <c r="D348" t="s">
        <v>74</v>
      </c>
      <c r="E348" t="s">
        <v>74</v>
      </c>
      <c r="F348" t="s">
        <v>7184</v>
      </c>
      <c r="G348" t="s">
        <v>74</v>
      </c>
      <c r="H348" t="s">
        <v>74</v>
      </c>
      <c r="I348" t="s">
        <v>7185</v>
      </c>
      <c r="J348" t="s">
        <v>1234</v>
      </c>
      <c r="K348" t="s">
        <v>74</v>
      </c>
      <c r="L348" t="s">
        <v>74</v>
      </c>
      <c r="M348" t="s">
        <v>78</v>
      </c>
      <c r="N348" t="s">
        <v>79</v>
      </c>
      <c r="O348" t="s">
        <v>74</v>
      </c>
      <c r="P348" t="s">
        <v>74</v>
      </c>
      <c r="Q348" t="s">
        <v>74</v>
      </c>
      <c r="R348" t="s">
        <v>74</v>
      </c>
      <c r="S348" t="s">
        <v>74</v>
      </c>
      <c r="T348" t="s">
        <v>7186</v>
      </c>
      <c r="U348" t="s">
        <v>7187</v>
      </c>
      <c r="V348" t="s">
        <v>7188</v>
      </c>
      <c r="W348" t="s">
        <v>7189</v>
      </c>
      <c r="X348" t="s">
        <v>7190</v>
      </c>
      <c r="Y348" t="s">
        <v>7191</v>
      </c>
      <c r="Z348" t="s">
        <v>7192</v>
      </c>
      <c r="AA348" t="s">
        <v>7193</v>
      </c>
      <c r="AB348" t="s">
        <v>7194</v>
      </c>
      <c r="AC348" t="s">
        <v>7195</v>
      </c>
      <c r="AD348" t="s">
        <v>7196</v>
      </c>
      <c r="AE348" t="s">
        <v>7197</v>
      </c>
      <c r="AF348" t="s">
        <v>74</v>
      </c>
      <c r="AG348">
        <v>126</v>
      </c>
      <c r="AH348">
        <v>4</v>
      </c>
      <c r="AI348">
        <v>4</v>
      </c>
      <c r="AJ348">
        <v>3</v>
      </c>
      <c r="AK348">
        <v>27</v>
      </c>
      <c r="AL348" t="s">
        <v>383</v>
      </c>
      <c r="AM348" t="s">
        <v>384</v>
      </c>
      <c r="AN348" t="s">
        <v>385</v>
      </c>
      <c r="AO348" t="s">
        <v>74</v>
      </c>
      <c r="AP348" t="s">
        <v>1243</v>
      </c>
      <c r="AQ348" t="s">
        <v>74</v>
      </c>
      <c r="AR348" t="s">
        <v>1244</v>
      </c>
      <c r="AS348" t="s">
        <v>1245</v>
      </c>
      <c r="AT348" t="s">
        <v>7063</v>
      </c>
      <c r="AU348">
        <v>2021</v>
      </c>
      <c r="AV348">
        <v>12</v>
      </c>
      <c r="AW348" t="s">
        <v>74</v>
      </c>
      <c r="AX348" t="s">
        <v>74</v>
      </c>
      <c r="AY348" t="s">
        <v>74</v>
      </c>
      <c r="AZ348" t="s">
        <v>74</v>
      </c>
      <c r="BA348" t="s">
        <v>74</v>
      </c>
      <c r="BB348" t="s">
        <v>74</v>
      </c>
      <c r="BC348" t="s">
        <v>74</v>
      </c>
      <c r="BD348">
        <v>729977</v>
      </c>
      <c r="BE348" t="s">
        <v>7198</v>
      </c>
      <c r="BF348" t="str">
        <f>HYPERLINK("http://dx.doi.org/10.3389/fmicb.2021.729977","http://dx.doi.org/10.3389/fmicb.2021.729977")</f>
        <v>http://dx.doi.org/10.3389/fmicb.2021.729977</v>
      </c>
      <c r="BG348" t="s">
        <v>74</v>
      </c>
      <c r="BH348" t="s">
        <v>74</v>
      </c>
      <c r="BI348">
        <v>20</v>
      </c>
      <c r="BJ348" t="s">
        <v>975</v>
      </c>
      <c r="BK348" t="s">
        <v>101</v>
      </c>
      <c r="BL348" t="s">
        <v>975</v>
      </c>
      <c r="BM348" t="s">
        <v>7199</v>
      </c>
      <c r="BN348">
        <v>34745033</v>
      </c>
      <c r="BO348" t="s">
        <v>394</v>
      </c>
      <c r="BP348" t="s">
        <v>74</v>
      </c>
      <c r="BQ348" t="s">
        <v>74</v>
      </c>
      <c r="BR348" t="s">
        <v>105</v>
      </c>
      <c r="BS348" t="s">
        <v>7200</v>
      </c>
      <c r="BT348" t="str">
        <f>HYPERLINK("https%3A%2F%2Fwww.webofscience.com%2Fwos%2Fwoscc%2Ffull-record%2FWOS:000716572400001","View Full Record in Web of Science")</f>
        <v>View Full Record in Web of Science</v>
      </c>
    </row>
    <row r="349" spans="1:72" x14ac:dyDescent="0.15">
      <c r="A349" t="s">
        <v>72</v>
      </c>
      <c r="B349" t="s">
        <v>7201</v>
      </c>
      <c r="C349" t="s">
        <v>74</v>
      </c>
      <c r="D349" t="s">
        <v>74</v>
      </c>
      <c r="E349" t="s">
        <v>74</v>
      </c>
      <c r="F349" t="s">
        <v>7202</v>
      </c>
      <c r="G349" t="s">
        <v>74</v>
      </c>
      <c r="H349" t="s">
        <v>74</v>
      </c>
      <c r="I349" t="s">
        <v>7203</v>
      </c>
      <c r="J349" t="s">
        <v>5907</v>
      </c>
      <c r="K349" t="s">
        <v>74</v>
      </c>
      <c r="L349" t="s">
        <v>74</v>
      </c>
      <c r="M349" t="s">
        <v>78</v>
      </c>
      <c r="N349" t="s">
        <v>79</v>
      </c>
      <c r="O349" t="s">
        <v>74</v>
      </c>
      <c r="P349" t="s">
        <v>74</v>
      </c>
      <c r="Q349" t="s">
        <v>74</v>
      </c>
      <c r="R349" t="s">
        <v>74</v>
      </c>
      <c r="S349" t="s">
        <v>74</v>
      </c>
      <c r="T349" t="s">
        <v>7204</v>
      </c>
      <c r="U349" t="s">
        <v>7205</v>
      </c>
      <c r="V349" t="s">
        <v>7206</v>
      </c>
      <c r="W349" t="s">
        <v>7207</v>
      </c>
      <c r="X349" t="s">
        <v>7208</v>
      </c>
      <c r="Y349" t="s">
        <v>7209</v>
      </c>
      <c r="Z349" t="s">
        <v>7210</v>
      </c>
      <c r="AA349" t="s">
        <v>7211</v>
      </c>
      <c r="AB349" t="s">
        <v>7212</v>
      </c>
      <c r="AC349" t="s">
        <v>74</v>
      </c>
      <c r="AD349" t="s">
        <v>74</v>
      </c>
      <c r="AE349" t="s">
        <v>74</v>
      </c>
      <c r="AF349" t="s">
        <v>74</v>
      </c>
      <c r="AG349">
        <v>41</v>
      </c>
      <c r="AH349">
        <v>46</v>
      </c>
      <c r="AI349">
        <v>48</v>
      </c>
      <c r="AJ349">
        <v>11</v>
      </c>
      <c r="AK349">
        <v>63</v>
      </c>
      <c r="AL349" t="s">
        <v>1175</v>
      </c>
      <c r="AM349" t="s">
        <v>170</v>
      </c>
      <c r="AN349" t="s">
        <v>1176</v>
      </c>
      <c r="AO349" t="s">
        <v>5920</v>
      </c>
      <c r="AP349" t="s">
        <v>5921</v>
      </c>
      <c r="AQ349" t="s">
        <v>74</v>
      </c>
      <c r="AR349" t="s">
        <v>5922</v>
      </c>
      <c r="AS349" t="s">
        <v>5923</v>
      </c>
      <c r="AT349" t="s">
        <v>2840</v>
      </c>
      <c r="AU349">
        <v>2021</v>
      </c>
      <c r="AV349">
        <v>267</v>
      </c>
      <c r="AW349" t="s">
        <v>74</v>
      </c>
      <c r="AX349" t="s">
        <v>74</v>
      </c>
      <c r="AY349" t="s">
        <v>74</v>
      </c>
      <c r="AZ349" t="s">
        <v>74</v>
      </c>
      <c r="BA349" t="s">
        <v>74</v>
      </c>
      <c r="BB349" t="s">
        <v>74</v>
      </c>
      <c r="BC349" t="s">
        <v>74</v>
      </c>
      <c r="BD349">
        <v>112753</v>
      </c>
      <c r="BE349" t="s">
        <v>7213</v>
      </c>
      <c r="BF349" t="str">
        <f>HYPERLINK("http://dx.doi.org/10.1016/j.rse.2021.112753","http://dx.doi.org/10.1016/j.rse.2021.112753")</f>
        <v>http://dx.doi.org/10.1016/j.rse.2021.112753</v>
      </c>
      <c r="BG349" t="s">
        <v>74</v>
      </c>
      <c r="BH349" t="s">
        <v>5766</v>
      </c>
      <c r="BI349">
        <v>8</v>
      </c>
      <c r="BJ349" t="s">
        <v>5925</v>
      </c>
      <c r="BK349" t="s">
        <v>101</v>
      </c>
      <c r="BL349" t="s">
        <v>5926</v>
      </c>
      <c r="BM349" t="s">
        <v>7214</v>
      </c>
      <c r="BN349" t="s">
        <v>74</v>
      </c>
      <c r="BO349" t="s">
        <v>1471</v>
      </c>
      <c r="BP349" t="s">
        <v>74</v>
      </c>
      <c r="BQ349" t="s">
        <v>74</v>
      </c>
      <c r="BR349" t="s">
        <v>105</v>
      </c>
      <c r="BS349" t="s">
        <v>7215</v>
      </c>
      <c r="BT349" t="str">
        <f>HYPERLINK("https%3A%2F%2Fwww.webofscience.com%2Fwos%2Fwoscc%2Ffull-record%2FWOS:000714462800001","View Full Record in Web of Science")</f>
        <v>View Full Record in Web of Science</v>
      </c>
    </row>
    <row r="350" spans="1:72" x14ac:dyDescent="0.15">
      <c r="A350" t="s">
        <v>72</v>
      </c>
      <c r="B350" t="s">
        <v>7216</v>
      </c>
      <c r="C350" t="s">
        <v>74</v>
      </c>
      <c r="D350" t="s">
        <v>74</v>
      </c>
      <c r="E350" t="s">
        <v>74</v>
      </c>
      <c r="F350" t="s">
        <v>7217</v>
      </c>
      <c r="G350" t="s">
        <v>74</v>
      </c>
      <c r="H350" t="s">
        <v>74</v>
      </c>
      <c r="I350" t="s">
        <v>7218</v>
      </c>
      <c r="J350" t="s">
        <v>7219</v>
      </c>
      <c r="K350" t="s">
        <v>74</v>
      </c>
      <c r="L350" t="s">
        <v>74</v>
      </c>
      <c r="M350" t="s">
        <v>78</v>
      </c>
      <c r="N350" t="s">
        <v>79</v>
      </c>
      <c r="O350" t="s">
        <v>74</v>
      </c>
      <c r="P350" t="s">
        <v>74</v>
      </c>
      <c r="Q350" t="s">
        <v>74</v>
      </c>
      <c r="R350" t="s">
        <v>74</v>
      </c>
      <c r="S350" t="s">
        <v>74</v>
      </c>
      <c r="T350" t="s">
        <v>7220</v>
      </c>
      <c r="U350" t="s">
        <v>7221</v>
      </c>
      <c r="V350" t="s">
        <v>7222</v>
      </c>
      <c r="W350" t="s">
        <v>7223</v>
      </c>
      <c r="X350" t="s">
        <v>7224</v>
      </c>
      <c r="Y350" t="s">
        <v>7225</v>
      </c>
      <c r="Z350" t="s">
        <v>7226</v>
      </c>
      <c r="AA350" t="s">
        <v>7227</v>
      </c>
      <c r="AB350" t="s">
        <v>74</v>
      </c>
      <c r="AC350" t="s">
        <v>7228</v>
      </c>
      <c r="AD350" t="s">
        <v>7228</v>
      </c>
      <c r="AE350" t="s">
        <v>7229</v>
      </c>
      <c r="AF350" t="s">
        <v>74</v>
      </c>
      <c r="AG350">
        <v>34</v>
      </c>
      <c r="AH350">
        <v>2</v>
      </c>
      <c r="AI350">
        <v>2</v>
      </c>
      <c r="AJ350">
        <v>1</v>
      </c>
      <c r="AK350">
        <v>4</v>
      </c>
      <c r="AL350" t="s">
        <v>7230</v>
      </c>
      <c r="AM350" t="s">
        <v>5121</v>
      </c>
      <c r="AN350" t="s">
        <v>7231</v>
      </c>
      <c r="AO350" t="s">
        <v>74</v>
      </c>
      <c r="AP350" t="s">
        <v>7232</v>
      </c>
      <c r="AQ350" t="s">
        <v>74</v>
      </c>
      <c r="AR350" t="s">
        <v>7233</v>
      </c>
      <c r="AS350" t="s">
        <v>7234</v>
      </c>
      <c r="AT350" t="s">
        <v>7235</v>
      </c>
      <c r="AU350">
        <v>2021</v>
      </c>
      <c r="AV350">
        <v>775</v>
      </c>
      <c r="AW350" t="s">
        <v>74</v>
      </c>
      <c r="AX350" t="s">
        <v>74</v>
      </c>
      <c r="AY350" t="s">
        <v>74</v>
      </c>
      <c r="AZ350" t="s">
        <v>74</v>
      </c>
      <c r="BA350" t="s">
        <v>74</v>
      </c>
      <c r="BB350">
        <v>185</v>
      </c>
      <c r="BC350">
        <v>196</v>
      </c>
      <c r="BD350" t="s">
        <v>74</v>
      </c>
      <c r="BE350" t="s">
        <v>7236</v>
      </c>
      <c r="BF350" t="str">
        <f>HYPERLINK("http://dx.doi.org/10.5852/ejt.2021.775.1557","http://dx.doi.org/10.5852/ejt.2021.775.1557")</f>
        <v>http://dx.doi.org/10.5852/ejt.2021.775.1557</v>
      </c>
      <c r="BG350" t="s">
        <v>74</v>
      </c>
      <c r="BH350" t="s">
        <v>74</v>
      </c>
      <c r="BI350">
        <v>12</v>
      </c>
      <c r="BJ350" t="s">
        <v>7237</v>
      </c>
      <c r="BK350" t="s">
        <v>101</v>
      </c>
      <c r="BL350" t="s">
        <v>7237</v>
      </c>
      <c r="BM350" t="s">
        <v>7238</v>
      </c>
      <c r="BN350" t="s">
        <v>74</v>
      </c>
      <c r="BO350" t="s">
        <v>554</v>
      </c>
      <c r="BP350" t="s">
        <v>74</v>
      </c>
      <c r="BQ350" t="s">
        <v>74</v>
      </c>
      <c r="BR350" t="s">
        <v>105</v>
      </c>
      <c r="BS350" t="s">
        <v>7239</v>
      </c>
      <c r="BT350" t="str">
        <f>HYPERLINK("https%3A%2F%2Fwww.webofscience.com%2Fwos%2Fwoscc%2Ffull-record%2FWOS:000712302100004","View Full Record in Web of Science")</f>
        <v>View Full Record in Web of Science</v>
      </c>
    </row>
    <row r="351" spans="1:72" x14ac:dyDescent="0.15">
      <c r="A351" t="s">
        <v>72</v>
      </c>
      <c r="B351" t="s">
        <v>7240</v>
      </c>
      <c r="C351" t="s">
        <v>74</v>
      </c>
      <c r="D351" t="s">
        <v>74</v>
      </c>
      <c r="E351" t="s">
        <v>74</v>
      </c>
      <c r="F351" t="s">
        <v>7241</v>
      </c>
      <c r="G351" t="s">
        <v>74</v>
      </c>
      <c r="H351" t="s">
        <v>74</v>
      </c>
      <c r="I351" t="s">
        <v>7242</v>
      </c>
      <c r="J351" t="s">
        <v>7243</v>
      </c>
      <c r="K351" t="s">
        <v>74</v>
      </c>
      <c r="L351" t="s">
        <v>74</v>
      </c>
      <c r="M351" t="s">
        <v>78</v>
      </c>
      <c r="N351" t="s">
        <v>79</v>
      </c>
      <c r="O351" t="s">
        <v>74</v>
      </c>
      <c r="P351" t="s">
        <v>74</v>
      </c>
      <c r="Q351" t="s">
        <v>74</v>
      </c>
      <c r="R351" t="s">
        <v>74</v>
      </c>
      <c r="S351" t="s">
        <v>74</v>
      </c>
      <c r="T351" t="s">
        <v>7244</v>
      </c>
      <c r="U351" t="s">
        <v>7245</v>
      </c>
      <c r="V351" t="s">
        <v>7246</v>
      </c>
      <c r="W351" t="s">
        <v>7247</v>
      </c>
      <c r="X351" t="s">
        <v>7248</v>
      </c>
      <c r="Y351" t="s">
        <v>7249</v>
      </c>
      <c r="Z351" t="s">
        <v>7250</v>
      </c>
      <c r="AA351" t="s">
        <v>7251</v>
      </c>
      <c r="AB351" t="s">
        <v>7252</v>
      </c>
      <c r="AC351" t="s">
        <v>7253</v>
      </c>
      <c r="AD351" t="s">
        <v>6396</v>
      </c>
      <c r="AE351" t="s">
        <v>7254</v>
      </c>
      <c r="AF351" t="s">
        <v>74</v>
      </c>
      <c r="AG351">
        <v>62</v>
      </c>
      <c r="AH351">
        <v>13</v>
      </c>
      <c r="AI351">
        <v>13</v>
      </c>
      <c r="AJ351">
        <v>1</v>
      </c>
      <c r="AK351">
        <v>6</v>
      </c>
      <c r="AL351" t="s">
        <v>847</v>
      </c>
      <c r="AM351" t="s">
        <v>848</v>
      </c>
      <c r="AN351" t="s">
        <v>849</v>
      </c>
      <c r="AO351" t="s">
        <v>7255</v>
      </c>
      <c r="AP351" t="s">
        <v>7256</v>
      </c>
      <c r="AQ351" t="s">
        <v>74</v>
      </c>
      <c r="AR351" t="s">
        <v>7257</v>
      </c>
      <c r="AS351" t="s">
        <v>7258</v>
      </c>
      <c r="AT351" t="s">
        <v>2840</v>
      </c>
      <c r="AU351">
        <v>2021</v>
      </c>
      <c r="AV351">
        <v>576</v>
      </c>
      <c r="AW351" t="s">
        <v>74</v>
      </c>
      <c r="AX351" t="s">
        <v>74</v>
      </c>
      <c r="AY351" t="s">
        <v>74</v>
      </c>
      <c r="AZ351" t="s">
        <v>74</v>
      </c>
      <c r="BA351" t="s">
        <v>74</v>
      </c>
      <c r="BB351" t="s">
        <v>74</v>
      </c>
      <c r="BC351" t="s">
        <v>74</v>
      </c>
      <c r="BD351">
        <v>117243</v>
      </c>
      <c r="BE351" t="s">
        <v>7259</v>
      </c>
      <c r="BF351" t="str">
        <f>HYPERLINK("http://dx.doi.org/10.1016/j.epsl.2021.117243","http://dx.doi.org/10.1016/j.epsl.2021.117243")</f>
        <v>http://dx.doi.org/10.1016/j.epsl.2021.117243</v>
      </c>
      <c r="BG351" t="s">
        <v>74</v>
      </c>
      <c r="BH351" t="s">
        <v>5766</v>
      </c>
      <c r="BI351">
        <v>13</v>
      </c>
      <c r="BJ351" t="s">
        <v>365</v>
      </c>
      <c r="BK351" t="s">
        <v>101</v>
      </c>
      <c r="BL351" t="s">
        <v>365</v>
      </c>
      <c r="BM351" t="s">
        <v>7260</v>
      </c>
      <c r="BN351" t="s">
        <v>74</v>
      </c>
      <c r="BO351" t="s">
        <v>419</v>
      </c>
      <c r="BP351" t="s">
        <v>74</v>
      </c>
      <c r="BQ351" t="s">
        <v>74</v>
      </c>
      <c r="BR351" t="s">
        <v>105</v>
      </c>
      <c r="BS351" t="s">
        <v>7261</v>
      </c>
      <c r="BT351" t="str">
        <f>HYPERLINK("https%3A%2F%2Fwww.webofscience.com%2Fwos%2Fwoscc%2Ffull-record%2FWOS:000712251000003","View Full Record in Web of Science")</f>
        <v>View Full Record in Web of Science</v>
      </c>
    </row>
    <row r="352" spans="1:72" x14ac:dyDescent="0.15">
      <c r="A352" t="s">
        <v>72</v>
      </c>
      <c r="B352" t="s">
        <v>7262</v>
      </c>
      <c r="C352" t="s">
        <v>74</v>
      </c>
      <c r="D352" t="s">
        <v>74</v>
      </c>
      <c r="E352" t="s">
        <v>74</v>
      </c>
      <c r="F352" t="s">
        <v>7263</v>
      </c>
      <c r="G352" t="s">
        <v>74</v>
      </c>
      <c r="H352" t="s">
        <v>74</v>
      </c>
      <c r="I352" t="s">
        <v>7264</v>
      </c>
      <c r="J352" t="s">
        <v>7265</v>
      </c>
      <c r="K352" t="s">
        <v>74</v>
      </c>
      <c r="L352" t="s">
        <v>74</v>
      </c>
      <c r="M352" t="s">
        <v>78</v>
      </c>
      <c r="N352" t="s">
        <v>79</v>
      </c>
      <c r="O352" t="s">
        <v>74</v>
      </c>
      <c r="P352" t="s">
        <v>74</v>
      </c>
      <c r="Q352" t="s">
        <v>74</v>
      </c>
      <c r="R352" t="s">
        <v>74</v>
      </c>
      <c r="S352" t="s">
        <v>74</v>
      </c>
      <c r="T352" t="s">
        <v>7266</v>
      </c>
      <c r="U352" t="s">
        <v>7267</v>
      </c>
      <c r="V352" t="s">
        <v>7268</v>
      </c>
      <c r="W352" t="s">
        <v>7269</v>
      </c>
      <c r="X352" t="s">
        <v>7270</v>
      </c>
      <c r="Y352" t="s">
        <v>7271</v>
      </c>
      <c r="Z352" t="s">
        <v>7272</v>
      </c>
      <c r="AA352" t="s">
        <v>7273</v>
      </c>
      <c r="AB352" t="s">
        <v>7274</v>
      </c>
      <c r="AC352" t="s">
        <v>7275</v>
      </c>
      <c r="AD352" t="s">
        <v>7276</v>
      </c>
      <c r="AE352" t="s">
        <v>7277</v>
      </c>
      <c r="AF352" t="s">
        <v>74</v>
      </c>
      <c r="AG352">
        <v>51</v>
      </c>
      <c r="AH352">
        <v>6</v>
      </c>
      <c r="AI352">
        <v>7</v>
      </c>
      <c r="AJ352">
        <v>0</v>
      </c>
      <c r="AK352">
        <v>2</v>
      </c>
      <c r="AL352" t="s">
        <v>847</v>
      </c>
      <c r="AM352" t="s">
        <v>848</v>
      </c>
      <c r="AN352" t="s">
        <v>849</v>
      </c>
      <c r="AO352" t="s">
        <v>7278</v>
      </c>
      <c r="AP352" t="s">
        <v>7279</v>
      </c>
      <c r="AQ352" t="s">
        <v>74</v>
      </c>
      <c r="AR352" t="s">
        <v>7280</v>
      </c>
      <c r="AS352" t="s">
        <v>7281</v>
      </c>
      <c r="AT352" t="s">
        <v>310</v>
      </c>
      <c r="AU352">
        <v>2021</v>
      </c>
      <c r="AV352">
        <v>31</v>
      </c>
      <c r="AW352" t="s">
        <v>74</v>
      </c>
      <c r="AX352" t="s">
        <v>74</v>
      </c>
      <c r="AY352" t="s">
        <v>74</v>
      </c>
      <c r="AZ352" t="s">
        <v>74</v>
      </c>
      <c r="BA352" t="s">
        <v>74</v>
      </c>
      <c r="BB352">
        <v>131</v>
      </c>
      <c r="BC352">
        <v>149</v>
      </c>
      <c r="BD352" t="s">
        <v>74</v>
      </c>
      <c r="BE352" t="s">
        <v>7282</v>
      </c>
      <c r="BF352" t="str">
        <f>HYPERLINK("http://dx.doi.org/10.1016/j.lssr.2021.06.003","http://dx.doi.org/10.1016/j.lssr.2021.06.003")</f>
        <v>http://dx.doi.org/10.1016/j.lssr.2021.06.003</v>
      </c>
      <c r="BG352" t="s">
        <v>74</v>
      </c>
      <c r="BH352" t="s">
        <v>5766</v>
      </c>
      <c r="BI352">
        <v>19</v>
      </c>
      <c r="BJ352" t="s">
        <v>7283</v>
      </c>
      <c r="BK352" t="s">
        <v>101</v>
      </c>
      <c r="BL352" t="s">
        <v>7284</v>
      </c>
      <c r="BM352" t="s">
        <v>7285</v>
      </c>
      <c r="BN352">
        <v>34689945</v>
      </c>
      <c r="BO352" t="s">
        <v>858</v>
      </c>
      <c r="BP352" t="s">
        <v>74</v>
      </c>
      <c r="BQ352" t="s">
        <v>74</v>
      </c>
      <c r="BR352" t="s">
        <v>105</v>
      </c>
      <c r="BS352" t="s">
        <v>7286</v>
      </c>
      <c r="BT352" t="str">
        <f>HYPERLINK("https%3A%2F%2Fwww.webofscience.com%2Fwos%2Fwoscc%2Ffull-record%2FWOS:000712521100003","View Full Record in Web of Science")</f>
        <v>View Full Record in Web of Science</v>
      </c>
    </row>
    <row r="353" spans="1:72" x14ac:dyDescent="0.15">
      <c r="A353" t="s">
        <v>72</v>
      </c>
      <c r="B353" t="s">
        <v>7287</v>
      </c>
      <c r="C353" t="s">
        <v>74</v>
      </c>
      <c r="D353" t="s">
        <v>74</v>
      </c>
      <c r="E353" t="s">
        <v>74</v>
      </c>
      <c r="F353" t="s">
        <v>7288</v>
      </c>
      <c r="G353" t="s">
        <v>74</v>
      </c>
      <c r="H353" t="s">
        <v>74</v>
      </c>
      <c r="I353" t="s">
        <v>7289</v>
      </c>
      <c r="J353" t="s">
        <v>1139</v>
      </c>
      <c r="K353" t="s">
        <v>74</v>
      </c>
      <c r="L353" t="s">
        <v>74</v>
      </c>
      <c r="M353" t="s">
        <v>78</v>
      </c>
      <c r="N353" t="s">
        <v>79</v>
      </c>
      <c r="O353" t="s">
        <v>74</v>
      </c>
      <c r="P353" t="s">
        <v>74</v>
      </c>
      <c r="Q353" t="s">
        <v>74</v>
      </c>
      <c r="R353" t="s">
        <v>74</v>
      </c>
      <c r="S353" t="s">
        <v>74</v>
      </c>
      <c r="T353" t="s">
        <v>74</v>
      </c>
      <c r="U353" t="s">
        <v>7290</v>
      </c>
      <c r="V353" t="s">
        <v>7291</v>
      </c>
      <c r="W353" t="s">
        <v>7292</v>
      </c>
      <c r="X353" t="s">
        <v>7293</v>
      </c>
      <c r="Y353" t="s">
        <v>7294</v>
      </c>
      <c r="Z353" t="s">
        <v>7295</v>
      </c>
      <c r="AA353" t="s">
        <v>7296</v>
      </c>
      <c r="AB353" t="s">
        <v>7297</v>
      </c>
      <c r="AC353" t="s">
        <v>7298</v>
      </c>
      <c r="AD353" t="s">
        <v>7299</v>
      </c>
      <c r="AE353" t="s">
        <v>7300</v>
      </c>
      <c r="AF353" t="s">
        <v>74</v>
      </c>
      <c r="AG353">
        <v>91</v>
      </c>
      <c r="AH353">
        <v>2</v>
      </c>
      <c r="AI353">
        <v>2</v>
      </c>
      <c r="AJ353">
        <v>0</v>
      </c>
      <c r="AK353">
        <v>9</v>
      </c>
      <c r="AL353" t="s">
        <v>227</v>
      </c>
      <c r="AM353" t="s">
        <v>228</v>
      </c>
      <c r="AN353" t="s">
        <v>229</v>
      </c>
      <c r="AO353" t="s">
        <v>1150</v>
      </c>
      <c r="AP353" t="s">
        <v>1151</v>
      </c>
      <c r="AQ353" t="s">
        <v>74</v>
      </c>
      <c r="AR353" t="s">
        <v>1152</v>
      </c>
      <c r="AS353" t="s">
        <v>1153</v>
      </c>
      <c r="AT353" t="s">
        <v>7235</v>
      </c>
      <c r="AU353">
        <v>2021</v>
      </c>
      <c r="AV353">
        <v>17</v>
      </c>
      <c r="AW353">
        <v>5</v>
      </c>
      <c r="AX353" t="s">
        <v>74</v>
      </c>
      <c r="AY353" t="s">
        <v>74</v>
      </c>
      <c r="AZ353" t="s">
        <v>74</v>
      </c>
      <c r="BA353" t="s">
        <v>74</v>
      </c>
      <c r="BB353">
        <v>1421</v>
      </c>
      <c r="BC353">
        <v>1435</v>
      </c>
      <c r="BD353" t="s">
        <v>74</v>
      </c>
      <c r="BE353" t="s">
        <v>7301</v>
      </c>
      <c r="BF353" t="str">
        <f>HYPERLINK("http://dx.doi.org/10.5194/os-17-1421-2021","http://dx.doi.org/10.5194/os-17-1421-2021")</f>
        <v>http://dx.doi.org/10.5194/os-17-1421-2021</v>
      </c>
      <c r="BG353" t="s">
        <v>74</v>
      </c>
      <c r="BH353" t="s">
        <v>74</v>
      </c>
      <c r="BI353">
        <v>15</v>
      </c>
      <c r="BJ353" t="s">
        <v>1155</v>
      </c>
      <c r="BK353" t="s">
        <v>101</v>
      </c>
      <c r="BL353" t="s">
        <v>1155</v>
      </c>
      <c r="BM353" t="s">
        <v>7302</v>
      </c>
      <c r="BN353" t="s">
        <v>74</v>
      </c>
      <c r="BO353" t="s">
        <v>554</v>
      </c>
      <c r="BP353" t="s">
        <v>74</v>
      </c>
      <c r="BQ353" t="s">
        <v>74</v>
      </c>
      <c r="BR353" t="s">
        <v>105</v>
      </c>
      <c r="BS353" t="s">
        <v>7303</v>
      </c>
      <c r="BT353" t="str">
        <f>HYPERLINK("https%3A%2F%2Fwww.webofscience.com%2Fwos%2Fwoscc%2Ffull-record%2FWOS:000710522600001","View Full Record in Web of Science")</f>
        <v>View Full Record in Web of Science</v>
      </c>
    </row>
    <row r="354" spans="1:72" x14ac:dyDescent="0.15">
      <c r="A354" t="s">
        <v>72</v>
      </c>
      <c r="B354" t="s">
        <v>7304</v>
      </c>
      <c r="C354" t="s">
        <v>74</v>
      </c>
      <c r="D354" t="s">
        <v>74</v>
      </c>
      <c r="E354" t="s">
        <v>74</v>
      </c>
      <c r="F354" t="s">
        <v>7305</v>
      </c>
      <c r="G354" t="s">
        <v>74</v>
      </c>
      <c r="H354" t="s">
        <v>74</v>
      </c>
      <c r="I354" t="s">
        <v>7306</v>
      </c>
      <c r="J354" t="s">
        <v>215</v>
      </c>
      <c r="K354" t="s">
        <v>74</v>
      </c>
      <c r="L354" t="s">
        <v>74</v>
      </c>
      <c r="M354" t="s">
        <v>78</v>
      </c>
      <c r="N354" t="s">
        <v>79</v>
      </c>
      <c r="O354" t="s">
        <v>74</v>
      </c>
      <c r="P354" t="s">
        <v>74</v>
      </c>
      <c r="Q354" t="s">
        <v>74</v>
      </c>
      <c r="R354" t="s">
        <v>74</v>
      </c>
      <c r="S354" t="s">
        <v>74</v>
      </c>
      <c r="T354" t="s">
        <v>74</v>
      </c>
      <c r="U354" t="s">
        <v>7307</v>
      </c>
      <c r="V354" t="s">
        <v>7308</v>
      </c>
      <c r="W354" t="s">
        <v>7309</v>
      </c>
      <c r="X354" t="s">
        <v>7310</v>
      </c>
      <c r="Y354" t="s">
        <v>7311</v>
      </c>
      <c r="Z354" t="s">
        <v>7312</v>
      </c>
      <c r="AA354" t="s">
        <v>7313</v>
      </c>
      <c r="AB354" t="s">
        <v>7314</v>
      </c>
      <c r="AC354" t="s">
        <v>7315</v>
      </c>
      <c r="AD354" t="s">
        <v>7316</v>
      </c>
      <c r="AE354" t="s">
        <v>7317</v>
      </c>
      <c r="AF354" t="s">
        <v>74</v>
      </c>
      <c r="AG354">
        <v>45</v>
      </c>
      <c r="AH354">
        <v>2</v>
      </c>
      <c r="AI354">
        <v>2</v>
      </c>
      <c r="AJ354">
        <v>1</v>
      </c>
      <c r="AK354">
        <v>13</v>
      </c>
      <c r="AL354" t="s">
        <v>227</v>
      </c>
      <c r="AM354" t="s">
        <v>228</v>
      </c>
      <c r="AN354" t="s">
        <v>229</v>
      </c>
      <c r="AO354" t="s">
        <v>230</v>
      </c>
      <c r="AP354" t="s">
        <v>231</v>
      </c>
      <c r="AQ354" t="s">
        <v>74</v>
      </c>
      <c r="AR354" t="s">
        <v>232</v>
      </c>
      <c r="AS354" t="s">
        <v>233</v>
      </c>
      <c r="AT354" t="s">
        <v>7235</v>
      </c>
      <c r="AU354">
        <v>2021</v>
      </c>
      <c r="AV354">
        <v>14</v>
      </c>
      <c r="AW354">
        <v>10</v>
      </c>
      <c r="AX354" t="s">
        <v>74</v>
      </c>
      <c r="AY354" t="s">
        <v>74</v>
      </c>
      <c r="AZ354" t="s">
        <v>74</v>
      </c>
      <c r="BA354" t="s">
        <v>74</v>
      </c>
      <c r="BB354">
        <v>6331</v>
      </c>
      <c r="BC354">
        <v>6354</v>
      </c>
      <c r="BD354" t="s">
        <v>74</v>
      </c>
      <c r="BE354" t="s">
        <v>7318</v>
      </c>
      <c r="BF354" t="str">
        <f>HYPERLINK("http://dx.doi.org/10.5194/gmd-14-6331-2021","http://dx.doi.org/10.5194/gmd-14-6331-2021")</f>
        <v>http://dx.doi.org/10.5194/gmd-14-6331-2021</v>
      </c>
      <c r="BG354" t="s">
        <v>74</v>
      </c>
      <c r="BH354" t="s">
        <v>74</v>
      </c>
      <c r="BI354">
        <v>24</v>
      </c>
      <c r="BJ354" t="s">
        <v>236</v>
      </c>
      <c r="BK354" t="s">
        <v>101</v>
      </c>
      <c r="BL354" t="s">
        <v>237</v>
      </c>
      <c r="BM354" t="s">
        <v>7319</v>
      </c>
      <c r="BN354" t="s">
        <v>74</v>
      </c>
      <c r="BO354" t="s">
        <v>239</v>
      </c>
      <c r="BP354" t="s">
        <v>74</v>
      </c>
      <c r="BQ354" t="s">
        <v>74</v>
      </c>
      <c r="BR354" t="s">
        <v>105</v>
      </c>
      <c r="BS354" t="s">
        <v>7320</v>
      </c>
      <c r="BT354" t="str">
        <f>HYPERLINK("https%3A%2F%2Fwww.webofscience.com%2Fwos%2Fwoscc%2Ffull-record%2FWOS:000710774600001","View Full Record in Web of Science")</f>
        <v>View Full Record in Web of Science</v>
      </c>
    </row>
    <row r="355" spans="1:72" x14ac:dyDescent="0.15">
      <c r="A355" t="s">
        <v>72</v>
      </c>
      <c r="B355" t="s">
        <v>7321</v>
      </c>
      <c r="C355" t="s">
        <v>74</v>
      </c>
      <c r="D355" t="s">
        <v>74</v>
      </c>
      <c r="E355" t="s">
        <v>74</v>
      </c>
      <c r="F355" t="s">
        <v>7322</v>
      </c>
      <c r="G355" t="s">
        <v>74</v>
      </c>
      <c r="H355" t="s">
        <v>74</v>
      </c>
      <c r="I355" t="s">
        <v>7323</v>
      </c>
      <c r="J355" t="s">
        <v>1338</v>
      </c>
      <c r="K355" t="s">
        <v>74</v>
      </c>
      <c r="L355" t="s">
        <v>74</v>
      </c>
      <c r="M355" t="s">
        <v>78</v>
      </c>
      <c r="N355" t="s">
        <v>79</v>
      </c>
      <c r="O355" t="s">
        <v>74</v>
      </c>
      <c r="P355" t="s">
        <v>74</v>
      </c>
      <c r="Q355" t="s">
        <v>74</v>
      </c>
      <c r="R355" t="s">
        <v>74</v>
      </c>
      <c r="S355" t="s">
        <v>74</v>
      </c>
      <c r="T355" t="s">
        <v>74</v>
      </c>
      <c r="U355" t="s">
        <v>7324</v>
      </c>
      <c r="V355" t="s">
        <v>7325</v>
      </c>
      <c r="W355" t="s">
        <v>7326</v>
      </c>
      <c r="X355" t="s">
        <v>7327</v>
      </c>
      <c r="Y355" t="s">
        <v>7328</v>
      </c>
      <c r="Z355" t="s">
        <v>7329</v>
      </c>
      <c r="AA355" t="s">
        <v>7330</v>
      </c>
      <c r="AB355" t="s">
        <v>7331</v>
      </c>
      <c r="AC355" t="s">
        <v>7332</v>
      </c>
      <c r="AD355" t="s">
        <v>7333</v>
      </c>
      <c r="AE355" t="s">
        <v>7334</v>
      </c>
      <c r="AF355" t="s">
        <v>74</v>
      </c>
      <c r="AG355">
        <v>50</v>
      </c>
      <c r="AH355">
        <v>9</v>
      </c>
      <c r="AI355">
        <v>9</v>
      </c>
      <c r="AJ355">
        <v>5</v>
      </c>
      <c r="AK355">
        <v>14</v>
      </c>
      <c r="AL355" t="s">
        <v>1347</v>
      </c>
      <c r="AM355" t="s">
        <v>333</v>
      </c>
      <c r="AN355" t="s">
        <v>1348</v>
      </c>
      <c r="AO355" t="s">
        <v>74</v>
      </c>
      <c r="AP355" t="s">
        <v>1349</v>
      </c>
      <c r="AQ355" t="s">
        <v>74</v>
      </c>
      <c r="AR355" t="s">
        <v>1350</v>
      </c>
      <c r="AS355" t="s">
        <v>1351</v>
      </c>
      <c r="AT355" t="s">
        <v>7235</v>
      </c>
      <c r="AU355">
        <v>2021</v>
      </c>
      <c r="AV355">
        <v>2</v>
      </c>
      <c r="AW355">
        <v>1</v>
      </c>
      <c r="AX355" t="s">
        <v>74</v>
      </c>
      <c r="AY355" t="s">
        <v>74</v>
      </c>
      <c r="AZ355" t="s">
        <v>74</v>
      </c>
      <c r="BA355" t="s">
        <v>74</v>
      </c>
      <c r="BB355" t="s">
        <v>74</v>
      </c>
      <c r="BC355" t="s">
        <v>74</v>
      </c>
      <c r="BD355">
        <v>223</v>
      </c>
      <c r="BE355" t="s">
        <v>7335</v>
      </c>
      <c r="BF355" t="str">
        <f>HYPERLINK("http://dx.doi.org/10.1038/s43247-021-00295-4","http://dx.doi.org/10.1038/s43247-021-00295-4")</f>
        <v>http://dx.doi.org/10.1038/s43247-021-00295-4</v>
      </c>
      <c r="BG355" t="s">
        <v>74</v>
      </c>
      <c r="BH355" t="s">
        <v>74</v>
      </c>
      <c r="BI355">
        <v>8</v>
      </c>
      <c r="BJ355" t="s">
        <v>1353</v>
      </c>
      <c r="BK355" t="s">
        <v>101</v>
      </c>
      <c r="BL355" t="s">
        <v>1354</v>
      </c>
      <c r="BM355" t="s">
        <v>7336</v>
      </c>
      <c r="BN355" t="s">
        <v>74</v>
      </c>
      <c r="BO355" t="s">
        <v>1157</v>
      </c>
      <c r="BP355" t="s">
        <v>74</v>
      </c>
      <c r="BQ355" t="s">
        <v>74</v>
      </c>
      <c r="BR355" t="s">
        <v>105</v>
      </c>
      <c r="BS355" t="s">
        <v>7337</v>
      </c>
      <c r="BT355" t="str">
        <f>HYPERLINK("https%3A%2F%2Fwww.webofscience.com%2Fwos%2Fwoscc%2Ffull-record%2FWOS:000709796600001","View Full Record in Web of Science")</f>
        <v>View Full Record in Web of Science</v>
      </c>
    </row>
    <row r="356" spans="1:72" x14ac:dyDescent="0.15">
      <c r="A356" t="s">
        <v>72</v>
      </c>
      <c r="B356" t="s">
        <v>7338</v>
      </c>
      <c r="C356" t="s">
        <v>74</v>
      </c>
      <c r="D356" t="s">
        <v>74</v>
      </c>
      <c r="E356" t="s">
        <v>74</v>
      </c>
      <c r="F356" t="s">
        <v>7339</v>
      </c>
      <c r="G356" t="s">
        <v>74</v>
      </c>
      <c r="H356" t="s">
        <v>74</v>
      </c>
      <c r="I356" t="s">
        <v>7340</v>
      </c>
      <c r="J356" t="s">
        <v>480</v>
      </c>
      <c r="K356" t="s">
        <v>74</v>
      </c>
      <c r="L356" t="s">
        <v>74</v>
      </c>
      <c r="M356" t="s">
        <v>78</v>
      </c>
      <c r="N356" t="s">
        <v>79</v>
      </c>
      <c r="O356" t="s">
        <v>74</v>
      </c>
      <c r="P356" t="s">
        <v>74</v>
      </c>
      <c r="Q356" t="s">
        <v>74</v>
      </c>
      <c r="R356" t="s">
        <v>74</v>
      </c>
      <c r="S356" t="s">
        <v>74</v>
      </c>
      <c r="T356" t="s">
        <v>74</v>
      </c>
      <c r="U356" t="s">
        <v>7341</v>
      </c>
      <c r="V356" t="s">
        <v>7342</v>
      </c>
      <c r="W356" t="s">
        <v>7343</v>
      </c>
      <c r="X356" t="s">
        <v>7344</v>
      </c>
      <c r="Y356" t="s">
        <v>7345</v>
      </c>
      <c r="Z356" t="s">
        <v>7346</v>
      </c>
      <c r="AA356" t="s">
        <v>7347</v>
      </c>
      <c r="AB356" t="s">
        <v>7348</v>
      </c>
      <c r="AC356" t="s">
        <v>7349</v>
      </c>
      <c r="AD356" t="s">
        <v>7350</v>
      </c>
      <c r="AE356" t="s">
        <v>7351</v>
      </c>
      <c r="AF356" t="s">
        <v>74</v>
      </c>
      <c r="AG356">
        <v>54</v>
      </c>
      <c r="AH356">
        <v>93</v>
      </c>
      <c r="AI356">
        <v>100</v>
      </c>
      <c r="AJ356">
        <v>8</v>
      </c>
      <c r="AK356">
        <v>65</v>
      </c>
      <c r="AL356" t="s">
        <v>492</v>
      </c>
      <c r="AM356" t="s">
        <v>493</v>
      </c>
      <c r="AN356" t="s">
        <v>494</v>
      </c>
      <c r="AO356" t="s">
        <v>495</v>
      </c>
      <c r="AP356" t="s">
        <v>496</v>
      </c>
      <c r="AQ356" t="s">
        <v>74</v>
      </c>
      <c r="AR356" t="s">
        <v>497</v>
      </c>
      <c r="AS356" t="s">
        <v>498</v>
      </c>
      <c r="AT356" t="s">
        <v>310</v>
      </c>
      <c r="AU356">
        <v>2021</v>
      </c>
      <c r="AV356">
        <v>11</v>
      </c>
      <c r="AW356">
        <v>11</v>
      </c>
      <c r="AX356" t="s">
        <v>74</v>
      </c>
      <c r="AY356" t="s">
        <v>74</v>
      </c>
      <c r="AZ356" t="s">
        <v>74</v>
      </c>
      <c r="BA356" t="s">
        <v>74</v>
      </c>
      <c r="BB356">
        <v>973</v>
      </c>
      <c r="BC356" t="s">
        <v>499</v>
      </c>
      <c r="BD356" t="s">
        <v>74</v>
      </c>
      <c r="BE356" t="s">
        <v>7352</v>
      </c>
      <c r="BF356" t="str">
        <f>HYPERLINK("http://dx.doi.org/10.1038/s41558-021-01173-9","http://dx.doi.org/10.1038/s41558-021-01173-9")</f>
        <v>http://dx.doi.org/10.1038/s41558-021-01173-9</v>
      </c>
      <c r="BG356" t="s">
        <v>74</v>
      </c>
      <c r="BH356" t="s">
        <v>5766</v>
      </c>
      <c r="BI356">
        <v>20</v>
      </c>
      <c r="BJ356" t="s">
        <v>501</v>
      </c>
      <c r="BK356" t="s">
        <v>207</v>
      </c>
      <c r="BL356" t="s">
        <v>102</v>
      </c>
      <c r="BM356" t="s">
        <v>7353</v>
      </c>
      <c r="BN356">
        <v>34745348</v>
      </c>
      <c r="BO356" t="s">
        <v>7354</v>
      </c>
      <c r="BP356" t="s">
        <v>74</v>
      </c>
      <c r="BQ356" t="s">
        <v>74</v>
      </c>
      <c r="BR356" t="s">
        <v>105</v>
      </c>
      <c r="BS356" t="s">
        <v>7355</v>
      </c>
      <c r="BT356" t="str">
        <f>HYPERLINK("https%3A%2F%2Fwww.webofscience.com%2Fwos%2Fwoscc%2Ffull-record%2FWOS:000709662300002","View Full Record in Web of Science")</f>
        <v>View Full Record in Web of Science</v>
      </c>
    </row>
    <row r="357" spans="1:72" x14ac:dyDescent="0.15">
      <c r="A357" t="s">
        <v>72</v>
      </c>
      <c r="B357" t="s">
        <v>7356</v>
      </c>
      <c r="C357" t="s">
        <v>74</v>
      </c>
      <c r="D357" t="s">
        <v>74</v>
      </c>
      <c r="E357" t="s">
        <v>74</v>
      </c>
      <c r="F357" t="s">
        <v>7357</v>
      </c>
      <c r="G357" t="s">
        <v>74</v>
      </c>
      <c r="H357" t="s">
        <v>74</v>
      </c>
      <c r="I357" t="s">
        <v>7358</v>
      </c>
      <c r="J357" t="s">
        <v>6143</v>
      </c>
      <c r="K357" t="s">
        <v>74</v>
      </c>
      <c r="L357" t="s">
        <v>74</v>
      </c>
      <c r="M357" t="s">
        <v>78</v>
      </c>
      <c r="N357" t="s">
        <v>79</v>
      </c>
      <c r="O357" t="s">
        <v>74</v>
      </c>
      <c r="P357" t="s">
        <v>74</v>
      </c>
      <c r="Q357" t="s">
        <v>74</v>
      </c>
      <c r="R357" t="s">
        <v>74</v>
      </c>
      <c r="S357" t="s">
        <v>74</v>
      </c>
      <c r="T357" t="s">
        <v>7359</v>
      </c>
      <c r="U357" t="s">
        <v>7360</v>
      </c>
      <c r="V357" t="s">
        <v>7361</v>
      </c>
      <c r="W357" t="s">
        <v>7362</v>
      </c>
      <c r="X357" t="s">
        <v>7363</v>
      </c>
      <c r="Y357" t="s">
        <v>7364</v>
      </c>
      <c r="Z357" t="s">
        <v>7365</v>
      </c>
      <c r="AA357" t="s">
        <v>74</v>
      </c>
      <c r="AB357" t="s">
        <v>7366</v>
      </c>
      <c r="AC357" t="s">
        <v>7367</v>
      </c>
      <c r="AD357" t="s">
        <v>7368</v>
      </c>
      <c r="AE357" t="s">
        <v>7369</v>
      </c>
      <c r="AF357" t="s">
        <v>74</v>
      </c>
      <c r="AG357">
        <v>43</v>
      </c>
      <c r="AH357">
        <v>4</v>
      </c>
      <c r="AI357">
        <v>4</v>
      </c>
      <c r="AJ357">
        <v>1</v>
      </c>
      <c r="AK357">
        <v>11</v>
      </c>
      <c r="AL357" t="s">
        <v>666</v>
      </c>
      <c r="AM357" t="s">
        <v>170</v>
      </c>
      <c r="AN357" t="s">
        <v>667</v>
      </c>
      <c r="AO357" t="s">
        <v>6156</v>
      </c>
      <c r="AP357" t="s">
        <v>6157</v>
      </c>
      <c r="AQ357" t="s">
        <v>74</v>
      </c>
      <c r="AR357" t="s">
        <v>6158</v>
      </c>
      <c r="AS357" t="s">
        <v>6159</v>
      </c>
      <c r="AT357" t="s">
        <v>525</v>
      </c>
      <c r="AU357">
        <v>2022</v>
      </c>
      <c r="AV357">
        <v>34</v>
      </c>
      <c r="AW357">
        <v>1</v>
      </c>
      <c r="AX357" t="s">
        <v>74</v>
      </c>
      <c r="AY357" t="s">
        <v>74</v>
      </c>
      <c r="AZ357" t="s">
        <v>74</v>
      </c>
      <c r="BA357" t="s">
        <v>74</v>
      </c>
      <c r="BB357">
        <v>16</v>
      </c>
      <c r="BC357">
        <v>28</v>
      </c>
      <c r="BD357" t="s">
        <v>7370</v>
      </c>
      <c r="BE357" t="s">
        <v>7371</v>
      </c>
      <c r="BF357" t="str">
        <f>HYPERLINK("http://dx.doi.org/10.1017/S0954102021000420","http://dx.doi.org/10.1017/S0954102021000420")</f>
        <v>http://dx.doi.org/10.1017/S0954102021000420</v>
      </c>
      <c r="BG357" t="s">
        <v>74</v>
      </c>
      <c r="BH357" t="s">
        <v>5766</v>
      </c>
      <c r="BI357">
        <v>13</v>
      </c>
      <c r="BJ357" t="s">
        <v>6161</v>
      </c>
      <c r="BK357" t="s">
        <v>101</v>
      </c>
      <c r="BL357" t="s">
        <v>6162</v>
      </c>
      <c r="BM357" t="s">
        <v>6485</v>
      </c>
      <c r="BN357" t="s">
        <v>74</v>
      </c>
      <c r="BO357" t="s">
        <v>74</v>
      </c>
      <c r="BP357" t="s">
        <v>74</v>
      </c>
      <c r="BQ357" t="s">
        <v>74</v>
      </c>
      <c r="BR357" t="s">
        <v>105</v>
      </c>
      <c r="BS357" t="s">
        <v>7372</v>
      </c>
      <c r="BT357" t="str">
        <f>HYPERLINK("https%3A%2F%2Fwww.webofscience.com%2Fwos%2Fwoscc%2Ffull-record%2FWOS:000737586500001","View Full Record in Web of Science")</f>
        <v>View Full Record in Web of Science</v>
      </c>
    </row>
    <row r="358" spans="1:72" x14ac:dyDescent="0.15">
      <c r="A358" t="s">
        <v>72</v>
      </c>
      <c r="B358" t="s">
        <v>7373</v>
      </c>
      <c r="C358" t="s">
        <v>74</v>
      </c>
      <c r="D358" t="s">
        <v>74</v>
      </c>
      <c r="E358" t="s">
        <v>74</v>
      </c>
      <c r="F358" t="s">
        <v>7374</v>
      </c>
      <c r="G358" t="s">
        <v>74</v>
      </c>
      <c r="H358" t="s">
        <v>74</v>
      </c>
      <c r="I358" t="s">
        <v>7375</v>
      </c>
      <c r="J358" t="s">
        <v>6143</v>
      </c>
      <c r="K358" t="s">
        <v>74</v>
      </c>
      <c r="L358" t="s">
        <v>74</v>
      </c>
      <c r="M358" t="s">
        <v>78</v>
      </c>
      <c r="N358" t="s">
        <v>79</v>
      </c>
      <c r="O358" t="s">
        <v>74</v>
      </c>
      <c r="P358" t="s">
        <v>74</v>
      </c>
      <c r="Q358" t="s">
        <v>74</v>
      </c>
      <c r="R358" t="s">
        <v>74</v>
      </c>
      <c r="S358" t="s">
        <v>74</v>
      </c>
      <c r="T358" t="s">
        <v>7376</v>
      </c>
      <c r="U358" t="s">
        <v>7377</v>
      </c>
      <c r="V358" t="s">
        <v>7378</v>
      </c>
      <c r="W358" t="s">
        <v>7379</v>
      </c>
      <c r="X358" t="s">
        <v>7380</v>
      </c>
      <c r="Y358" t="s">
        <v>7381</v>
      </c>
      <c r="Z358" t="s">
        <v>7382</v>
      </c>
      <c r="AA358" t="s">
        <v>74</v>
      </c>
      <c r="AB358" t="s">
        <v>74</v>
      </c>
      <c r="AC358" t="s">
        <v>7383</v>
      </c>
      <c r="AD358" t="s">
        <v>7384</v>
      </c>
      <c r="AE358" t="s">
        <v>7385</v>
      </c>
      <c r="AF358" t="s">
        <v>74</v>
      </c>
      <c r="AG358">
        <v>24</v>
      </c>
      <c r="AH358">
        <v>1</v>
      </c>
      <c r="AI358">
        <v>1</v>
      </c>
      <c r="AJ358">
        <v>1</v>
      </c>
      <c r="AK358">
        <v>7</v>
      </c>
      <c r="AL358" t="s">
        <v>666</v>
      </c>
      <c r="AM358" t="s">
        <v>170</v>
      </c>
      <c r="AN358" t="s">
        <v>667</v>
      </c>
      <c r="AO358" t="s">
        <v>6156</v>
      </c>
      <c r="AP358" t="s">
        <v>6157</v>
      </c>
      <c r="AQ358" t="s">
        <v>74</v>
      </c>
      <c r="AR358" t="s">
        <v>6158</v>
      </c>
      <c r="AS358" t="s">
        <v>6159</v>
      </c>
      <c r="AT358" t="s">
        <v>98</v>
      </c>
      <c r="AU358">
        <v>2021</v>
      </c>
      <c r="AV358">
        <v>33</v>
      </c>
      <c r="AW358">
        <v>6</v>
      </c>
      <c r="AX358" t="s">
        <v>74</v>
      </c>
      <c r="AY358" t="s">
        <v>74</v>
      </c>
      <c r="AZ358" t="s">
        <v>74</v>
      </c>
      <c r="BA358" t="s">
        <v>74</v>
      </c>
      <c r="BB358">
        <v>674</v>
      </c>
      <c r="BC358">
        <v>684</v>
      </c>
      <c r="BD358" t="s">
        <v>74</v>
      </c>
      <c r="BE358" t="s">
        <v>7386</v>
      </c>
      <c r="BF358" t="str">
        <f>HYPERLINK("http://dx.doi.org/10.1017/S0954102021000444","http://dx.doi.org/10.1017/S0954102021000444")</f>
        <v>http://dx.doi.org/10.1017/S0954102021000444</v>
      </c>
      <c r="BG358" t="s">
        <v>74</v>
      </c>
      <c r="BH358" t="s">
        <v>5766</v>
      </c>
      <c r="BI358">
        <v>11</v>
      </c>
      <c r="BJ358" t="s">
        <v>6161</v>
      </c>
      <c r="BK358" t="s">
        <v>101</v>
      </c>
      <c r="BL358" t="s">
        <v>6162</v>
      </c>
      <c r="BM358" t="s">
        <v>6163</v>
      </c>
      <c r="BN358" t="s">
        <v>74</v>
      </c>
      <c r="BO358" t="s">
        <v>74</v>
      </c>
      <c r="BP358" t="s">
        <v>74</v>
      </c>
      <c r="BQ358" t="s">
        <v>74</v>
      </c>
      <c r="BR358" t="s">
        <v>105</v>
      </c>
      <c r="BS358" t="s">
        <v>7387</v>
      </c>
      <c r="BT358" t="str">
        <f>HYPERLINK("https%3A%2F%2Fwww.webofscience.com%2Fwos%2Fwoscc%2Ffull-record%2FWOS:000737587300001","View Full Record in Web of Science")</f>
        <v>View Full Record in Web of Science</v>
      </c>
    </row>
    <row r="359" spans="1:72" x14ac:dyDescent="0.15">
      <c r="A359" t="s">
        <v>72</v>
      </c>
      <c r="B359" t="s">
        <v>7388</v>
      </c>
      <c r="C359" t="s">
        <v>74</v>
      </c>
      <c r="D359" t="s">
        <v>74</v>
      </c>
      <c r="E359" t="s">
        <v>74</v>
      </c>
      <c r="F359" t="s">
        <v>7389</v>
      </c>
      <c r="G359" t="s">
        <v>74</v>
      </c>
      <c r="H359" t="s">
        <v>74</v>
      </c>
      <c r="I359" t="s">
        <v>7390</v>
      </c>
      <c r="J359" t="s">
        <v>6143</v>
      </c>
      <c r="K359" t="s">
        <v>74</v>
      </c>
      <c r="L359" t="s">
        <v>74</v>
      </c>
      <c r="M359" t="s">
        <v>78</v>
      </c>
      <c r="N359" t="s">
        <v>79</v>
      </c>
      <c r="O359" t="s">
        <v>74</v>
      </c>
      <c r="P359" t="s">
        <v>74</v>
      </c>
      <c r="Q359" t="s">
        <v>74</v>
      </c>
      <c r="R359" t="s">
        <v>74</v>
      </c>
      <c r="S359" t="s">
        <v>74</v>
      </c>
      <c r="T359" t="s">
        <v>7391</v>
      </c>
      <c r="U359" t="s">
        <v>7392</v>
      </c>
      <c r="V359" t="s">
        <v>7393</v>
      </c>
      <c r="W359" t="s">
        <v>7394</v>
      </c>
      <c r="X359" t="s">
        <v>7395</v>
      </c>
      <c r="Y359" t="s">
        <v>7396</v>
      </c>
      <c r="Z359" t="s">
        <v>7397</v>
      </c>
      <c r="AA359" t="s">
        <v>7398</v>
      </c>
      <c r="AB359" t="s">
        <v>7399</v>
      </c>
      <c r="AC359" t="s">
        <v>7400</v>
      </c>
      <c r="AD359" t="s">
        <v>7401</v>
      </c>
      <c r="AE359" t="s">
        <v>7402</v>
      </c>
      <c r="AF359" t="s">
        <v>74</v>
      </c>
      <c r="AG359">
        <v>33</v>
      </c>
      <c r="AH359">
        <v>4</v>
      </c>
      <c r="AI359">
        <v>4</v>
      </c>
      <c r="AJ359">
        <v>5</v>
      </c>
      <c r="AK359">
        <v>10</v>
      </c>
      <c r="AL359" t="s">
        <v>666</v>
      </c>
      <c r="AM359" t="s">
        <v>170</v>
      </c>
      <c r="AN359" t="s">
        <v>667</v>
      </c>
      <c r="AO359" t="s">
        <v>6156</v>
      </c>
      <c r="AP359" t="s">
        <v>6157</v>
      </c>
      <c r="AQ359" t="s">
        <v>74</v>
      </c>
      <c r="AR359" t="s">
        <v>6158</v>
      </c>
      <c r="AS359" t="s">
        <v>6159</v>
      </c>
      <c r="AT359" t="s">
        <v>98</v>
      </c>
      <c r="AU359">
        <v>2021</v>
      </c>
      <c r="AV359">
        <v>33</v>
      </c>
      <c r="AW359">
        <v>6</v>
      </c>
      <c r="AX359" t="s">
        <v>74</v>
      </c>
      <c r="AY359" t="s">
        <v>74</v>
      </c>
      <c r="AZ359" t="s">
        <v>74</v>
      </c>
      <c r="BA359" t="s">
        <v>74</v>
      </c>
      <c r="BB359">
        <v>633</v>
      </c>
      <c r="BC359">
        <v>644</v>
      </c>
      <c r="BD359" t="s">
        <v>7403</v>
      </c>
      <c r="BE359" t="s">
        <v>7404</v>
      </c>
      <c r="BF359" t="str">
        <f>HYPERLINK("http://dx.doi.org/10.1017/S0954102021000468","http://dx.doi.org/10.1017/S0954102021000468")</f>
        <v>http://dx.doi.org/10.1017/S0954102021000468</v>
      </c>
      <c r="BG359" t="s">
        <v>74</v>
      </c>
      <c r="BH359" t="s">
        <v>5766</v>
      </c>
      <c r="BI359">
        <v>12</v>
      </c>
      <c r="BJ359" t="s">
        <v>6161</v>
      </c>
      <c r="BK359" t="s">
        <v>101</v>
      </c>
      <c r="BL359" t="s">
        <v>6162</v>
      </c>
      <c r="BM359" t="s">
        <v>6163</v>
      </c>
      <c r="BN359" t="s">
        <v>74</v>
      </c>
      <c r="BO359" t="s">
        <v>74</v>
      </c>
      <c r="BP359" t="s">
        <v>74</v>
      </c>
      <c r="BQ359" t="s">
        <v>74</v>
      </c>
      <c r="BR359" t="s">
        <v>105</v>
      </c>
      <c r="BS359" t="s">
        <v>7405</v>
      </c>
      <c r="BT359" t="str">
        <f>HYPERLINK("https%3A%2F%2Fwww.webofscience.com%2Fwos%2Fwoscc%2Ffull-record%2FWOS:000737585900001","View Full Record in Web of Science")</f>
        <v>View Full Record in Web of Science</v>
      </c>
    </row>
    <row r="360" spans="1:72" x14ac:dyDescent="0.15">
      <c r="A360" t="s">
        <v>72</v>
      </c>
      <c r="B360" t="s">
        <v>7406</v>
      </c>
      <c r="C360" t="s">
        <v>74</v>
      </c>
      <c r="D360" t="s">
        <v>74</v>
      </c>
      <c r="E360" t="s">
        <v>74</v>
      </c>
      <c r="F360" t="s">
        <v>7407</v>
      </c>
      <c r="G360" t="s">
        <v>74</v>
      </c>
      <c r="H360" t="s">
        <v>74</v>
      </c>
      <c r="I360" t="s">
        <v>7408</v>
      </c>
      <c r="J360" t="s">
        <v>2743</v>
      </c>
      <c r="K360" t="s">
        <v>74</v>
      </c>
      <c r="L360" t="s">
        <v>74</v>
      </c>
      <c r="M360" t="s">
        <v>78</v>
      </c>
      <c r="N360" t="s">
        <v>79</v>
      </c>
      <c r="O360" t="s">
        <v>74</v>
      </c>
      <c r="P360" t="s">
        <v>74</v>
      </c>
      <c r="Q360" t="s">
        <v>74</v>
      </c>
      <c r="R360" t="s">
        <v>74</v>
      </c>
      <c r="S360" t="s">
        <v>74</v>
      </c>
      <c r="T360" t="s">
        <v>7409</v>
      </c>
      <c r="U360" t="s">
        <v>7410</v>
      </c>
      <c r="V360" t="s">
        <v>7411</v>
      </c>
      <c r="W360" t="s">
        <v>7412</v>
      </c>
      <c r="X360" t="s">
        <v>7413</v>
      </c>
      <c r="Y360" t="s">
        <v>7414</v>
      </c>
      <c r="Z360" t="s">
        <v>7415</v>
      </c>
      <c r="AA360" t="s">
        <v>7416</v>
      </c>
      <c r="AB360" t="s">
        <v>7417</v>
      </c>
      <c r="AC360" t="s">
        <v>7418</v>
      </c>
      <c r="AD360" t="s">
        <v>7419</v>
      </c>
      <c r="AE360" t="s">
        <v>7420</v>
      </c>
      <c r="AF360" t="s">
        <v>74</v>
      </c>
      <c r="AG360">
        <v>53</v>
      </c>
      <c r="AH360">
        <v>4</v>
      </c>
      <c r="AI360">
        <v>4</v>
      </c>
      <c r="AJ360">
        <v>0</v>
      </c>
      <c r="AK360">
        <v>5</v>
      </c>
      <c r="AL360" t="s">
        <v>2756</v>
      </c>
      <c r="AM360" t="s">
        <v>2757</v>
      </c>
      <c r="AN360" t="s">
        <v>2758</v>
      </c>
      <c r="AO360" t="s">
        <v>2759</v>
      </c>
      <c r="AP360" t="s">
        <v>2760</v>
      </c>
      <c r="AQ360" t="s">
        <v>74</v>
      </c>
      <c r="AR360" t="s">
        <v>2761</v>
      </c>
      <c r="AS360" t="s">
        <v>2762</v>
      </c>
      <c r="AT360" t="s">
        <v>7421</v>
      </c>
      <c r="AU360">
        <v>2021</v>
      </c>
      <c r="AV360">
        <v>40</v>
      </c>
      <c r="AW360" t="s">
        <v>74</v>
      </c>
      <c r="AX360" t="s">
        <v>74</v>
      </c>
      <c r="AY360" t="s">
        <v>74</v>
      </c>
      <c r="AZ360" t="s">
        <v>74</v>
      </c>
      <c r="BA360" t="s">
        <v>74</v>
      </c>
      <c r="BB360" t="s">
        <v>74</v>
      </c>
      <c r="BC360" t="s">
        <v>74</v>
      </c>
      <c r="BD360">
        <v>5487</v>
      </c>
      <c r="BE360" t="s">
        <v>7422</v>
      </c>
      <c r="BF360" t="str">
        <f>HYPERLINK("http://dx.doi.org/10.33265/polar.v40.5487","http://dx.doi.org/10.33265/polar.v40.5487")</f>
        <v>http://dx.doi.org/10.33265/polar.v40.5487</v>
      </c>
      <c r="BG360" t="s">
        <v>74</v>
      </c>
      <c r="BH360" t="s">
        <v>74</v>
      </c>
      <c r="BI360">
        <v>10</v>
      </c>
      <c r="BJ360" t="s">
        <v>2765</v>
      </c>
      <c r="BK360" t="s">
        <v>101</v>
      </c>
      <c r="BL360" t="s">
        <v>2766</v>
      </c>
      <c r="BM360" t="s">
        <v>7423</v>
      </c>
      <c r="BN360" t="s">
        <v>74</v>
      </c>
      <c r="BO360" t="s">
        <v>210</v>
      </c>
      <c r="BP360" t="s">
        <v>74</v>
      </c>
      <c r="BQ360" t="s">
        <v>74</v>
      </c>
      <c r="BR360" t="s">
        <v>105</v>
      </c>
      <c r="BS360" t="s">
        <v>7424</v>
      </c>
      <c r="BT360" t="str">
        <f>HYPERLINK("https%3A%2F%2Fwww.webofscience.com%2Fwos%2Fwoscc%2Ffull-record%2FWOS:000717447900001","View Full Record in Web of Science")</f>
        <v>View Full Record in Web of Science</v>
      </c>
    </row>
    <row r="361" spans="1:72" x14ac:dyDescent="0.15">
      <c r="A361" t="s">
        <v>72</v>
      </c>
      <c r="B361" t="s">
        <v>7425</v>
      </c>
      <c r="C361" t="s">
        <v>74</v>
      </c>
      <c r="D361" t="s">
        <v>74</v>
      </c>
      <c r="E361" t="s">
        <v>74</v>
      </c>
      <c r="F361" t="s">
        <v>7426</v>
      </c>
      <c r="G361" t="s">
        <v>74</v>
      </c>
      <c r="H361" t="s">
        <v>74</v>
      </c>
      <c r="I361" t="s">
        <v>7427</v>
      </c>
      <c r="J361" t="s">
        <v>372</v>
      </c>
      <c r="K361" t="s">
        <v>74</v>
      </c>
      <c r="L361" t="s">
        <v>74</v>
      </c>
      <c r="M361" t="s">
        <v>78</v>
      </c>
      <c r="N361" t="s">
        <v>79</v>
      </c>
      <c r="O361" t="s">
        <v>74</v>
      </c>
      <c r="P361" t="s">
        <v>74</v>
      </c>
      <c r="Q361" t="s">
        <v>74</v>
      </c>
      <c r="R361" t="s">
        <v>74</v>
      </c>
      <c r="S361" t="s">
        <v>74</v>
      </c>
      <c r="T361" t="s">
        <v>7428</v>
      </c>
      <c r="U361" t="s">
        <v>7429</v>
      </c>
      <c r="V361" t="s">
        <v>7430</v>
      </c>
      <c r="W361" t="s">
        <v>7431</v>
      </c>
      <c r="X361" t="s">
        <v>7432</v>
      </c>
      <c r="Y361" t="s">
        <v>7433</v>
      </c>
      <c r="Z361" t="s">
        <v>7434</v>
      </c>
      <c r="AA361" t="s">
        <v>74</v>
      </c>
      <c r="AB361" t="s">
        <v>7435</v>
      </c>
      <c r="AC361" t="s">
        <v>7436</v>
      </c>
      <c r="AD361" t="s">
        <v>7437</v>
      </c>
      <c r="AE361" t="s">
        <v>7438</v>
      </c>
      <c r="AF361" t="s">
        <v>74</v>
      </c>
      <c r="AG361">
        <v>108</v>
      </c>
      <c r="AH361">
        <v>2</v>
      </c>
      <c r="AI361">
        <v>2</v>
      </c>
      <c r="AJ361">
        <v>2</v>
      </c>
      <c r="AK361">
        <v>19</v>
      </c>
      <c r="AL361" t="s">
        <v>383</v>
      </c>
      <c r="AM361" t="s">
        <v>384</v>
      </c>
      <c r="AN361" t="s">
        <v>385</v>
      </c>
      <c r="AO361" t="s">
        <v>74</v>
      </c>
      <c r="AP361" t="s">
        <v>386</v>
      </c>
      <c r="AQ361" t="s">
        <v>74</v>
      </c>
      <c r="AR361" t="s">
        <v>387</v>
      </c>
      <c r="AS361" t="s">
        <v>388</v>
      </c>
      <c r="AT361" t="s">
        <v>7421</v>
      </c>
      <c r="AU361">
        <v>2021</v>
      </c>
      <c r="AV361">
        <v>8</v>
      </c>
      <c r="AW361" t="s">
        <v>74</v>
      </c>
      <c r="AX361" t="s">
        <v>74</v>
      </c>
      <c r="AY361" t="s">
        <v>74</v>
      </c>
      <c r="AZ361" t="s">
        <v>74</v>
      </c>
      <c r="BA361" t="s">
        <v>74</v>
      </c>
      <c r="BB361" t="s">
        <v>74</v>
      </c>
      <c r="BC361" t="s">
        <v>74</v>
      </c>
      <c r="BD361">
        <v>756067</v>
      </c>
      <c r="BE361" t="s">
        <v>7439</v>
      </c>
      <c r="BF361" t="str">
        <f>HYPERLINK("http://dx.doi.org/10.3389/fmars.2021.756067","http://dx.doi.org/10.3389/fmars.2021.756067")</f>
        <v>http://dx.doi.org/10.3389/fmars.2021.756067</v>
      </c>
      <c r="BG361" t="s">
        <v>74</v>
      </c>
      <c r="BH361" t="s">
        <v>74</v>
      </c>
      <c r="BI361">
        <v>15</v>
      </c>
      <c r="BJ361" t="s">
        <v>391</v>
      </c>
      <c r="BK361" t="s">
        <v>101</v>
      </c>
      <c r="BL361" t="s">
        <v>392</v>
      </c>
      <c r="BM361" t="s">
        <v>7440</v>
      </c>
      <c r="BN361" t="s">
        <v>74</v>
      </c>
      <c r="BO361" t="s">
        <v>210</v>
      </c>
      <c r="BP361" t="s">
        <v>74</v>
      </c>
      <c r="BQ361" t="s">
        <v>74</v>
      </c>
      <c r="BR361" t="s">
        <v>105</v>
      </c>
      <c r="BS361" t="s">
        <v>7441</v>
      </c>
      <c r="BT361" t="str">
        <f>HYPERLINK("https%3A%2F%2Fwww.webofscience.com%2Fwos%2Fwoscc%2Ffull-record%2FWOS:000716614600001","View Full Record in Web of Science")</f>
        <v>View Full Record in Web of Science</v>
      </c>
    </row>
    <row r="362" spans="1:72" x14ac:dyDescent="0.15">
      <c r="A362" t="s">
        <v>72</v>
      </c>
      <c r="B362" t="s">
        <v>7442</v>
      </c>
      <c r="C362" t="s">
        <v>74</v>
      </c>
      <c r="D362" t="s">
        <v>74</v>
      </c>
      <c r="E362" t="s">
        <v>74</v>
      </c>
      <c r="F362" t="s">
        <v>7443</v>
      </c>
      <c r="G362" t="s">
        <v>74</v>
      </c>
      <c r="H362" t="s">
        <v>74</v>
      </c>
      <c r="I362" t="s">
        <v>7444</v>
      </c>
      <c r="J362" t="s">
        <v>1377</v>
      </c>
      <c r="K362" t="s">
        <v>74</v>
      </c>
      <c r="L362" t="s">
        <v>74</v>
      </c>
      <c r="M362" t="s">
        <v>78</v>
      </c>
      <c r="N362" t="s">
        <v>79</v>
      </c>
      <c r="O362" t="s">
        <v>74</v>
      </c>
      <c r="P362" t="s">
        <v>74</v>
      </c>
      <c r="Q362" t="s">
        <v>74</v>
      </c>
      <c r="R362" t="s">
        <v>74</v>
      </c>
      <c r="S362" t="s">
        <v>74</v>
      </c>
      <c r="T362" t="s">
        <v>7445</v>
      </c>
      <c r="U362" t="s">
        <v>7446</v>
      </c>
      <c r="V362" t="s">
        <v>7447</v>
      </c>
      <c r="W362" t="s">
        <v>7448</v>
      </c>
      <c r="X362" t="s">
        <v>7449</v>
      </c>
      <c r="Y362" t="s">
        <v>7450</v>
      </c>
      <c r="Z362" t="s">
        <v>7451</v>
      </c>
      <c r="AA362" t="s">
        <v>74</v>
      </c>
      <c r="AB362" t="s">
        <v>7452</v>
      </c>
      <c r="AC362" t="s">
        <v>7453</v>
      </c>
      <c r="AD362" t="s">
        <v>7453</v>
      </c>
      <c r="AE362" t="s">
        <v>7454</v>
      </c>
      <c r="AF362" t="s">
        <v>74</v>
      </c>
      <c r="AG362">
        <v>133</v>
      </c>
      <c r="AH362">
        <v>5</v>
      </c>
      <c r="AI362">
        <v>5</v>
      </c>
      <c r="AJ362">
        <v>2</v>
      </c>
      <c r="AK362">
        <v>14</v>
      </c>
      <c r="AL362" t="s">
        <v>255</v>
      </c>
      <c r="AM362" t="s">
        <v>256</v>
      </c>
      <c r="AN362" t="s">
        <v>257</v>
      </c>
      <c r="AO362" t="s">
        <v>1390</v>
      </c>
      <c r="AP362" t="s">
        <v>1391</v>
      </c>
      <c r="AQ362" t="s">
        <v>74</v>
      </c>
      <c r="AR362" t="s">
        <v>1392</v>
      </c>
      <c r="AS362" t="s">
        <v>1393</v>
      </c>
      <c r="AT362" t="s">
        <v>2435</v>
      </c>
      <c r="AU362">
        <v>2021</v>
      </c>
      <c r="AV362">
        <v>272</v>
      </c>
      <c r="AW362" t="s">
        <v>74</v>
      </c>
      <c r="AX362" t="s">
        <v>74</v>
      </c>
      <c r="AY362" t="s">
        <v>74</v>
      </c>
      <c r="AZ362" t="s">
        <v>74</v>
      </c>
      <c r="BA362" t="s">
        <v>74</v>
      </c>
      <c r="BB362" t="s">
        <v>74</v>
      </c>
      <c r="BC362" t="s">
        <v>74</v>
      </c>
      <c r="BD362">
        <v>107216</v>
      </c>
      <c r="BE362" t="s">
        <v>7455</v>
      </c>
      <c r="BF362" t="str">
        <f>HYPERLINK("http://dx.doi.org/10.1016/j.quascirev.2021.107216","http://dx.doi.org/10.1016/j.quascirev.2021.107216")</f>
        <v>http://dx.doi.org/10.1016/j.quascirev.2021.107216</v>
      </c>
      <c r="BG362" t="s">
        <v>74</v>
      </c>
      <c r="BH362" t="s">
        <v>5766</v>
      </c>
      <c r="BI362">
        <v>17</v>
      </c>
      <c r="BJ362" t="s">
        <v>340</v>
      </c>
      <c r="BK362" t="s">
        <v>101</v>
      </c>
      <c r="BL362" t="s">
        <v>341</v>
      </c>
      <c r="BM362" t="s">
        <v>7456</v>
      </c>
      <c r="BN362" t="s">
        <v>74</v>
      </c>
      <c r="BO362" t="s">
        <v>74</v>
      </c>
      <c r="BP362" t="s">
        <v>74</v>
      </c>
      <c r="BQ362" t="s">
        <v>74</v>
      </c>
      <c r="BR362" t="s">
        <v>105</v>
      </c>
      <c r="BS362" t="s">
        <v>7457</v>
      </c>
      <c r="BT362" t="str">
        <f>HYPERLINK("https%3A%2F%2Fwww.webofscience.com%2Fwos%2Fwoscc%2Ffull-record%2FWOS:000708698300007","View Full Record in Web of Science")</f>
        <v>View Full Record in Web of Science</v>
      </c>
    </row>
    <row r="363" spans="1:72" x14ac:dyDescent="0.15">
      <c r="A363" t="s">
        <v>72</v>
      </c>
      <c r="B363" t="s">
        <v>7458</v>
      </c>
      <c r="C363" t="s">
        <v>74</v>
      </c>
      <c r="D363" t="s">
        <v>74</v>
      </c>
      <c r="E363" t="s">
        <v>74</v>
      </c>
      <c r="F363" t="s">
        <v>7459</v>
      </c>
      <c r="G363" t="s">
        <v>74</v>
      </c>
      <c r="H363" t="s">
        <v>74</v>
      </c>
      <c r="I363" t="s">
        <v>7460</v>
      </c>
      <c r="J363" t="s">
        <v>7461</v>
      </c>
      <c r="K363" t="s">
        <v>74</v>
      </c>
      <c r="L363" t="s">
        <v>74</v>
      </c>
      <c r="M363" t="s">
        <v>78</v>
      </c>
      <c r="N363" t="s">
        <v>79</v>
      </c>
      <c r="O363" t="s">
        <v>74</v>
      </c>
      <c r="P363" t="s">
        <v>74</v>
      </c>
      <c r="Q363" t="s">
        <v>74</v>
      </c>
      <c r="R363" t="s">
        <v>74</v>
      </c>
      <c r="S363" t="s">
        <v>74</v>
      </c>
      <c r="T363" t="s">
        <v>7462</v>
      </c>
      <c r="U363" t="s">
        <v>7463</v>
      </c>
      <c r="V363" t="s">
        <v>7464</v>
      </c>
      <c r="W363" t="s">
        <v>7465</v>
      </c>
      <c r="X363" t="s">
        <v>7466</v>
      </c>
      <c r="Y363" t="s">
        <v>7467</v>
      </c>
      <c r="Z363" t="s">
        <v>7468</v>
      </c>
      <c r="AA363" t="s">
        <v>7469</v>
      </c>
      <c r="AB363" t="s">
        <v>74</v>
      </c>
      <c r="AC363" t="s">
        <v>7470</v>
      </c>
      <c r="AD363" t="s">
        <v>7471</v>
      </c>
      <c r="AE363" t="s">
        <v>7472</v>
      </c>
      <c r="AF363" t="s">
        <v>74</v>
      </c>
      <c r="AG363">
        <v>51</v>
      </c>
      <c r="AH363">
        <v>4</v>
      </c>
      <c r="AI363">
        <v>4</v>
      </c>
      <c r="AJ363">
        <v>1</v>
      </c>
      <c r="AK363">
        <v>21</v>
      </c>
      <c r="AL363" t="s">
        <v>169</v>
      </c>
      <c r="AM363" t="s">
        <v>170</v>
      </c>
      <c r="AN363" t="s">
        <v>171</v>
      </c>
      <c r="AO363" t="s">
        <v>7473</v>
      </c>
      <c r="AP363" t="s">
        <v>74</v>
      </c>
      <c r="AQ363" t="s">
        <v>74</v>
      </c>
      <c r="AR363" t="s">
        <v>7461</v>
      </c>
      <c r="AS363" t="s">
        <v>7474</v>
      </c>
      <c r="AT363" t="s">
        <v>7421</v>
      </c>
      <c r="AU363">
        <v>2021</v>
      </c>
      <c r="AV363">
        <v>11</v>
      </c>
      <c r="AW363">
        <v>1</v>
      </c>
      <c r="AX363" t="s">
        <v>74</v>
      </c>
      <c r="AY363" t="s">
        <v>74</v>
      </c>
      <c r="AZ363" t="s">
        <v>74</v>
      </c>
      <c r="BA363" t="s">
        <v>74</v>
      </c>
      <c r="BB363" t="s">
        <v>74</v>
      </c>
      <c r="BC363" t="s">
        <v>74</v>
      </c>
      <c r="BD363">
        <v>139</v>
      </c>
      <c r="BE363" t="s">
        <v>7475</v>
      </c>
      <c r="BF363" t="str">
        <f>HYPERLINK("http://dx.doi.org/10.1186/s13568-021-01300-x","http://dx.doi.org/10.1186/s13568-021-01300-x")</f>
        <v>http://dx.doi.org/10.1186/s13568-021-01300-x</v>
      </c>
      <c r="BG363" t="s">
        <v>74</v>
      </c>
      <c r="BH363" t="s">
        <v>74</v>
      </c>
      <c r="BI363">
        <v>10</v>
      </c>
      <c r="BJ363" t="s">
        <v>3476</v>
      </c>
      <c r="BK363" t="s">
        <v>101</v>
      </c>
      <c r="BL363" t="s">
        <v>3476</v>
      </c>
      <c r="BM363" t="s">
        <v>7476</v>
      </c>
      <c r="BN363">
        <v>34669086</v>
      </c>
      <c r="BO363" t="s">
        <v>4963</v>
      </c>
      <c r="BP363" t="s">
        <v>74</v>
      </c>
      <c r="BQ363" t="s">
        <v>74</v>
      </c>
      <c r="BR363" t="s">
        <v>105</v>
      </c>
      <c r="BS363" t="s">
        <v>7477</v>
      </c>
      <c r="BT363" t="str">
        <f>HYPERLINK("https%3A%2F%2Fwww.webofscience.com%2Fwos%2Fwoscc%2Ffull-record%2FWOS:000709340500001","View Full Record in Web of Science")</f>
        <v>View Full Record in Web of Science</v>
      </c>
    </row>
    <row r="364" spans="1:72" x14ac:dyDescent="0.15">
      <c r="A364" t="s">
        <v>72</v>
      </c>
      <c r="B364" t="s">
        <v>7478</v>
      </c>
      <c r="C364" t="s">
        <v>74</v>
      </c>
      <c r="D364" t="s">
        <v>74</v>
      </c>
      <c r="E364" t="s">
        <v>74</v>
      </c>
      <c r="F364" t="s">
        <v>7479</v>
      </c>
      <c r="G364" t="s">
        <v>74</v>
      </c>
      <c r="H364" t="s">
        <v>74</v>
      </c>
      <c r="I364" t="s">
        <v>7480</v>
      </c>
      <c r="J364" t="s">
        <v>3894</v>
      </c>
      <c r="K364" t="s">
        <v>74</v>
      </c>
      <c r="L364" t="s">
        <v>74</v>
      </c>
      <c r="M364" t="s">
        <v>78</v>
      </c>
      <c r="N364" t="s">
        <v>79</v>
      </c>
      <c r="O364" t="s">
        <v>74</v>
      </c>
      <c r="P364" t="s">
        <v>74</v>
      </c>
      <c r="Q364" t="s">
        <v>74</v>
      </c>
      <c r="R364" t="s">
        <v>74</v>
      </c>
      <c r="S364" t="s">
        <v>74</v>
      </c>
      <c r="T364" t="s">
        <v>74</v>
      </c>
      <c r="U364" t="s">
        <v>7481</v>
      </c>
      <c r="V364" t="s">
        <v>7482</v>
      </c>
      <c r="W364" t="s">
        <v>7483</v>
      </c>
      <c r="X364" t="s">
        <v>7484</v>
      </c>
      <c r="Y364" t="s">
        <v>7485</v>
      </c>
      <c r="Z364" t="s">
        <v>7486</v>
      </c>
      <c r="AA364" t="s">
        <v>7487</v>
      </c>
      <c r="AB364" t="s">
        <v>7488</v>
      </c>
      <c r="AC364" t="s">
        <v>7489</v>
      </c>
      <c r="AD364" t="s">
        <v>7490</v>
      </c>
      <c r="AE364" t="s">
        <v>7491</v>
      </c>
      <c r="AF364" t="s">
        <v>74</v>
      </c>
      <c r="AG364">
        <v>62</v>
      </c>
      <c r="AH364">
        <v>55</v>
      </c>
      <c r="AI364">
        <v>60</v>
      </c>
      <c r="AJ364">
        <v>17</v>
      </c>
      <c r="AK364">
        <v>138</v>
      </c>
      <c r="AL364" t="s">
        <v>492</v>
      </c>
      <c r="AM364" t="s">
        <v>493</v>
      </c>
      <c r="AN364" t="s">
        <v>494</v>
      </c>
      <c r="AO364" t="s">
        <v>3903</v>
      </c>
      <c r="AP364" t="s">
        <v>3904</v>
      </c>
      <c r="AQ364" t="s">
        <v>74</v>
      </c>
      <c r="AR364" t="s">
        <v>3894</v>
      </c>
      <c r="AS364" t="s">
        <v>3905</v>
      </c>
      <c r="AT364" t="s">
        <v>7492</v>
      </c>
      <c r="AU364">
        <v>2021</v>
      </c>
      <c r="AV364">
        <v>600</v>
      </c>
      <c r="AW364">
        <v>7887</v>
      </c>
      <c r="AX364" t="s">
        <v>74</v>
      </c>
      <c r="AY364" t="s">
        <v>74</v>
      </c>
      <c r="AZ364" t="s">
        <v>74</v>
      </c>
      <c r="BA364" t="s">
        <v>74</v>
      </c>
      <c r="BB364">
        <v>86</v>
      </c>
      <c r="BC364" t="s">
        <v>499</v>
      </c>
      <c r="BD364" t="s">
        <v>74</v>
      </c>
      <c r="BE364" t="s">
        <v>7493</v>
      </c>
      <c r="BF364" t="str">
        <f>HYPERLINK("http://dx.doi.org/10.1038/s41586-021-04016-x","http://dx.doi.org/10.1038/s41586-021-04016-x")</f>
        <v>http://dx.doi.org/10.1038/s41586-021-04016-x</v>
      </c>
      <c r="BG364" t="s">
        <v>74</v>
      </c>
      <c r="BH364" t="s">
        <v>5766</v>
      </c>
      <c r="BI364">
        <v>19</v>
      </c>
      <c r="BJ364" t="s">
        <v>126</v>
      </c>
      <c r="BK364" t="s">
        <v>101</v>
      </c>
      <c r="BL364" t="s">
        <v>127</v>
      </c>
      <c r="BM364" t="s">
        <v>7494</v>
      </c>
      <c r="BN364">
        <v>34671161</v>
      </c>
      <c r="BO364" t="s">
        <v>7014</v>
      </c>
      <c r="BP364" t="s">
        <v>74</v>
      </c>
      <c r="BQ364" t="s">
        <v>74</v>
      </c>
      <c r="BR364" t="s">
        <v>105</v>
      </c>
      <c r="BS364" t="s">
        <v>7495</v>
      </c>
      <c r="BT364" t="str">
        <f>HYPERLINK("https%3A%2F%2Fwww.webofscience.com%2Fwos%2Fwoscc%2Ffull-record%2FWOS:000709352200005","View Full Record in Web of Science")</f>
        <v>View Full Record in Web of Science</v>
      </c>
    </row>
    <row r="365" spans="1:72" x14ac:dyDescent="0.15">
      <c r="A365" t="s">
        <v>72</v>
      </c>
      <c r="B365" t="s">
        <v>7496</v>
      </c>
      <c r="C365" t="s">
        <v>74</v>
      </c>
      <c r="D365" t="s">
        <v>74</v>
      </c>
      <c r="E365" t="s">
        <v>74</v>
      </c>
      <c r="F365" t="s">
        <v>7497</v>
      </c>
      <c r="G365" t="s">
        <v>74</v>
      </c>
      <c r="H365" t="s">
        <v>74</v>
      </c>
      <c r="I365" t="s">
        <v>7498</v>
      </c>
      <c r="J365" t="s">
        <v>3894</v>
      </c>
      <c r="K365" t="s">
        <v>74</v>
      </c>
      <c r="L365" t="s">
        <v>74</v>
      </c>
      <c r="M365" t="s">
        <v>78</v>
      </c>
      <c r="N365" t="s">
        <v>79</v>
      </c>
      <c r="O365" t="s">
        <v>74</v>
      </c>
      <c r="P365" t="s">
        <v>74</v>
      </c>
      <c r="Q365" t="s">
        <v>74</v>
      </c>
      <c r="R365" t="s">
        <v>74</v>
      </c>
      <c r="S365" t="s">
        <v>74</v>
      </c>
      <c r="T365" t="s">
        <v>74</v>
      </c>
      <c r="U365" t="s">
        <v>7499</v>
      </c>
      <c r="V365" t="s">
        <v>7500</v>
      </c>
      <c r="W365" t="s">
        <v>7501</v>
      </c>
      <c r="X365" t="s">
        <v>7502</v>
      </c>
      <c r="Y365" t="s">
        <v>7503</v>
      </c>
      <c r="Z365" t="s">
        <v>7504</v>
      </c>
      <c r="AA365" t="s">
        <v>7505</v>
      </c>
      <c r="AB365" t="s">
        <v>7506</v>
      </c>
      <c r="AC365" t="s">
        <v>7507</v>
      </c>
      <c r="AD365" t="s">
        <v>7508</v>
      </c>
      <c r="AE365" t="s">
        <v>7509</v>
      </c>
      <c r="AF365" t="s">
        <v>74</v>
      </c>
      <c r="AG365">
        <v>88</v>
      </c>
      <c r="AH365">
        <v>108</v>
      </c>
      <c r="AI365">
        <v>112</v>
      </c>
      <c r="AJ365">
        <v>21</v>
      </c>
      <c r="AK365">
        <v>156</v>
      </c>
      <c r="AL365" t="s">
        <v>492</v>
      </c>
      <c r="AM365" t="s">
        <v>493</v>
      </c>
      <c r="AN365" t="s">
        <v>494</v>
      </c>
      <c r="AO365" t="s">
        <v>3903</v>
      </c>
      <c r="AP365" t="s">
        <v>3904</v>
      </c>
      <c r="AQ365" t="s">
        <v>74</v>
      </c>
      <c r="AR365" t="s">
        <v>3894</v>
      </c>
      <c r="AS365" t="s">
        <v>3905</v>
      </c>
      <c r="AT365" t="s">
        <v>6063</v>
      </c>
      <c r="AU365">
        <v>2021</v>
      </c>
      <c r="AV365">
        <v>598</v>
      </c>
      <c r="AW365">
        <v>7882</v>
      </c>
      <c r="AX365" t="s">
        <v>74</v>
      </c>
      <c r="AY365" t="s">
        <v>74</v>
      </c>
      <c r="AZ365" t="s">
        <v>74</v>
      </c>
      <c r="BA365" t="s">
        <v>74</v>
      </c>
      <c r="BB365">
        <v>634</v>
      </c>
      <c r="BC365" t="s">
        <v>499</v>
      </c>
      <c r="BD365" t="s">
        <v>74</v>
      </c>
      <c r="BE365" t="s">
        <v>7510</v>
      </c>
      <c r="BF365" t="str">
        <f>HYPERLINK("http://dx.doi.org/10.1038/s41586-021-04018-9","http://dx.doi.org/10.1038/s41586-021-04018-9")</f>
        <v>http://dx.doi.org/10.1038/s41586-021-04018-9</v>
      </c>
      <c r="BG365" t="s">
        <v>74</v>
      </c>
      <c r="BH365" t="s">
        <v>5766</v>
      </c>
      <c r="BI365">
        <v>19</v>
      </c>
      <c r="BJ365" t="s">
        <v>126</v>
      </c>
      <c r="BK365" t="s">
        <v>207</v>
      </c>
      <c r="BL365" t="s">
        <v>127</v>
      </c>
      <c r="BM365" t="s">
        <v>7511</v>
      </c>
      <c r="BN365">
        <v>34671162</v>
      </c>
      <c r="BO365" t="s">
        <v>1511</v>
      </c>
      <c r="BP365" t="s">
        <v>74</v>
      </c>
      <c r="BQ365" t="s">
        <v>74</v>
      </c>
      <c r="BR365" t="s">
        <v>105</v>
      </c>
      <c r="BS365" t="s">
        <v>7512</v>
      </c>
      <c r="BT365" t="str">
        <f>HYPERLINK("https%3A%2F%2Fwww.webofscience.com%2Fwos%2Fwoscc%2Ffull-record%2FWOS:000709352200002","View Full Record in Web of Science")</f>
        <v>View Full Record in Web of Science</v>
      </c>
    </row>
    <row r="366" spans="1:72" x14ac:dyDescent="0.15">
      <c r="A366" t="s">
        <v>72</v>
      </c>
      <c r="B366" t="s">
        <v>7513</v>
      </c>
      <c r="C366" t="s">
        <v>74</v>
      </c>
      <c r="D366" t="s">
        <v>74</v>
      </c>
      <c r="E366" t="s">
        <v>74</v>
      </c>
      <c r="F366" t="s">
        <v>7514</v>
      </c>
      <c r="G366" t="s">
        <v>74</v>
      </c>
      <c r="H366" t="s">
        <v>74</v>
      </c>
      <c r="I366" t="s">
        <v>7515</v>
      </c>
      <c r="J366" t="s">
        <v>7516</v>
      </c>
      <c r="K366" t="s">
        <v>74</v>
      </c>
      <c r="L366" t="s">
        <v>74</v>
      </c>
      <c r="M366" t="s">
        <v>78</v>
      </c>
      <c r="N366" t="s">
        <v>79</v>
      </c>
      <c r="O366" t="s">
        <v>74</v>
      </c>
      <c r="P366" t="s">
        <v>74</v>
      </c>
      <c r="Q366" t="s">
        <v>74</v>
      </c>
      <c r="R366" t="s">
        <v>74</v>
      </c>
      <c r="S366" t="s">
        <v>74</v>
      </c>
      <c r="T366" t="s">
        <v>7517</v>
      </c>
      <c r="U366" t="s">
        <v>7518</v>
      </c>
      <c r="V366" t="s">
        <v>7519</v>
      </c>
      <c r="W366" t="s">
        <v>7520</v>
      </c>
      <c r="X366" t="s">
        <v>7521</v>
      </c>
      <c r="Y366" t="s">
        <v>7522</v>
      </c>
      <c r="Z366" t="s">
        <v>7523</v>
      </c>
      <c r="AA366" t="s">
        <v>7524</v>
      </c>
      <c r="AB366" t="s">
        <v>7525</v>
      </c>
      <c r="AC366" t="s">
        <v>7526</v>
      </c>
      <c r="AD366" t="s">
        <v>7527</v>
      </c>
      <c r="AE366" t="s">
        <v>7528</v>
      </c>
      <c r="AF366" t="s">
        <v>74</v>
      </c>
      <c r="AG366">
        <v>52</v>
      </c>
      <c r="AH366">
        <v>4</v>
      </c>
      <c r="AI366">
        <v>5</v>
      </c>
      <c r="AJ366">
        <v>2</v>
      </c>
      <c r="AK366">
        <v>17</v>
      </c>
      <c r="AL366" t="s">
        <v>255</v>
      </c>
      <c r="AM366" t="s">
        <v>256</v>
      </c>
      <c r="AN366" t="s">
        <v>257</v>
      </c>
      <c r="AO366" t="s">
        <v>7529</v>
      </c>
      <c r="AP366" t="s">
        <v>7530</v>
      </c>
      <c r="AQ366" t="s">
        <v>74</v>
      </c>
      <c r="AR366" t="s">
        <v>7516</v>
      </c>
      <c r="AS366" t="s">
        <v>7531</v>
      </c>
      <c r="AT366" t="s">
        <v>525</v>
      </c>
      <c r="AU366">
        <v>2022</v>
      </c>
      <c r="AV366">
        <v>288</v>
      </c>
      <c r="AW366" t="s">
        <v>74</v>
      </c>
      <c r="AX366">
        <v>2</v>
      </c>
      <c r="AY366" t="s">
        <v>74</v>
      </c>
      <c r="AZ366" t="s">
        <v>74</v>
      </c>
      <c r="BA366" t="s">
        <v>74</v>
      </c>
      <c r="BB366" t="s">
        <v>74</v>
      </c>
      <c r="BC366" t="s">
        <v>74</v>
      </c>
      <c r="BD366">
        <v>132500</v>
      </c>
      <c r="BE366" t="s">
        <v>7532</v>
      </c>
      <c r="BF366" t="str">
        <f>HYPERLINK("http://dx.doi.org/10.1016/j.chemosphere.2021.132500","http://dx.doi.org/10.1016/j.chemosphere.2021.132500")</f>
        <v>http://dx.doi.org/10.1016/j.chemosphere.2021.132500</v>
      </c>
      <c r="BG366" t="s">
        <v>74</v>
      </c>
      <c r="BH366" t="s">
        <v>5766</v>
      </c>
      <c r="BI366">
        <v>8</v>
      </c>
      <c r="BJ366" t="s">
        <v>856</v>
      </c>
      <c r="BK366" t="s">
        <v>101</v>
      </c>
      <c r="BL366" t="s">
        <v>630</v>
      </c>
      <c r="BM366" t="s">
        <v>7533</v>
      </c>
      <c r="BN366">
        <v>34656627</v>
      </c>
      <c r="BO366" t="s">
        <v>74</v>
      </c>
      <c r="BP366" t="s">
        <v>74</v>
      </c>
      <c r="BQ366" t="s">
        <v>74</v>
      </c>
      <c r="BR366" t="s">
        <v>105</v>
      </c>
      <c r="BS366" t="s">
        <v>7534</v>
      </c>
      <c r="BT366" t="str">
        <f>HYPERLINK("https%3A%2F%2Fwww.webofscience.com%2Fwos%2Fwoscc%2Ffull-record%2FWOS:000710096100003","View Full Record in Web of Science")</f>
        <v>View Full Record in Web of Science</v>
      </c>
    </row>
    <row r="367" spans="1:72" x14ac:dyDescent="0.15">
      <c r="A367" t="s">
        <v>72</v>
      </c>
      <c r="B367" t="s">
        <v>7535</v>
      </c>
      <c r="C367" t="s">
        <v>74</v>
      </c>
      <c r="D367" t="s">
        <v>74</v>
      </c>
      <c r="E367" t="s">
        <v>74</v>
      </c>
      <c r="F367" t="s">
        <v>7536</v>
      </c>
      <c r="G367" t="s">
        <v>74</v>
      </c>
      <c r="H367" t="s">
        <v>74</v>
      </c>
      <c r="I367" t="s">
        <v>7537</v>
      </c>
      <c r="J367" t="s">
        <v>1058</v>
      </c>
      <c r="K367" t="s">
        <v>74</v>
      </c>
      <c r="L367" t="s">
        <v>74</v>
      </c>
      <c r="M367" t="s">
        <v>78</v>
      </c>
      <c r="N367" t="s">
        <v>79</v>
      </c>
      <c r="O367" t="s">
        <v>74</v>
      </c>
      <c r="P367" t="s">
        <v>74</v>
      </c>
      <c r="Q367" t="s">
        <v>74</v>
      </c>
      <c r="R367" t="s">
        <v>74</v>
      </c>
      <c r="S367" t="s">
        <v>74</v>
      </c>
      <c r="T367" t="s">
        <v>74</v>
      </c>
      <c r="U367" t="s">
        <v>7538</v>
      </c>
      <c r="V367" t="s">
        <v>7539</v>
      </c>
      <c r="W367" t="s">
        <v>7540</v>
      </c>
      <c r="X367" t="s">
        <v>7541</v>
      </c>
      <c r="Y367" t="s">
        <v>7542</v>
      </c>
      <c r="Z367" t="s">
        <v>7543</v>
      </c>
      <c r="AA367" t="s">
        <v>7544</v>
      </c>
      <c r="AB367" t="s">
        <v>7545</v>
      </c>
      <c r="AC367" t="s">
        <v>7546</v>
      </c>
      <c r="AD367" t="s">
        <v>7547</v>
      </c>
      <c r="AE367" t="s">
        <v>7548</v>
      </c>
      <c r="AF367" t="s">
        <v>74</v>
      </c>
      <c r="AG367">
        <v>61</v>
      </c>
      <c r="AH367">
        <v>10</v>
      </c>
      <c r="AI367">
        <v>10</v>
      </c>
      <c r="AJ367">
        <v>0</v>
      </c>
      <c r="AK367">
        <v>2</v>
      </c>
      <c r="AL367" t="s">
        <v>227</v>
      </c>
      <c r="AM367" t="s">
        <v>228</v>
      </c>
      <c r="AN367" t="s">
        <v>229</v>
      </c>
      <c r="AO367" t="s">
        <v>1065</v>
      </c>
      <c r="AP367" t="s">
        <v>1066</v>
      </c>
      <c r="AQ367" t="s">
        <v>74</v>
      </c>
      <c r="AR367" t="s">
        <v>1058</v>
      </c>
      <c r="AS367" t="s">
        <v>1067</v>
      </c>
      <c r="AT367" t="s">
        <v>7549</v>
      </c>
      <c r="AU367">
        <v>2021</v>
      </c>
      <c r="AV367">
        <v>15</v>
      </c>
      <c r="AW367">
        <v>10</v>
      </c>
      <c r="AX367" t="s">
        <v>74</v>
      </c>
      <c r="AY367" t="s">
        <v>74</v>
      </c>
      <c r="AZ367" t="s">
        <v>74</v>
      </c>
      <c r="BA367" t="s">
        <v>74</v>
      </c>
      <c r="BB367">
        <v>4873</v>
      </c>
      <c r="BC367">
        <v>4900</v>
      </c>
      <c r="BD367" t="s">
        <v>74</v>
      </c>
      <c r="BE367" t="s">
        <v>7550</v>
      </c>
      <c r="BF367" t="str">
        <f>HYPERLINK("http://dx.doi.org/10.5194/tc-15-4873-2021","http://dx.doi.org/10.5194/tc-15-4873-2021")</f>
        <v>http://dx.doi.org/10.5194/tc-15-4873-2021</v>
      </c>
      <c r="BG367" t="s">
        <v>74</v>
      </c>
      <c r="BH367" t="s">
        <v>74</v>
      </c>
      <c r="BI367">
        <v>28</v>
      </c>
      <c r="BJ367" t="s">
        <v>340</v>
      </c>
      <c r="BK367" t="s">
        <v>101</v>
      </c>
      <c r="BL367" t="s">
        <v>341</v>
      </c>
      <c r="BM367" t="s">
        <v>7551</v>
      </c>
      <c r="BN367" t="s">
        <v>74</v>
      </c>
      <c r="BO367" t="s">
        <v>554</v>
      </c>
      <c r="BP367" t="s">
        <v>74</v>
      </c>
      <c r="BQ367" t="s">
        <v>74</v>
      </c>
      <c r="BR367" t="s">
        <v>105</v>
      </c>
      <c r="BS367" t="s">
        <v>7552</v>
      </c>
      <c r="BT367" t="str">
        <f>HYPERLINK("https%3A%2F%2Fwww.webofscience.com%2Fwos%2Fwoscc%2Ffull-record%2FWOS:000710519200001","View Full Record in Web of Science")</f>
        <v>View Full Record in Web of Science</v>
      </c>
    </row>
    <row r="368" spans="1:72" x14ac:dyDescent="0.15">
      <c r="A368" t="s">
        <v>72</v>
      </c>
      <c r="B368" t="s">
        <v>7553</v>
      </c>
      <c r="C368" t="s">
        <v>74</v>
      </c>
      <c r="D368" t="s">
        <v>74</v>
      </c>
      <c r="E368" t="s">
        <v>74</v>
      </c>
      <c r="F368" t="s">
        <v>7554</v>
      </c>
      <c r="G368" t="s">
        <v>74</v>
      </c>
      <c r="H368" t="s">
        <v>74</v>
      </c>
      <c r="I368" t="s">
        <v>7555</v>
      </c>
      <c r="J368" t="s">
        <v>2972</v>
      </c>
      <c r="K368" t="s">
        <v>74</v>
      </c>
      <c r="L368" t="s">
        <v>74</v>
      </c>
      <c r="M368" t="s">
        <v>78</v>
      </c>
      <c r="N368" t="s">
        <v>79</v>
      </c>
      <c r="O368" t="s">
        <v>74</v>
      </c>
      <c r="P368" t="s">
        <v>74</v>
      </c>
      <c r="Q368" t="s">
        <v>74</v>
      </c>
      <c r="R368" t="s">
        <v>74</v>
      </c>
      <c r="S368" t="s">
        <v>74</v>
      </c>
      <c r="T368" t="s">
        <v>7556</v>
      </c>
      <c r="U368" t="s">
        <v>7557</v>
      </c>
      <c r="V368" t="s">
        <v>7558</v>
      </c>
      <c r="W368" t="s">
        <v>7559</v>
      </c>
      <c r="X368" t="s">
        <v>7560</v>
      </c>
      <c r="Y368" t="s">
        <v>7561</v>
      </c>
      <c r="Z368" t="s">
        <v>7562</v>
      </c>
      <c r="AA368" t="s">
        <v>7563</v>
      </c>
      <c r="AB368" t="s">
        <v>7564</v>
      </c>
      <c r="AC368" t="s">
        <v>7565</v>
      </c>
      <c r="AD368" t="s">
        <v>7566</v>
      </c>
      <c r="AE368" t="s">
        <v>7567</v>
      </c>
      <c r="AF368" t="s">
        <v>74</v>
      </c>
      <c r="AG368">
        <v>88</v>
      </c>
      <c r="AH368">
        <v>3</v>
      </c>
      <c r="AI368">
        <v>3</v>
      </c>
      <c r="AJ368">
        <v>2</v>
      </c>
      <c r="AK368">
        <v>7</v>
      </c>
      <c r="AL368" t="s">
        <v>847</v>
      </c>
      <c r="AM368" t="s">
        <v>848</v>
      </c>
      <c r="AN368" t="s">
        <v>849</v>
      </c>
      <c r="AO368" t="s">
        <v>2985</v>
      </c>
      <c r="AP368" t="s">
        <v>2986</v>
      </c>
      <c r="AQ368" t="s">
        <v>74</v>
      </c>
      <c r="AR368" t="s">
        <v>2987</v>
      </c>
      <c r="AS368" t="s">
        <v>2988</v>
      </c>
      <c r="AT368" t="s">
        <v>627</v>
      </c>
      <c r="AU368">
        <v>2021</v>
      </c>
      <c r="AV368">
        <v>168</v>
      </c>
      <c r="AW368" t="s">
        <v>74</v>
      </c>
      <c r="AX368" t="s">
        <v>74</v>
      </c>
      <c r="AY368" t="s">
        <v>74</v>
      </c>
      <c r="AZ368" t="s">
        <v>74</v>
      </c>
      <c r="BA368" t="s">
        <v>74</v>
      </c>
      <c r="BB368" t="s">
        <v>74</v>
      </c>
      <c r="BC368" t="s">
        <v>74</v>
      </c>
      <c r="BD368">
        <v>102056</v>
      </c>
      <c r="BE368" t="s">
        <v>7568</v>
      </c>
      <c r="BF368" t="str">
        <f>HYPERLINK("http://dx.doi.org/10.1016/j.marmicro.2021.102056","http://dx.doi.org/10.1016/j.marmicro.2021.102056")</f>
        <v>http://dx.doi.org/10.1016/j.marmicro.2021.102056</v>
      </c>
      <c r="BG368" t="s">
        <v>74</v>
      </c>
      <c r="BH368" t="s">
        <v>5766</v>
      </c>
      <c r="BI368">
        <v>12</v>
      </c>
      <c r="BJ368" t="s">
        <v>2990</v>
      </c>
      <c r="BK368" t="s">
        <v>101</v>
      </c>
      <c r="BL368" t="s">
        <v>2990</v>
      </c>
      <c r="BM368" t="s">
        <v>7569</v>
      </c>
      <c r="BN368" t="s">
        <v>74</v>
      </c>
      <c r="BO368" t="s">
        <v>74</v>
      </c>
      <c r="BP368" t="s">
        <v>74</v>
      </c>
      <c r="BQ368" t="s">
        <v>74</v>
      </c>
      <c r="BR368" t="s">
        <v>105</v>
      </c>
      <c r="BS368" t="s">
        <v>7570</v>
      </c>
      <c r="BT368" t="str">
        <f>HYPERLINK("https%3A%2F%2Fwww.webofscience.com%2Fwos%2Fwoscc%2Ffull-record%2FWOS:000711422200001","View Full Record in Web of Science")</f>
        <v>View Full Record in Web of Science</v>
      </c>
    </row>
    <row r="369" spans="1:72" x14ac:dyDescent="0.15">
      <c r="A369" t="s">
        <v>72</v>
      </c>
      <c r="B369" t="s">
        <v>7571</v>
      </c>
      <c r="C369" t="s">
        <v>74</v>
      </c>
      <c r="D369" t="s">
        <v>74</v>
      </c>
      <c r="E369" t="s">
        <v>74</v>
      </c>
      <c r="F369" t="s">
        <v>7572</v>
      </c>
      <c r="G369" t="s">
        <v>74</v>
      </c>
      <c r="H369" t="s">
        <v>74</v>
      </c>
      <c r="I369" t="s">
        <v>7573</v>
      </c>
      <c r="J369" t="s">
        <v>1401</v>
      </c>
      <c r="K369" t="s">
        <v>74</v>
      </c>
      <c r="L369" t="s">
        <v>74</v>
      </c>
      <c r="M369" t="s">
        <v>78</v>
      </c>
      <c r="N369" t="s">
        <v>7574</v>
      </c>
      <c r="O369" t="s">
        <v>74</v>
      </c>
      <c r="P369" t="s">
        <v>74</v>
      </c>
      <c r="Q369" t="s">
        <v>74</v>
      </c>
      <c r="R369" t="s">
        <v>74</v>
      </c>
      <c r="S369" t="s">
        <v>74</v>
      </c>
      <c r="T369" t="s">
        <v>74</v>
      </c>
      <c r="U369" t="s">
        <v>7575</v>
      </c>
      <c r="V369" t="s">
        <v>7576</v>
      </c>
      <c r="W369" t="s">
        <v>7577</v>
      </c>
      <c r="X369" t="s">
        <v>7578</v>
      </c>
      <c r="Y369" t="s">
        <v>7579</v>
      </c>
      <c r="Z369" t="s">
        <v>7580</v>
      </c>
      <c r="AA369" t="s">
        <v>7581</v>
      </c>
      <c r="AB369" t="s">
        <v>7582</v>
      </c>
      <c r="AC369" t="s">
        <v>7583</v>
      </c>
      <c r="AD369" t="s">
        <v>7584</v>
      </c>
      <c r="AE369" t="s">
        <v>7585</v>
      </c>
      <c r="AF369" t="s">
        <v>74</v>
      </c>
      <c r="AG369">
        <v>98</v>
      </c>
      <c r="AH369">
        <v>10</v>
      </c>
      <c r="AI369">
        <v>10</v>
      </c>
      <c r="AJ369">
        <v>1</v>
      </c>
      <c r="AK369">
        <v>6</v>
      </c>
      <c r="AL369" t="s">
        <v>227</v>
      </c>
      <c r="AM369" t="s">
        <v>228</v>
      </c>
      <c r="AN369" t="s">
        <v>229</v>
      </c>
      <c r="AO369" t="s">
        <v>1413</v>
      </c>
      <c r="AP369" t="s">
        <v>1414</v>
      </c>
      <c r="AQ369" t="s">
        <v>74</v>
      </c>
      <c r="AR369" t="s">
        <v>1415</v>
      </c>
      <c r="AS369" t="s">
        <v>1416</v>
      </c>
      <c r="AT369" t="s">
        <v>7549</v>
      </c>
      <c r="AU369">
        <v>2021</v>
      </c>
      <c r="AV369">
        <v>13</v>
      </c>
      <c r="AW369">
        <v>10</v>
      </c>
      <c r="AX369" t="s">
        <v>74</v>
      </c>
      <c r="AY369" t="s">
        <v>74</v>
      </c>
      <c r="AZ369" t="s">
        <v>74</v>
      </c>
      <c r="BA369" t="s">
        <v>74</v>
      </c>
      <c r="BB369">
        <v>4759</v>
      </c>
      <c r="BC369">
        <v>4777</v>
      </c>
      <c r="BD369" t="s">
        <v>74</v>
      </c>
      <c r="BE369" t="s">
        <v>7586</v>
      </c>
      <c r="BF369" t="str">
        <f>HYPERLINK("http://dx.doi.org/10.5194/essd-13-4759-2021","http://dx.doi.org/10.5194/essd-13-4759-2021")</f>
        <v>http://dx.doi.org/10.5194/essd-13-4759-2021</v>
      </c>
      <c r="BG369" t="s">
        <v>74</v>
      </c>
      <c r="BH369" t="s">
        <v>74</v>
      </c>
      <c r="BI369">
        <v>19</v>
      </c>
      <c r="BJ369" t="s">
        <v>1418</v>
      </c>
      <c r="BK369" t="s">
        <v>101</v>
      </c>
      <c r="BL369" t="s">
        <v>1419</v>
      </c>
      <c r="BM369" t="s">
        <v>7587</v>
      </c>
      <c r="BN369" t="s">
        <v>74</v>
      </c>
      <c r="BO369" t="s">
        <v>3985</v>
      </c>
      <c r="BP369" t="s">
        <v>74</v>
      </c>
      <c r="BQ369" t="s">
        <v>74</v>
      </c>
      <c r="BR369" t="s">
        <v>105</v>
      </c>
      <c r="BS369" t="s">
        <v>7588</v>
      </c>
      <c r="BT369" t="str">
        <f>HYPERLINK("https%3A%2F%2Fwww.webofscience.com%2Fwos%2Fwoscc%2Ffull-record%2FWOS:000709454600001","View Full Record in Web of Science")</f>
        <v>View Full Record in Web of Science</v>
      </c>
    </row>
    <row r="370" spans="1:72" x14ac:dyDescent="0.15">
      <c r="A370" t="s">
        <v>72</v>
      </c>
      <c r="B370" t="s">
        <v>7589</v>
      </c>
      <c r="C370" t="s">
        <v>74</v>
      </c>
      <c r="D370" t="s">
        <v>74</v>
      </c>
      <c r="E370" t="s">
        <v>74</v>
      </c>
      <c r="F370" t="s">
        <v>7590</v>
      </c>
      <c r="G370" t="s">
        <v>74</v>
      </c>
      <c r="H370" t="s">
        <v>74</v>
      </c>
      <c r="I370" t="s">
        <v>7591</v>
      </c>
      <c r="J370" t="s">
        <v>7592</v>
      </c>
      <c r="K370" t="s">
        <v>74</v>
      </c>
      <c r="L370" t="s">
        <v>74</v>
      </c>
      <c r="M370" t="s">
        <v>78</v>
      </c>
      <c r="N370" t="s">
        <v>79</v>
      </c>
      <c r="O370" t="s">
        <v>74</v>
      </c>
      <c r="P370" t="s">
        <v>74</v>
      </c>
      <c r="Q370" t="s">
        <v>74</v>
      </c>
      <c r="R370" t="s">
        <v>74</v>
      </c>
      <c r="S370" t="s">
        <v>74</v>
      </c>
      <c r="T370" t="s">
        <v>7593</v>
      </c>
      <c r="U370" t="s">
        <v>7594</v>
      </c>
      <c r="V370" t="s">
        <v>7595</v>
      </c>
      <c r="W370" t="s">
        <v>7596</v>
      </c>
      <c r="X370" t="s">
        <v>7597</v>
      </c>
      <c r="Y370" t="s">
        <v>7598</v>
      </c>
      <c r="Z370" t="s">
        <v>7599</v>
      </c>
      <c r="AA370" t="s">
        <v>7600</v>
      </c>
      <c r="AB370" t="s">
        <v>7601</v>
      </c>
      <c r="AC370" t="s">
        <v>7602</v>
      </c>
      <c r="AD370" t="s">
        <v>7603</v>
      </c>
      <c r="AE370" t="s">
        <v>7604</v>
      </c>
      <c r="AF370" t="s">
        <v>74</v>
      </c>
      <c r="AG370">
        <v>102</v>
      </c>
      <c r="AH370">
        <v>1</v>
      </c>
      <c r="AI370">
        <v>1</v>
      </c>
      <c r="AJ370">
        <v>1</v>
      </c>
      <c r="AK370">
        <v>3</v>
      </c>
      <c r="AL370" t="s">
        <v>198</v>
      </c>
      <c r="AM370" t="s">
        <v>199</v>
      </c>
      <c r="AN370" t="s">
        <v>200</v>
      </c>
      <c r="AO370" t="s">
        <v>7605</v>
      </c>
      <c r="AP370" t="s">
        <v>7606</v>
      </c>
      <c r="AQ370" t="s">
        <v>74</v>
      </c>
      <c r="AR370" t="s">
        <v>7592</v>
      </c>
      <c r="AS370" t="s">
        <v>7607</v>
      </c>
      <c r="AT370" t="s">
        <v>7608</v>
      </c>
      <c r="AU370">
        <v>2021</v>
      </c>
      <c r="AV370">
        <v>45</v>
      </c>
      <c r="AW370">
        <v>3</v>
      </c>
      <c r="AX370" t="s">
        <v>74</v>
      </c>
      <c r="AY370" t="s">
        <v>74</v>
      </c>
      <c r="AZ370" t="s">
        <v>74</v>
      </c>
      <c r="BA370" t="s">
        <v>74</v>
      </c>
      <c r="BB370">
        <v>369</v>
      </c>
      <c r="BC370">
        <v>381</v>
      </c>
      <c r="BD370" t="s">
        <v>74</v>
      </c>
      <c r="BE370" t="s">
        <v>7609</v>
      </c>
      <c r="BF370" t="str">
        <f>HYPERLINK("http://dx.doi.org/10.1080/03115518.2021.1966647","http://dx.doi.org/10.1080/03115518.2021.1966647")</f>
        <v>http://dx.doi.org/10.1080/03115518.2021.1966647</v>
      </c>
      <c r="BG370" t="s">
        <v>74</v>
      </c>
      <c r="BH370" t="s">
        <v>5766</v>
      </c>
      <c r="BI370">
        <v>13</v>
      </c>
      <c r="BJ370" t="s">
        <v>2990</v>
      </c>
      <c r="BK370" t="s">
        <v>101</v>
      </c>
      <c r="BL370" t="s">
        <v>2990</v>
      </c>
      <c r="BM370" t="s">
        <v>7610</v>
      </c>
      <c r="BN370" t="s">
        <v>74</v>
      </c>
      <c r="BO370" t="s">
        <v>74</v>
      </c>
      <c r="BP370" t="s">
        <v>74</v>
      </c>
      <c r="BQ370" t="s">
        <v>74</v>
      </c>
      <c r="BR370" t="s">
        <v>105</v>
      </c>
      <c r="BS370" t="s">
        <v>7611</v>
      </c>
      <c r="BT370" t="str">
        <f>HYPERLINK("https%3A%2F%2Fwww.webofscience.com%2Fwos%2Fwoscc%2Ffull-record%2FWOS:000709183400001","View Full Record in Web of Science")</f>
        <v>View Full Record in Web of Science</v>
      </c>
    </row>
    <row r="371" spans="1:72" x14ac:dyDescent="0.15">
      <c r="A371" t="s">
        <v>72</v>
      </c>
      <c r="B371" t="s">
        <v>450</v>
      </c>
      <c r="C371" t="s">
        <v>74</v>
      </c>
      <c r="D371" t="s">
        <v>74</v>
      </c>
      <c r="E371" t="s">
        <v>74</v>
      </c>
      <c r="F371" t="s">
        <v>451</v>
      </c>
      <c r="G371" t="s">
        <v>74</v>
      </c>
      <c r="H371" t="s">
        <v>74</v>
      </c>
      <c r="I371" t="s">
        <v>7612</v>
      </c>
      <c r="J371" t="s">
        <v>453</v>
      </c>
      <c r="K371" t="s">
        <v>74</v>
      </c>
      <c r="L371" t="s">
        <v>74</v>
      </c>
      <c r="M371" t="s">
        <v>78</v>
      </c>
      <c r="N371" t="s">
        <v>79</v>
      </c>
      <c r="O371" t="s">
        <v>74</v>
      </c>
      <c r="P371" t="s">
        <v>74</v>
      </c>
      <c r="Q371" t="s">
        <v>74</v>
      </c>
      <c r="R371" t="s">
        <v>74</v>
      </c>
      <c r="S371" t="s">
        <v>74</v>
      </c>
      <c r="T371" t="s">
        <v>74</v>
      </c>
      <c r="U371" t="s">
        <v>7613</v>
      </c>
      <c r="V371" t="s">
        <v>7614</v>
      </c>
      <c r="W371" t="s">
        <v>7615</v>
      </c>
      <c r="X371" t="s">
        <v>7616</v>
      </c>
      <c r="Y371" t="s">
        <v>7617</v>
      </c>
      <c r="Z371" t="s">
        <v>459</v>
      </c>
      <c r="AA371" t="s">
        <v>74</v>
      </c>
      <c r="AB371" t="s">
        <v>7618</v>
      </c>
      <c r="AC371" t="s">
        <v>7619</v>
      </c>
      <c r="AD371" t="s">
        <v>7620</v>
      </c>
      <c r="AE371" t="s">
        <v>7621</v>
      </c>
      <c r="AF371" t="s">
        <v>74</v>
      </c>
      <c r="AG371">
        <v>117</v>
      </c>
      <c r="AH371">
        <v>18</v>
      </c>
      <c r="AI371">
        <v>20</v>
      </c>
      <c r="AJ371">
        <v>0</v>
      </c>
      <c r="AK371">
        <v>0</v>
      </c>
      <c r="AL371" t="s">
        <v>464</v>
      </c>
      <c r="AM371" t="s">
        <v>465</v>
      </c>
      <c r="AN371" t="s">
        <v>466</v>
      </c>
      <c r="AO371" t="s">
        <v>467</v>
      </c>
      <c r="AP371" t="s">
        <v>468</v>
      </c>
      <c r="AQ371" t="s">
        <v>74</v>
      </c>
      <c r="AR371" t="s">
        <v>469</v>
      </c>
      <c r="AS371" t="s">
        <v>470</v>
      </c>
      <c r="AT371" t="s">
        <v>7549</v>
      </c>
      <c r="AU371">
        <v>2021</v>
      </c>
      <c r="AV371">
        <v>104</v>
      </c>
      <c r="AW371">
        <v>7</v>
      </c>
      <c r="AX371" t="s">
        <v>74</v>
      </c>
      <c r="AY371" t="s">
        <v>74</v>
      </c>
      <c r="AZ371" t="s">
        <v>74</v>
      </c>
      <c r="BA371" t="s">
        <v>74</v>
      </c>
      <c r="BB371" t="s">
        <v>74</v>
      </c>
      <c r="BC371" t="s">
        <v>74</v>
      </c>
      <c r="BD371">
        <v>75023</v>
      </c>
      <c r="BE371" t="s">
        <v>7622</v>
      </c>
      <c r="BF371" t="str">
        <f>HYPERLINK("http://dx.doi.org/10.1103/PhysRevD.104.075023","http://dx.doi.org/10.1103/PhysRevD.104.075023")</f>
        <v>http://dx.doi.org/10.1103/PhysRevD.104.075023</v>
      </c>
      <c r="BG371" t="s">
        <v>74</v>
      </c>
      <c r="BH371" t="s">
        <v>74</v>
      </c>
      <c r="BI371">
        <v>37</v>
      </c>
      <c r="BJ371" t="s">
        <v>472</v>
      </c>
      <c r="BK371" t="s">
        <v>101</v>
      </c>
      <c r="BL371" t="s">
        <v>473</v>
      </c>
      <c r="BM371" t="s">
        <v>7623</v>
      </c>
      <c r="BN371" t="s">
        <v>74</v>
      </c>
      <c r="BO371" t="s">
        <v>419</v>
      </c>
      <c r="BP371" t="s">
        <v>74</v>
      </c>
      <c r="BQ371" t="s">
        <v>74</v>
      </c>
      <c r="BR371" t="s">
        <v>105</v>
      </c>
      <c r="BS371" t="s">
        <v>7624</v>
      </c>
      <c r="BT371" t="str">
        <f>HYPERLINK("https%3A%2F%2Fwww.webofscience.com%2Fwos%2Fwoscc%2Ffull-record%2FWOS:000708664800006","View Full Record in Web of Science")</f>
        <v>View Full Record in Web of Science</v>
      </c>
    </row>
    <row r="372" spans="1:72" x14ac:dyDescent="0.15">
      <c r="A372" t="s">
        <v>72</v>
      </c>
      <c r="B372" t="s">
        <v>7625</v>
      </c>
      <c r="C372" t="s">
        <v>74</v>
      </c>
      <c r="D372" t="s">
        <v>74</v>
      </c>
      <c r="E372" t="s">
        <v>74</v>
      </c>
      <c r="F372" t="s">
        <v>7626</v>
      </c>
      <c r="G372" t="s">
        <v>74</v>
      </c>
      <c r="H372" t="s">
        <v>74</v>
      </c>
      <c r="I372" t="s">
        <v>7627</v>
      </c>
      <c r="J372" t="s">
        <v>7628</v>
      </c>
      <c r="K372" t="s">
        <v>74</v>
      </c>
      <c r="L372" t="s">
        <v>74</v>
      </c>
      <c r="M372" t="s">
        <v>78</v>
      </c>
      <c r="N372" t="s">
        <v>79</v>
      </c>
      <c r="O372" t="s">
        <v>74</v>
      </c>
      <c r="P372" t="s">
        <v>74</v>
      </c>
      <c r="Q372" t="s">
        <v>74</v>
      </c>
      <c r="R372" t="s">
        <v>74</v>
      </c>
      <c r="S372" t="s">
        <v>74</v>
      </c>
      <c r="T372" t="s">
        <v>74</v>
      </c>
      <c r="U372" t="s">
        <v>7629</v>
      </c>
      <c r="V372" t="s">
        <v>7630</v>
      </c>
      <c r="W372" t="s">
        <v>7631</v>
      </c>
      <c r="X372" t="s">
        <v>7632</v>
      </c>
      <c r="Y372" t="s">
        <v>7633</v>
      </c>
      <c r="Z372" t="s">
        <v>7634</v>
      </c>
      <c r="AA372" t="s">
        <v>7635</v>
      </c>
      <c r="AB372" t="s">
        <v>7636</v>
      </c>
      <c r="AC372" t="s">
        <v>7637</v>
      </c>
      <c r="AD372" t="s">
        <v>7638</v>
      </c>
      <c r="AE372" t="s">
        <v>7639</v>
      </c>
      <c r="AF372" t="s">
        <v>74</v>
      </c>
      <c r="AG372">
        <v>92</v>
      </c>
      <c r="AH372">
        <v>1</v>
      </c>
      <c r="AI372">
        <v>1</v>
      </c>
      <c r="AJ372">
        <v>0</v>
      </c>
      <c r="AK372">
        <v>0</v>
      </c>
      <c r="AL372" t="s">
        <v>227</v>
      </c>
      <c r="AM372" t="s">
        <v>228</v>
      </c>
      <c r="AN372" t="s">
        <v>229</v>
      </c>
      <c r="AO372" t="s">
        <v>74</v>
      </c>
      <c r="AP372" t="s">
        <v>7640</v>
      </c>
      <c r="AQ372" t="s">
        <v>74</v>
      </c>
      <c r="AR372" t="s">
        <v>7628</v>
      </c>
      <c r="AS372" t="s">
        <v>7641</v>
      </c>
      <c r="AT372" t="s">
        <v>7549</v>
      </c>
      <c r="AU372">
        <v>2021</v>
      </c>
      <c r="AV372">
        <v>3</v>
      </c>
      <c r="AW372">
        <v>2</v>
      </c>
      <c r="AX372" t="s">
        <v>74</v>
      </c>
      <c r="AY372" t="s">
        <v>74</v>
      </c>
      <c r="AZ372" t="s">
        <v>74</v>
      </c>
      <c r="BA372" t="s">
        <v>74</v>
      </c>
      <c r="BB372">
        <v>505</v>
      </c>
      <c r="BC372">
        <v>523</v>
      </c>
      <c r="BD372" t="s">
        <v>74</v>
      </c>
      <c r="BE372" t="s">
        <v>7642</v>
      </c>
      <c r="BF372" t="str">
        <f>HYPERLINK("http://dx.doi.org/10.5194/gchron-3-505-2021","http://dx.doi.org/10.5194/gchron-3-505-2021")</f>
        <v>http://dx.doi.org/10.5194/gchron-3-505-2021</v>
      </c>
      <c r="BG372" t="s">
        <v>74</v>
      </c>
      <c r="BH372" t="s">
        <v>74</v>
      </c>
      <c r="BI372">
        <v>19</v>
      </c>
      <c r="BJ372" t="s">
        <v>7643</v>
      </c>
      <c r="BK372" t="s">
        <v>1629</v>
      </c>
      <c r="BL372" t="s">
        <v>7644</v>
      </c>
      <c r="BM372" t="s">
        <v>7645</v>
      </c>
      <c r="BN372" t="s">
        <v>74</v>
      </c>
      <c r="BO372" t="s">
        <v>554</v>
      </c>
      <c r="BP372" t="s">
        <v>74</v>
      </c>
      <c r="BQ372" t="s">
        <v>74</v>
      </c>
      <c r="BR372" t="s">
        <v>105</v>
      </c>
      <c r="BS372" t="s">
        <v>7646</v>
      </c>
      <c r="BT372" t="str">
        <f>HYPERLINK("https%3A%2F%2Fwww.webofscience.com%2Fwos%2Fwoscc%2Ffull-record%2FWOS:001161829600001","View Full Record in Web of Science")</f>
        <v>View Full Record in Web of Science</v>
      </c>
    </row>
    <row r="373" spans="1:72" x14ac:dyDescent="0.15">
      <c r="A373" t="s">
        <v>72</v>
      </c>
      <c r="B373" t="s">
        <v>7647</v>
      </c>
      <c r="C373" t="s">
        <v>74</v>
      </c>
      <c r="D373" t="s">
        <v>74</v>
      </c>
      <c r="E373" t="s">
        <v>74</v>
      </c>
      <c r="F373" t="s">
        <v>7648</v>
      </c>
      <c r="G373" t="s">
        <v>74</v>
      </c>
      <c r="H373" t="s">
        <v>74</v>
      </c>
      <c r="I373" t="s">
        <v>7649</v>
      </c>
      <c r="J373" t="s">
        <v>7650</v>
      </c>
      <c r="K373" t="s">
        <v>74</v>
      </c>
      <c r="L373" t="s">
        <v>74</v>
      </c>
      <c r="M373" t="s">
        <v>78</v>
      </c>
      <c r="N373" t="s">
        <v>79</v>
      </c>
      <c r="O373" t="s">
        <v>74</v>
      </c>
      <c r="P373" t="s">
        <v>74</v>
      </c>
      <c r="Q373" t="s">
        <v>74</v>
      </c>
      <c r="R373" t="s">
        <v>74</v>
      </c>
      <c r="S373" t="s">
        <v>74</v>
      </c>
      <c r="T373" t="s">
        <v>7651</v>
      </c>
      <c r="U373" t="s">
        <v>7652</v>
      </c>
      <c r="V373" t="s">
        <v>7653</v>
      </c>
      <c r="W373" t="s">
        <v>7654</v>
      </c>
      <c r="X373" t="s">
        <v>7655</v>
      </c>
      <c r="Y373" t="s">
        <v>7656</v>
      </c>
      <c r="Z373" t="s">
        <v>7657</v>
      </c>
      <c r="AA373" t="s">
        <v>7658</v>
      </c>
      <c r="AB373" t="s">
        <v>7659</v>
      </c>
      <c r="AC373" t="s">
        <v>7660</v>
      </c>
      <c r="AD373" t="s">
        <v>7661</v>
      </c>
      <c r="AE373" t="s">
        <v>7662</v>
      </c>
      <c r="AF373" t="s">
        <v>74</v>
      </c>
      <c r="AG373">
        <v>38</v>
      </c>
      <c r="AH373">
        <v>1</v>
      </c>
      <c r="AI373">
        <v>1</v>
      </c>
      <c r="AJ373">
        <v>2</v>
      </c>
      <c r="AK373">
        <v>13</v>
      </c>
      <c r="AL373" t="s">
        <v>7663</v>
      </c>
      <c r="AM373" t="s">
        <v>7664</v>
      </c>
      <c r="AN373" t="s">
        <v>7665</v>
      </c>
      <c r="AO373" t="s">
        <v>7666</v>
      </c>
      <c r="AP373" t="s">
        <v>74</v>
      </c>
      <c r="AQ373" t="s">
        <v>74</v>
      </c>
      <c r="AR373" t="s">
        <v>7667</v>
      </c>
      <c r="AS373" t="s">
        <v>7668</v>
      </c>
      <c r="AT373" t="s">
        <v>98</v>
      </c>
      <c r="AU373">
        <v>2021</v>
      </c>
      <c r="AV373">
        <v>12</v>
      </c>
      <c r="AW373">
        <v>12</v>
      </c>
      <c r="AX373" t="s">
        <v>74</v>
      </c>
      <c r="AY373" t="s">
        <v>74</v>
      </c>
      <c r="AZ373" t="s">
        <v>74</v>
      </c>
      <c r="BA373" t="s">
        <v>74</v>
      </c>
      <c r="BB373" t="s">
        <v>74</v>
      </c>
      <c r="BC373" t="s">
        <v>74</v>
      </c>
      <c r="BD373">
        <v>101226</v>
      </c>
      <c r="BE373" t="s">
        <v>7669</v>
      </c>
      <c r="BF373" t="str">
        <f>HYPERLINK("http://dx.doi.org/10.1016/j.apr.2021.101226","http://dx.doi.org/10.1016/j.apr.2021.101226")</f>
        <v>http://dx.doi.org/10.1016/j.apr.2021.101226</v>
      </c>
      <c r="BG373" t="s">
        <v>74</v>
      </c>
      <c r="BH373" t="s">
        <v>5766</v>
      </c>
      <c r="BI373">
        <v>14</v>
      </c>
      <c r="BJ373" t="s">
        <v>856</v>
      </c>
      <c r="BK373" t="s">
        <v>101</v>
      </c>
      <c r="BL373" t="s">
        <v>630</v>
      </c>
      <c r="BM373" t="s">
        <v>7670</v>
      </c>
      <c r="BN373" t="s">
        <v>74</v>
      </c>
      <c r="BO373" t="s">
        <v>74</v>
      </c>
      <c r="BP373" t="s">
        <v>74</v>
      </c>
      <c r="BQ373" t="s">
        <v>74</v>
      </c>
      <c r="BR373" t="s">
        <v>105</v>
      </c>
      <c r="BS373" t="s">
        <v>7671</v>
      </c>
      <c r="BT373" t="str">
        <f>HYPERLINK("https%3A%2F%2Fwww.webofscience.com%2Fwos%2Fwoscc%2Ffull-record%2FWOS:000741377200006","View Full Record in Web of Science")</f>
        <v>View Full Record in Web of Science</v>
      </c>
    </row>
    <row r="374" spans="1:72" x14ac:dyDescent="0.15">
      <c r="A374" t="s">
        <v>72</v>
      </c>
      <c r="B374" t="s">
        <v>7672</v>
      </c>
      <c r="C374" t="s">
        <v>74</v>
      </c>
      <c r="D374" t="s">
        <v>74</v>
      </c>
      <c r="E374" t="s">
        <v>74</v>
      </c>
      <c r="F374" t="s">
        <v>7673</v>
      </c>
      <c r="G374" t="s">
        <v>74</v>
      </c>
      <c r="H374" t="s">
        <v>74</v>
      </c>
      <c r="I374" t="s">
        <v>7674</v>
      </c>
      <c r="J374" t="s">
        <v>659</v>
      </c>
      <c r="K374" t="s">
        <v>74</v>
      </c>
      <c r="L374" t="s">
        <v>74</v>
      </c>
      <c r="M374" t="s">
        <v>78</v>
      </c>
      <c r="N374" t="s">
        <v>79</v>
      </c>
      <c r="O374" t="s">
        <v>74</v>
      </c>
      <c r="P374" t="s">
        <v>74</v>
      </c>
      <c r="Q374" t="s">
        <v>74</v>
      </c>
      <c r="R374" t="s">
        <v>74</v>
      </c>
      <c r="S374" t="s">
        <v>74</v>
      </c>
      <c r="T374" t="s">
        <v>7675</v>
      </c>
      <c r="U374" t="s">
        <v>74</v>
      </c>
      <c r="V374" t="s">
        <v>7676</v>
      </c>
      <c r="W374" t="s">
        <v>7677</v>
      </c>
      <c r="X374" t="s">
        <v>7678</v>
      </c>
      <c r="Y374" t="s">
        <v>7679</v>
      </c>
      <c r="Z374" t="s">
        <v>7680</v>
      </c>
      <c r="AA374" t="s">
        <v>7681</v>
      </c>
      <c r="AB374" t="s">
        <v>7682</v>
      </c>
      <c r="AC374" t="s">
        <v>74</v>
      </c>
      <c r="AD374" t="s">
        <v>74</v>
      </c>
      <c r="AE374" t="s">
        <v>74</v>
      </c>
      <c r="AF374" t="s">
        <v>74</v>
      </c>
      <c r="AG374">
        <v>22</v>
      </c>
      <c r="AH374">
        <v>1</v>
      </c>
      <c r="AI374">
        <v>1</v>
      </c>
      <c r="AJ374">
        <v>0</v>
      </c>
      <c r="AK374">
        <v>2</v>
      </c>
      <c r="AL374" t="s">
        <v>666</v>
      </c>
      <c r="AM374" t="s">
        <v>170</v>
      </c>
      <c r="AN374" t="s">
        <v>667</v>
      </c>
      <c r="AO374" t="s">
        <v>668</v>
      </c>
      <c r="AP374" t="s">
        <v>669</v>
      </c>
      <c r="AQ374" t="s">
        <v>74</v>
      </c>
      <c r="AR374" t="s">
        <v>670</v>
      </c>
      <c r="AS374" t="s">
        <v>671</v>
      </c>
      <c r="AT374" t="s">
        <v>7683</v>
      </c>
      <c r="AU374">
        <v>2021</v>
      </c>
      <c r="AV374">
        <v>57</v>
      </c>
      <c r="AW374" t="s">
        <v>74</v>
      </c>
      <c r="AX374" t="s">
        <v>74</v>
      </c>
      <c r="AY374" t="s">
        <v>74</v>
      </c>
      <c r="AZ374" t="s">
        <v>74</v>
      </c>
      <c r="BA374" t="s">
        <v>74</v>
      </c>
      <c r="BB374" t="s">
        <v>74</v>
      </c>
      <c r="BC374" t="s">
        <v>74</v>
      </c>
      <c r="BD374" t="s">
        <v>7684</v>
      </c>
      <c r="BE374" t="s">
        <v>7685</v>
      </c>
      <c r="BF374" t="str">
        <f>HYPERLINK("http://dx.doi.org/10.1017/S0032247421000620","http://dx.doi.org/10.1017/S0032247421000620")</f>
        <v>http://dx.doi.org/10.1017/S0032247421000620</v>
      </c>
      <c r="BG374" t="s">
        <v>74</v>
      </c>
      <c r="BH374" t="s">
        <v>74</v>
      </c>
      <c r="BI374">
        <v>6</v>
      </c>
      <c r="BJ374" t="s">
        <v>674</v>
      </c>
      <c r="BK374" t="s">
        <v>101</v>
      </c>
      <c r="BL374" t="s">
        <v>630</v>
      </c>
      <c r="BM374" t="s">
        <v>7686</v>
      </c>
      <c r="BN374" t="s">
        <v>74</v>
      </c>
      <c r="BO374" t="s">
        <v>858</v>
      </c>
      <c r="BP374" t="s">
        <v>74</v>
      </c>
      <c r="BQ374" t="s">
        <v>74</v>
      </c>
      <c r="BR374" t="s">
        <v>105</v>
      </c>
      <c r="BS374" t="s">
        <v>7687</v>
      </c>
      <c r="BT374" t="str">
        <f>HYPERLINK("https%3A%2F%2Fwww.webofscience.com%2Fwos%2Fwoscc%2Ffull-record%2FWOS:000721262000001","View Full Record in Web of Science")</f>
        <v>View Full Record in Web of Science</v>
      </c>
    </row>
    <row r="375" spans="1:72" x14ac:dyDescent="0.15">
      <c r="A375" t="s">
        <v>72</v>
      </c>
      <c r="B375" t="s">
        <v>7688</v>
      </c>
      <c r="C375" t="s">
        <v>74</v>
      </c>
      <c r="D375" t="s">
        <v>74</v>
      </c>
      <c r="E375" t="s">
        <v>74</v>
      </c>
      <c r="F375" t="s">
        <v>7689</v>
      </c>
      <c r="G375" t="s">
        <v>74</v>
      </c>
      <c r="H375" t="s">
        <v>74</v>
      </c>
      <c r="I375" t="s">
        <v>7690</v>
      </c>
      <c r="J375" t="s">
        <v>7691</v>
      </c>
      <c r="K375" t="s">
        <v>74</v>
      </c>
      <c r="L375" t="s">
        <v>74</v>
      </c>
      <c r="M375" t="s">
        <v>78</v>
      </c>
      <c r="N375" t="s">
        <v>373</v>
      </c>
      <c r="O375" t="s">
        <v>74</v>
      </c>
      <c r="P375" t="s">
        <v>74</v>
      </c>
      <c r="Q375" t="s">
        <v>74</v>
      </c>
      <c r="R375" t="s">
        <v>74</v>
      </c>
      <c r="S375" t="s">
        <v>74</v>
      </c>
      <c r="T375" t="s">
        <v>7692</v>
      </c>
      <c r="U375" t="s">
        <v>7693</v>
      </c>
      <c r="V375" t="s">
        <v>7694</v>
      </c>
      <c r="W375" t="s">
        <v>7695</v>
      </c>
      <c r="X375" t="s">
        <v>7696</v>
      </c>
      <c r="Y375" t="s">
        <v>7697</v>
      </c>
      <c r="Z375" t="s">
        <v>7698</v>
      </c>
      <c r="AA375" t="s">
        <v>7699</v>
      </c>
      <c r="AB375" t="s">
        <v>7700</v>
      </c>
      <c r="AC375" t="s">
        <v>7701</v>
      </c>
      <c r="AD375" t="s">
        <v>7702</v>
      </c>
      <c r="AE375" t="s">
        <v>7703</v>
      </c>
      <c r="AF375" t="s">
        <v>74</v>
      </c>
      <c r="AG375">
        <v>216</v>
      </c>
      <c r="AH375">
        <v>19</v>
      </c>
      <c r="AI375">
        <v>20</v>
      </c>
      <c r="AJ375">
        <v>4</v>
      </c>
      <c r="AK375">
        <v>102</v>
      </c>
      <c r="AL375" t="s">
        <v>666</v>
      </c>
      <c r="AM375" t="s">
        <v>994</v>
      </c>
      <c r="AN375" t="s">
        <v>995</v>
      </c>
      <c r="AO375" t="s">
        <v>74</v>
      </c>
      <c r="AP375" t="s">
        <v>7704</v>
      </c>
      <c r="AQ375" t="s">
        <v>74</v>
      </c>
      <c r="AR375" t="s">
        <v>7705</v>
      </c>
      <c r="AS375" t="s">
        <v>7706</v>
      </c>
      <c r="AT375" t="s">
        <v>7683</v>
      </c>
      <c r="AU375">
        <v>2021</v>
      </c>
      <c r="AV375">
        <v>4</v>
      </c>
      <c r="AW375" t="s">
        <v>74</v>
      </c>
      <c r="AX375" t="s">
        <v>74</v>
      </c>
      <c r="AY375" t="s">
        <v>74</v>
      </c>
      <c r="AZ375" t="s">
        <v>74</v>
      </c>
      <c r="BA375" t="s">
        <v>74</v>
      </c>
      <c r="BB375" t="s">
        <v>74</v>
      </c>
      <c r="BC375" t="s">
        <v>74</v>
      </c>
      <c r="BD375" t="s">
        <v>7707</v>
      </c>
      <c r="BE375" t="s">
        <v>7708</v>
      </c>
      <c r="BF375" t="str">
        <f>HYPERLINK("http://dx.doi.org/10.1017/sus.2021.25","http://dx.doi.org/10.1017/sus.2021.25")</f>
        <v>http://dx.doi.org/10.1017/sus.2021.25</v>
      </c>
      <c r="BG375" t="s">
        <v>74</v>
      </c>
      <c r="BH375" t="s">
        <v>74</v>
      </c>
      <c r="BI375">
        <v>20</v>
      </c>
      <c r="BJ375" t="s">
        <v>1776</v>
      </c>
      <c r="BK375" t="s">
        <v>1629</v>
      </c>
      <c r="BL375" t="s">
        <v>1777</v>
      </c>
      <c r="BM375" t="s">
        <v>7709</v>
      </c>
      <c r="BN375" t="s">
        <v>74</v>
      </c>
      <c r="BO375" t="s">
        <v>104</v>
      </c>
      <c r="BP375" t="s">
        <v>74</v>
      </c>
      <c r="BQ375" t="s">
        <v>74</v>
      </c>
      <c r="BR375" t="s">
        <v>105</v>
      </c>
      <c r="BS375" t="s">
        <v>7710</v>
      </c>
      <c r="BT375" t="str">
        <f>HYPERLINK("https%3A%2F%2Fwww.webofscience.com%2Fwos%2Fwoscc%2Ffull-record%2FWOS:000718186200001","View Full Record in Web of Science")</f>
        <v>View Full Record in Web of Science</v>
      </c>
    </row>
    <row r="376" spans="1:72" x14ac:dyDescent="0.15">
      <c r="A376" t="s">
        <v>72</v>
      </c>
      <c r="B376" t="s">
        <v>7711</v>
      </c>
      <c r="C376" t="s">
        <v>74</v>
      </c>
      <c r="D376" t="s">
        <v>74</v>
      </c>
      <c r="E376" t="s">
        <v>74</v>
      </c>
      <c r="F376" t="s">
        <v>7712</v>
      </c>
      <c r="G376" t="s">
        <v>74</v>
      </c>
      <c r="H376" t="s">
        <v>74</v>
      </c>
      <c r="I376" t="s">
        <v>7713</v>
      </c>
      <c r="J376" t="s">
        <v>1253</v>
      </c>
      <c r="K376" t="s">
        <v>74</v>
      </c>
      <c r="L376" t="s">
        <v>74</v>
      </c>
      <c r="M376" t="s">
        <v>78</v>
      </c>
      <c r="N376" t="s">
        <v>79</v>
      </c>
      <c r="O376" t="s">
        <v>74</v>
      </c>
      <c r="P376" t="s">
        <v>74</v>
      </c>
      <c r="Q376" t="s">
        <v>74</v>
      </c>
      <c r="R376" t="s">
        <v>74</v>
      </c>
      <c r="S376" t="s">
        <v>74</v>
      </c>
      <c r="T376" t="s">
        <v>7714</v>
      </c>
      <c r="U376" t="s">
        <v>7715</v>
      </c>
      <c r="V376" t="s">
        <v>7716</v>
      </c>
      <c r="W376" t="s">
        <v>7717</v>
      </c>
      <c r="X376" t="s">
        <v>7718</v>
      </c>
      <c r="Y376" t="s">
        <v>7719</v>
      </c>
      <c r="Z376" t="s">
        <v>7720</v>
      </c>
      <c r="AA376" t="s">
        <v>74</v>
      </c>
      <c r="AB376" t="s">
        <v>74</v>
      </c>
      <c r="AC376" t="s">
        <v>7721</v>
      </c>
      <c r="AD376" t="s">
        <v>7722</v>
      </c>
      <c r="AE376" t="s">
        <v>7723</v>
      </c>
      <c r="AF376" t="s">
        <v>74</v>
      </c>
      <c r="AG376">
        <v>42</v>
      </c>
      <c r="AH376">
        <v>6</v>
      </c>
      <c r="AI376">
        <v>6</v>
      </c>
      <c r="AJ376">
        <v>4</v>
      </c>
      <c r="AK376">
        <v>15</v>
      </c>
      <c r="AL376" t="s">
        <v>847</v>
      </c>
      <c r="AM376" t="s">
        <v>848</v>
      </c>
      <c r="AN376" t="s">
        <v>849</v>
      </c>
      <c r="AO376" t="s">
        <v>1266</v>
      </c>
      <c r="AP376" t="s">
        <v>1267</v>
      </c>
      <c r="AQ376" t="s">
        <v>74</v>
      </c>
      <c r="AR376" t="s">
        <v>1268</v>
      </c>
      <c r="AS376" t="s">
        <v>1269</v>
      </c>
      <c r="AT376" t="s">
        <v>7724</v>
      </c>
      <c r="AU376">
        <v>2021</v>
      </c>
      <c r="AV376">
        <v>237</v>
      </c>
      <c r="AW376" t="s">
        <v>74</v>
      </c>
      <c r="AX376" t="s">
        <v>74</v>
      </c>
      <c r="AY376" t="s">
        <v>74</v>
      </c>
      <c r="AZ376" t="s">
        <v>74</v>
      </c>
      <c r="BA376" t="s">
        <v>74</v>
      </c>
      <c r="BB376" t="s">
        <v>74</v>
      </c>
      <c r="BC376" t="s">
        <v>74</v>
      </c>
      <c r="BD376">
        <v>104035</v>
      </c>
      <c r="BE376" t="s">
        <v>7725</v>
      </c>
      <c r="BF376" t="str">
        <f>HYPERLINK("http://dx.doi.org/10.1016/j.marchem.2021.104035","http://dx.doi.org/10.1016/j.marchem.2021.104035")</f>
        <v>http://dx.doi.org/10.1016/j.marchem.2021.104035</v>
      </c>
      <c r="BG376" t="s">
        <v>74</v>
      </c>
      <c r="BH376" t="s">
        <v>5766</v>
      </c>
      <c r="BI376">
        <v>9</v>
      </c>
      <c r="BJ376" t="s">
        <v>1272</v>
      </c>
      <c r="BK376" t="s">
        <v>101</v>
      </c>
      <c r="BL376" t="s">
        <v>1273</v>
      </c>
      <c r="BM376" t="s">
        <v>7726</v>
      </c>
      <c r="BN376" t="s">
        <v>74</v>
      </c>
      <c r="BO376" t="s">
        <v>74</v>
      </c>
      <c r="BP376" t="s">
        <v>74</v>
      </c>
      <c r="BQ376" t="s">
        <v>74</v>
      </c>
      <c r="BR376" t="s">
        <v>105</v>
      </c>
      <c r="BS376" t="s">
        <v>7727</v>
      </c>
      <c r="BT376" t="str">
        <f>HYPERLINK("https%3A%2F%2Fwww.webofscience.com%2Fwos%2Fwoscc%2Ffull-record%2FWOS:000711163300001","View Full Record in Web of Science")</f>
        <v>View Full Record in Web of Science</v>
      </c>
    </row>
    <row r="377" spans="1:72" x14ac:dyDescent="0.15">
      <c r="A377" t="s">
        <v>72</v>
      </c>
      <c r="B377" t="s">
        <v>7728</v>
      </c>
      <c r="C377" t="s">
        <v>74</v>
      </c>
      <c r="D377" t="s">
        <v>74</v>
      </c>
      <c r="E377" t="s">
        <v>74</v>
      </c>
      <c r="F377" t="s">
        <v>7729</v>
      </c>
      <c r="G377" t="s">
        <v>74</v>
      </c>
      <c r="H377" t="s">
        <v>74</v>
      </c>
      <c r="I377" t="s">
        <v>7730</v>
      </c>
      <c r="J377" t="s">
        <v>636</v>
      </c>
      <c r="K377" t="s">
        <v>74</v>
      </c>
      <c r="L377" t="s">
        <v>74</v>
      </c>
      <c r="M377" t="s">
        <v>78</v>
      </c>
      <c r="N377" t="s">
        <v>79</v>
      </c>
      <c r="O377" t="s">
        <v>74</v>
      </c>
      <c r="P377" t="s">
        <v>74</v>
      </c>
      <c r="Q377" t="s">
        <v>74</v>
      </c>
      <c r="R377" t="s">
        <v>74</v>
      </c>
      <c r="S377" t="s">
        <v>74</v>
      </c>
      <c r="T377" t="s">
        <v>7731</v>
      </c>
      <c r="U377" t="s">
        <v>7732</v>
      </c>
      <c r="V377" t="s">
        <v>7733</v>
      </c>
      <c r="W377" t="s">
        <v>7734</v>
      </c>
      <c r="X377" t="s">
        <v>7735</v>
      </c>
      <c r="Y377" t="s">
        <v>7736</v>
      </c>
      <c r="Z377" t="s">
        <v>7737</v>
      </c>
      <c r="AA377" t="s">
        <v>7738</v>
      </c>
      <c r="AB377" t="s">
        <v>7739</v>
      </c>
      <c r="AC377" t="s">
        <v>7740</v>
      </c>
      <c r="AD377" t="s">
        <v>7741</v>
      </c>
      <c r="AE377" t="s">
        <v>7742</v>
      </c>
      <c r="AF377" t="s">
        <v>74</v>
      </c>
      <c r="AG377">
        <v>117</v>
      </c>
      <c r="AH377">
        <v>3</v>
      </c>
      <c r="AI377">
        <v>3</v>
      </c>
      <c r="AJ377">
        <v>1</v>
      </c>
      <c r="AK377">
        <v>7</v>
      </c>
      <c r="AL377" t="s">
        <v>572</v>
      </c>
      <c r="AM377" t="s">
        <v>573</v>
      </c>
      <c r="AN377" t="s">
        <v>574</v>
      </c>
      <c r="AO377" t="s">
        <v>648</v>
      </c>
      <c r="AP377" t="s">
        <v>649</v>
      </c>
      <c r="AQ377" t="s">
        <v>74</v>
      </c>
      <c r="AR377" t="s">
        <v>650</v>
      </c>
      <c r="AS377" t="s">
        <v>651</v>
      </c>
      <c r="AT377" t="s">
        <v>652</v>
      </c>
      <c r="AU377">
        <v>2022</v>
      </c>
      <c r="AV377">
        <v>37</v>
      </c>
      <c r="AW377">
        <v>5</v>
      </c>
      <c r="AX377" t="s">
        <v>74</v>
      </c>
      <c r="AY377" t="s">
        <v>74</v>
      </c>
      <c r="AZ377" t="s">
        <v>526</v>
      </c>
      <c r="BA377" t="s">
        <v>74</v>
      </c>
      <c r="BB377">
        <v>836</v>
      </c>
      <c r="BC377">
        <v>850</v>
      </c>
      <c r="BD377" t="s">
        <v>74</v>
      </c>
      <c r="BE377" t="s">
        <v>7743</v>
      </c>
      <c r="BF377" t="str">
        <f>HYPERLINK("http://dx.doi.org/10.1002/jqs.3384","http://dx.doi.org/10.1002/jqs.3384")</f>
        <v>http://dx.doi.org/10.1002/jqs.3384</v>
      </c>
      <c r="BG377" t="s">
        <v>74</v>
      </c>
      <c r="BH377" t="s">
        <v>5766</v>
      </c>
      <c r="BI377">
        <v>15</v>
      </c>
      <c r="BJ377" t="s">
        <v>340</v>
      </c>
      <c r="BK377" t="s">
        <v>101</v>
      </c>
      <c r="BL377" t="s">
        <v>341</v>
      </c>
      <c r="BM377" t="s">
        <v>654</v>
      </c>
      <c r="BN377" t="s">
        <v>74</v>
      </c>
      <c r="BO377" t="s">
        <v>1471</v>
      </c>
      <c r="BP377" t="s">
        <v>74</v>
      </c>
      <c r="BQ377" t="s">
        <v>74</v>
      </c>
      <c r="BR377" t="s">
        <v>105</v>
      </c>
      <c r="BS377" t="s">
        <v>7744</v>
      </c>
      <c r="BT377" t="str">
        <f>HYPERLINK("https%3A%2F%2Fwww.webofscience.com%2Fwos%2Fwoscc%2Ffull-record%2FWOS:000708132500001","View Full Record in Web of Science")</f>
        <v>View Full Record in Web of Science</v>
      </c>
    </row>
    <row r="378" spans="1:72" x14ac:dyDescent="0.15">
      <c r="A378" t="s">
        <v>72</v>
      </c>
      <c r="B378" t="s">
        <v>7745</v>
      </c>
      <c r="C378" t="s">
        <v>74</v>
      </c>
      <c r="D378" t="s">
        <v>74</v>
      </c>
      <c r="E378" t="s">
        <v>74</v>
      </c>
      <c r="F378" t="s">
        <v>7746</v>
      </c>
      <c r="G378" t="s">
        <v>74</v>
      </c>
      <c r="H378" t="s">
        <v>74</v>
      </c>
      <c r="I378" t="s">
        <v>7747</v>
      </c>
      <c r="J378" t="s">
        <v>3664</v>
      </c>
      <c r="K378" t="s">
        <v>74</v>
      </c>
      <c r="L378" t="s">
        <v>74</v>
      </c>
      <c r="M378" t="s">
        <v>78</v>
      </c>
      <c r="N378" t="s">
        <v>79</v>
      </c>
      <c r="O378" t="s">
        <v>74</v>
      </c>
      <c r="P378" t="s">
        <v>74</v>
      </c>
      <c r="Q378" t="s">
        <v>74</v>
      </c>
      <c r="R378" t="s">
        <v>74</v>
      </c>
      <c r="S378" t="s">
        <v>74</v>
      </c>
      <c r="T378" t="s">
        <v>7748</v>
      </c>
      <c r="U378" t="s">
        <v>7749</v>
      </c>
      <c r="V378" t="s">
        <v>7750</v>
      </c>
      <c r="W378" t="s">
        <v>7751</v>
      </c>
      <c r="X378" t="s">
        <v>7752</v>
      </c>
      <c r="Y378" t="s">
        <v>7753</v>
      </c>
      <c r="Z378" t="s">
        <v>7754</v>
      </c>
      <c r="AA378" t="s">
        <v>7755</v>
      </c>
      <c r="AB378" t="s">
        <v>7756</v>
      </c>
      <c r="AC378" t="s">
        <v>7757</v>
      </c>
      <c r="AD378" t="s">
        <v>7758</v>
      </c>
      <c r="AE378" t="s">
        <v>7759</v>
      </c>
      <c r="AF378" t="s">
        <v>74</v>
      </c>
      <c r="AG378">
        <v>69</v>
      </c>
      <c r="AH378">
        <v>7</v>
      </c>
      <c r="AI378">
        <v>8</v>
      </c>
      <c r="AJ378">
        <v>6</v>
      </c>
      <c r="AK378">
        <v>27</v>
      </c>
      <c r="AL378" t="s">
        <v>169</v>
      </c>
      <c r="AM378" t="s">
        <v>170</v>
      </c>
      <c r="AN378" t="s">
        <v>171</v>
      </c>
      <c r="AO378" t="s">
        <v>3677</v>
      </c>
      <c r="AP378" t="s">
        <v>3678</v>
      </c>
      <c r="AQ378" t="s">
        <v>74</v>
      </c>
      <c r="AR378" t="s">
        <v>3679</v>
      </c>
      <c r="AS378" t="s">
        <v>3680</v>
      </c>
      <c r="AT378" t="s">
        <v>7760</v>
      </c>
      <c r="AU378">
        <v>2022</v>
      </c>
      <c r="AV378">
        <v>84</v>
      </c>
      <c r="AW378">
        <v>3</v>
      </c>
      <c r="AX378" t="s">
        <v>74</v>
      </c>
      <c r="AY378" t="s">
        <v>74</v>
      </c>
      <c r="AZ378" t="s">
        <v>74</v>
      </c>
      <c r="BA378" t="s">
        <v>74</v>
      </c>
      <c r="BB378">
        <v>808</v>
      </c>
      <c r="BC378">
        <v>820</v>
      </c>
      <c r="BD378" t="s">
        <v>74</v>
      </c>
      <c r="BE378" t="s">
        <v>7761</v>
      </c>
      <c r="BF378" t="str">
        <f>HYPERLINK("http://dx.doi.org/10.1007/s00248-021-01891-9","http://dx.doi.org/10.1007/s00248-021-01891-9")</f>
        <v>http://dx.doi.org/10.1007/s00248-021-01891-9</v>
      </c>
      <c r="BG378" t="s">
        <v>74</v>
      </c>
      <c r="BH378" t="s">
        <v>5766</v>
      </c>
      <c r="BI378">
        <v>13</v>
      </c>
      <c r="BJ378" t="s">
        <v>3682</v>
      </c>
      <c r="BK378" t="s">
        <v>101</v>
      </c>
      <c r="BL378" t="s">
        <v>3683</v>
      </c>
      <c r="BM378" t="s">
        <v>7762</v>
      </c>
      <c r="BN378">
        <v>34661728</v>
      </c>
      <c r="BO378" t="s">
        <v>7354</v>
      </c>
      <c r="BP378" t="s">
        <v>74</v>
      </c>
      <c r="BQ378" t="s">
        <v>74</v>
      </c>
      <c r="BR378" t="s">
        <v>105</v>
      </c>
      <c r="BS378" t="s">
        <v>7763</v>
      </c>
      <c r="BT378" t="str">
        <f>HYPERLINK("https%3A%2F%2Fwww.webofscience.com%2Fwos%2Fwoscc%2Ffull-record%2FWOS:000708321000001","View Full Record in Web of Science")</f>
        <v>View Full Record in Web of Science</v>
      </c>
    </row>
    <row r="379" spans="1:72" x14ac:dyDescent="0.15">
      <c r="A379" t="s">
        <v>72</v>
      </c>
      <c r="B379" t="s">
        <v>7764</v>
      </c>
      <c r="C379" t="s">
        <v>74</v>
      </c>
      <c r="D379" t="s">
        <v>74</v>
      </c>
      <c r="E379" t="s">
        <v>74</v>
      </c>
      <c r="F379" t="s">
        <v>7765</v>
      </c>
      <c r="G379" t="s">
        <v>74</v>
      </c>
      <c r="H379" t="s">
        <v>74</v>
      </c>
      <c r="I379" t="s">
        <v>7766</v>
      </c>
      <c r="J379" t="s">
        <v>935</v>
      </c>
      <c r="K379" t="s">
        <v>74</v>
      </c>
      <c r="L379" t="s">
        <v>74</v>
      </c>
      <c r="M379" t="s">
        <v>78</v>
      </c>
      <c r="N379" t="s">
        <v>79</v>
      </c>
      <c r="O379" t="s">
        <v>74</v>
      </c>
      <c r="P379" t="s">
        <v>74</v>
      </c>
      <c r="Q379" t="s">
        <v>74</v>
      </c>
      <c r="R379" t="s">
        <v>74</v>
      </c>
      <c r="S379" t="s">
        <v>74</v>
      </c>
      <c r="T379" t="s">
        <v>7767</v>
      </c>
      <c r="U379" t="s">
        <v>7768</v>
      </c>
      <c r="V379" t="s">
        <v>7769</v>
      </c>
      <c r="W379" t="s">
        <v>7770</v>
      </c>
      <c r="X379" t="s">
        <v>7771</v>
      </c>
      <c r="Y379" t="s">
        <v>7772</v>
      </c>
      <c r="Z379" t="s">
        <v>7773</v>
      </c>
      <c r="AA379" t="s">
        <v>7774</v>
      </c>
      <c r="AB379" t="s">
        <v>7775</v>
      </c>
      <c r="AC379" t="s">
        <v>7776</v>
      </c>
      <c r="AD379" t="s">
        <v>7777</v>
      </c>
      <c r="AE379" t="s">
        <v>7778</v>
      </c>
      <c r="AF379" t="s">
        <v>74</v>
      </c>
      <c r="AG379">
        <v>46</v>
      </c>
      <c r="AH379">
        <v>4</v>
      </c>
      <c r="AI379">
        <v>4</v>
      </c>
      <c r="AJ379">
        <v>4</v>
      </c>
      <c r="AK379">
        <v>15</v>
      </c>
      <c r="AL379" t="s">
        <v>169</v>
      </c>
      <c r="AM379" t="s">
        <v>170</v>
      </c>
      <c r="AN379" t="s">
        <v>171</v>
      </c>
      <c r="AO379" t="s">
        <v>948</v>
      </c>
      <c r="AP379" t="s">
        <v>949</v>
      </c>
      <c r="AQ379" t="s">
        <v>74</v>
      </c>
      <c r="AR379" t="s">
        <v>950</v>
      </c>
      <c r="AS379" t="s">
        <v>951</v>
      </c>
      <c r="AT379" t="s">
        <v>98</v>
      </c>
      <c r="AU379">
        <v>2021</v>
      </c>
      <c r="AV379">
        <v>44</v>
      </c>
      <c r="AW379">
        <v>12</v>
      </c>
      <c r="AX379" t="s">
        <v>74</v>
      </c>
      <c r="AY379" t="s">
        <v>74</v>
      </c>
      <c r="AZ379" t="s">
        <v>74</v>
      </c>
      <c r="BA379" t="s">
        <v>74</v>
      </c>
      <c r="BB379">
        <v>2321</v>
      </c>
      <c r="BC379">
        <v>2327</v>
      </c>
      <c r="BD379" t="s">
        <v>74</v>
      </c>
      <c r="BE379" t="s">
        <v>7779</v>
      </c>
      <c r="BF379" t="str">
        <f>HYPERLINK("http://dx.doi.org/10.1007/s00300-021-02956-8","http://dx.doi.org/10.1007/s00300-021-02956-8")</f>
        <v>http://dx.doi.org/10.1007/s00300-021-02956-8</v>
      </c>
      <c r="BG379" t="s">
        <v>74</v>
      </c>
      <c r="BH379" t="s">
        <v>5766</v>
      </c>
      <c r="BI379">
        <v>7</v>
      </c>
      <c r="BJ379" t="s">
        <v>605</v>
      </c>
      <c r="BK379" t="s">
        <v>101</v>
      </c>
      <c r="BL379" t="s">
        <v>606</v>
      </c>
      <c r="BM379" t="s">
        <v>5767</v>
      </c>
      <c r="BN379" t="s">
        <v>74</v>
      </c>
      <c r="BO379" t="s">
        <v>74</v>
      </c>
      <c r="BP379" t="s">
        <v>74</v>
      </c>
      <c r="BQ379" t="s">
        <v>74</v>
      </c>
      <c r="BR379" t="s">
        <v>105</v>
      </c>
      <c r="BS379" t="s">
        <v>7780</v>
      </c>
      <c r="BT379" t="str">
        <f>HYPERLINK("https%3A%2F%2Fwww.webofscience.com%2Fwos%2Fwoscc%2Ffull-record%2FWOS:000708370700001","View Full Record in Web of Science")</f>
        <v>View Full Record in Web of Science</v>
      </c>
    </row>
    <row r="380" spans="1:72" x14ac:dyDescent="0.15">
      <c r="A380" t="s">
        <v>72</v>
      </c>
      <c r="B380" t="s">
        <v>7781</v>
      </c>
      <c r="C380" t="s">
        <v>74</v>
      </c>
      <c r="D380" t="s">
        <v>74</v>
      </c>
      <c r="E380" t="s">
        <v>74</v>
      </c>
      <c r="F380" t="s">
        <v>7782</v>
      </c>
      <c r="G380" t="s">
        <v>74</v>
      </c>
      <c r="H380" t="s">
        <v>74</v>
      </c>
      <c r="I380" t="s">
        <v>7783</v>
      </c>
      <c r="J380" t="s">
        <v>2675</v>
      </c>
      <c r="K380" t="s">
        <v>74</v>
      </c>
      <c r="L380" t="s">
        <v>74</v>
      </c>
      <c r="M380" t="s">
        <v>78</v>
      </c>
      <c r="N380" t="s">
        <v>79</v>
      </c>
      <c r="O380" t="s">
        <v>74</v>
      </c>
      <c r="P380" t="s">
        <v>74</v>
      </c>
      <c r="Q380" t="s">
        <v>74</v>
      </c>
      <c r="R380" t="s">
        <v>74</v>
      </c>
      <c r="S380" t="s">
        <v>74</v>
      </c>
      <c r="T380" t="s">
        <v>74</v>
      </c>
      <c r="U380" t="s">
        <v>7784</v>
      </c>
      <c r="V380" t="s">
        <v>7785</v>
      </c>
      <c r="W380" t="s">
        <v>7786</v>
      </c>
      <c r="X380" t="s">
        <v>7787</v>
      </c>
      <c r="Y380" t="s">
        <v>7788</v>
      </c>
      <c r="Z380" t="s">
        <v>7789</v>
      </c>
      <c r="AA380" t="s">
        <v>7790</v>
      </c>
      <c r="AB380" t="s">
        <v>7791</v>
      </c>
      <c r="AC380" t="s">
        <v>7792</v>
      </c>
      <c r="AD380" t="s">
        <v>7793</v>
      </c>
      <c r="AE380" t="s">
        <v>7794</v>
      </c>
      <c r="AF380" t="s">
        <v>74</v>
      </c>
      <c r="AG380">
        <v>101</v>
      </c>
      <c r="AH380">
        <v>15</v>
      </c>
      <c r="AI380">
        <v>15</v>
      </c>
      <c r="AJ380">
        <v>4</v>
      </c>
      <c r="AK380">
        <v>16</v>
      </c>
      <c r="AL380" t="s">
        <v>227</v>
      </c>
      <c r="AM380" t="s">
        <v>228</v>
      </c>
      <c r="AN380" t="s">
        <v>229</v>
      </c>
      <c r="AO380" t="s">
        <v>2687</v>
      </c>
      <c r="AP380" t="s">
        <v>2688</v>
      </c>
      <c r="AQ380" t="s">
        <v>74</v>
      </c>
      <c r="AR380" t="s">
        <v>2689</v>
      </c>
      <c r="AS380" t="s">
        <v>2690</v>
      </c>
      <c r="AT380" t="s">
        <v>7683</v>
      </c>
      <c r="AU380">
        <v>2021</v>
      </c>
      <c r="AV380">
        <v>17</v>
      </c>
      <c r="AW380">
        <v>5</v>
      </c>
      <c r="AX380" t="s">
        <v>74</v>
      </c>
      <c r="AY380" t="s">
        <v>74</v>
      </c>
      <c r="AZ380" t="s">
        <v>74</v>
      </c>
      <c r="BA380" t="s">
        <v>74</v>
      </c>
      <c r="BB380">
        <v>2119</v>
      </c>
      <c r="BC380">
        <v>2137</v>
      </c>
      <c r="BD380" t="s">
        <v>74</v>
      </c>
      <c r="BE380" t="s">
        <v>7795</v>
      </c>
      <c r="BF380" t="str">
        <f>HYPERLINK("http://dx.doi.org/10.5194/cp-17-2119-2021","http://dx.doi.org/10.5194/cp-17-2119-2021")</f>
        <v>http://dx.doi.org/10.5194/cp-17-2119-2021</v>
      </c>
      <c r="BG380" t="s">
        <v>74</v>
      </c>
      <c r="BH380" t="s">
        <v>74</v>
      </c>
      <c r="BI380">
        <v>19</v>
      </c>
      <c r="BJ380" t="s">
        <v>1418</v>
      </c>
      <c r="BK380" t="s">
        <v>101</v>
      </c>
      <c r="BL380" t="s">
        <v>1419</v>
      </c>
      <c r="BM380" t="s">
        <v>7796</v>
      </c>
      <c r="BN380" t="s">
        <v>74</v>
      </c>
      <c r="BO380" t="s">
        <v>554</v>
      </c>
      <c r="BP380" t="s">
        <v>74</v>
      </c>
      <c r="BQ380" t="s">
        <v>74</v>
      </c>
      <c r="BR380" t="s">
        <v>105</v>
      </c>
      <c r="BS380" t="s">
        <v>7797</v>
      </c>
      <c r="BT380" t="str">
        <f>HYPERLINK("https%3A%2F%2Fwww.webofscience.com%2Fwos%2Fwoscc%2Ffull-record%2FWOS:000709434600001","View Full Record in Web of Science")</f>
        <v>View Full Record in Web of Science</v>
      </c>
    </row>
    <row r="381" spans="1:72" x14ac:dyDescent="0.15">
      <c r="A381" t="s">
        <v>72</v>
      </c>
      <c r="B381" t="s">
        <v>7798</v>
      </c>
      <c r="C381" t="s">
        <v>74</v>
      </c>
      <c r="D381" t="s">
        <v>74</v>
      </c>
      <c r="E381" t="s">
        <v>74</v>
      </c>
      <c r="F381" t="s">
        <v>7799</v>
      </c>
      <c r="G381" t="s">
        <v>74</v>
      </c>
      <c r="H381" t="s">
        <v>74</v>
      </c>
      <c r="I381" t="s">
        <v>7800</v>
      </c>
      <c r="J381" t="s">
        <v>1882</v>
      </c>
      <c r="K381" t="s">
        <v>74</v>
      </c>
      <c r="L381" t="s">
        <v>74</v>
      </c>
      <c r="M381" t="s">
        <v>78</v>
      </c>
      <c r="N381" t="s">
        <v>79</v>
      </c>
      <c r="O381" t="s">
        <v>74</v>
      </c>
      <c r="P381" t="s">
        <v>74</v>
      </c>
      <c r="Q381" t="s">
        <v>74</v>
      </c>
      <c r="R381" t="s">
        <v>74</v>
      </c>
      <c r="S381" t="s">
        <v>74</v>
      </c>
      <c r="T381" t="s">
        <v>7801</v>
      </c>
      <c r="U381" t="s">
        <v>7802</v>
      </c>
      <c r="V381" t="s">
        <v>7803</v>
      </c>
      <c r="W381" t="s">
        <v>7804</v>
      </c>
      <c r="X381" t="s">
        <v>7805</v>
      </c>
      <c r="Y381" t="s">
        <v>7806</v>
      </c>
      <c r="Z381" t="s">
        <v>7807</v>
      </c>
      <c r="AA381" t="s">
        <v>7808</v>
      </c>
      <c r="AB381" t="s">
        <v>7809</v>
      </c>
      <c r="AC381" t="s">
        <v>7810</v>
      </c>
      <c r="AD381" t="s">
        <v>7811</v>
      </c>
      <c r="AE381" t="s">
        <v>7812</v>
      </c>
      <c r="AF381" t="s">
        <v>74</v>
      </c>
      <c r="AG381">
        <v>71</v>
      </c>
      <c r="AH381">
        <v>16</v>
      </c>
      <c r="AI381">
        <v>18</v>
      </c>
      <c r="AJ381">
        <v>5</v>
      </c>
      <c r="AK381">
        <v>38</v>
      </c>
      <c r="AL381" t="s">
        <v>572</v>
      </c>
      <c r="AM381" t="s">
        <v>573</v>
      </c>
      <c r="AN381" t="s">
        <v>574</v>
      </c>
      <c r="AO381" t="s">
        <v>1895</v>
      </c>
      <c r="AP381" t="s">
        <v>1896</v>
      </c>
      <c r="AQ381" t="s">
        <v>74</v>
      </c>
      <c r="AR381" t="s">
        <v>1897</v>
      </c>
      <c r="AS381" t="s">
        <v>1898</v>
      </c>
      <c r="AT381" t="s">
        <v>416</v>
      </c>
      <c r="AU381">
        <v>2022</v>
      </c>
      <c r="AV381">
        <v>28</v>
      </c>
      <c r="AW381">
        <v>1</v>
      </c>
      <c r="AX381" t="s">
        <v>74</v>
      </c>
      <c r="AY381" t="s">
        <v>74</v>
      </c>
      <c r="AZ381" t="s">
        <v>74</v>
      </c>
      <c r="BA381" t="s">
        <v>74</v>
      </c>
      <c r="BB381">
        <v>8</v>
      </c>
      <c r="BC381">
        <v>20</v>
      </c>
      <c r="BD381" t="s">
        <v>74</v>
      </c>
      <c r="BE381" t="s">
        <v>7813</v>
      </c>
      <c r="BF381" t="str">
        <f>HYPERLINK("http://dx.doi.org/10.1111/gcb.15898","http://dx.doi.org/10.1111/gcb.15898")</f>
        <v>http://dx.doi.org/10.1111/gcb.15898</v>
      </c>
      <c r="BG381" t="s">
        <v>74</v>
      </c>
      <c r="BH381" t="s">
        <v>5766</v>
      </c>
      <c r="BI381">
        <v>13</v>
      </c>
      <c r="BJ381" t="s">
        <v>1900</v>
      </c>
      <c r="BK381" t="s">
        <v>101</v>
      </c>
      <c r="BL381" t="s">
        <v>606</v>
      </c>
      <c r="BM381" t="s">
        <v>5782</v>
      </c>
      <c r="BN381">
        <v>34658117</v>
      </c>
      <c r="BO381" t="s">
        <v>858</v>
      </c>
      <c r="BP381" t="s">
        <v>74</v>
      </c>
      <c r="BQ381" t="s">
        <v>74</v>
      </c>
      <c r="BR381" t="s">
        <v>105</v>
      </c>
      <c r="BS381" t="s">
        <v>7814</v>
      </c>
      <c r="BT381" t="str">
        <f>HYPERLINK("https%3A%2F%2Fwww.webofscience.com%2Fwos%2Fwoscc%2Ffull-record%2FWOS:000707941400001","View Full Record in Web of Science")</f>
        <v>View Full Record in Web of Science</v>
      </c>
    </row>
    <row r="382" spans="1:72" x14ac:dyDescent="0.15">
      <c r="A382" t="s">
        <v>72</v>
      </c>
      <c r="B382" t="s">
        <v>7815</v>
      </c>
      <c r="C382" t="s">
        <v>74</v>
      </c>
      <c r="D382" t="s">
        <v>74</v>
      </c>
      <c r="E382" t="s">
        <v>74</v>
      </c>
      <c r="F382" t="s">
        <v>7816</v>
      </c>
      <c r="G382" t="s">
        <v>74</v>
      </c>
      <c r="H382" t="s">
        <v>74</v>
      </c>
      <c r="I382" t="s">
        <v>7817</v>
      </c>
      <c r="J382" t="s">
        <v>7818</v>
      </c>
      <c r="K382" t="s">
        <v>74</v>
      </c>
      <c r="L382" t="s">
        <v>74</v>
      </c>
      <c r="M382" t="s">
        <v>78</v>
      </c>
      <c r="N382" t="s">
        <v>79</v>
      </c>
      <c r="O382" t="s">
        <v>74</v>
      </c>
      <c r="P382" t="s">
        <v>74</v>
      </c>
      <c r="Q382" t="s">
        <v>74</v>
      </c>
      <c r="R382" t="s">
        <v>74</v>
      </c>
      <c r="S382" t="s">
        <v>74</v>
      </c>
      <c r="T382" t="s">
        <v>7819</v>
      </c>
      <c r="U382" t="s">
        <v>7820</v>
      </c>
      <c r="V382" t="s">
        <v>7821</v>
      </c>
      <c r="W382" t="s">
        <v>7822</v>
      </c>
      <c r="X382" t="s">
        <v>7823</v>
      </c>
      <c r="Y382" t="s">
        <v>7824</v>
      </c>
      <c r="Z382" t="s">
        <v>7825</v>
      </c>
      <c r="AA382" t="s">
        <v>7826</v>
      </c>
      <c r="AB382" t="s">
        <v>7827</v>
      </c>
      <c r="AC382" t="s">
        <v>7828</v>
      </c>
      <c r="AD382" t="s">
        <v>7829</v>
      </c>
      <c r="AE382" t="s">
        <v>7830</v>
      </c>
      <c r="AF382" t="s">
        <v>74</v>
      </c>
      <c r="AG382">
        <v>59</v>
      </c>
      <c r="AH382">
        <v>12</v>
      </c>
      <c r="AI382">
        <v>12</v>
      </c>
      <c r="AJ382">
        <v>6</v>
      </c>
      <c r="AK382">
        <v>22</v>
      </c>
      <c r="AL382" t="s">
        <v>255</v>
      </c>
      <c r="AM382" t="s">
        <v>256</v>
      </c>
      <c r="AN382" t="s">
        <v>257</v>
      </c>
      <c r="AO382" t="s">
        <v>7831</v>
      </c>
      <c r="AP382" t="s">
        <v>7832</v>
      </c>
      <c r="AQ382" t="s">
        <v>74</v>
      </c>
      <c r="AR382" t="s">
        <v>7833</v>
      </c>
      <c r="AS382" t="s">
        <v>7834</v>
      </c>
      <c r="AT382" t="s">
        <v>1394</v>
      </c>
      <c r="AU382">
        <v>2022</v>
      </c>
      <c r="AV382">
        <v>268</v>
      </c>
      <c r="AW382" t="s">
        <v>74</v>
      </c>
      <c r="AX382" t="s">
        <v>74</v>
      </c>
      <c r="AY382" t="s">
        <v>74</v>
      </c>
      <c r="AZ382" t="s">
        <v>74</v>
      </c>
      <c r="BA382" t="s">
        <v>74</v>
      </c>
      <c r="BB382" t="s">
        <v>74</v>
      </c>
      <c r="BC382" t="s">
        <v>74</v>
      </c>
      <c r="BD382">
        <v>118763</v>
      </c>
      <c r="BE382" t="s">
        <v>7835</v>
      </c>
      <c r="BF382" t="str">
        <f>HYPERLINK("http://dx.doi.org/10.1016/j.atmosenv.2021.118763","http://dx.doi.org/10.1016/j.atmosenv.2021.118763")</f>
        <v>http://dx.doi.org/10.1016/j.atmosenv.2021.118763</v>
      </c>
      <c r="BG382" t="s">
        <v>74</v>
      </c>
      <c r="BH382" t="s">
        <v>5766</v>
      </c>
      <c r="BI382">
        <v>13</v>
      </c>
      <c r="BJ382" t="s">
        <v>100</v>
      </c>
      <c r="BK382" t="s">
        <v>101</v>
      </c>
      <c r="BL382" t="s">
        <v>102</v>
      </c>
      <c r="BM382" t="s">
        <v>7836</v>
      </c>
      <c r="BN382" t="s">
        <v>74</v>
      </c>
      <c r="BO382" t="s">
        <v>858</v>
      </c>
      <c r="BP382" t="s">
        <v>74</v>
      </c>
      <c r="BQ382" t="s">
        <v>74</v>
      </c>
      <c r="BR382" t="s">
        <v>105</v>
      </c>
      <c r="BS382" t="s">
        <v>7837</v>
      </c>
      <c r="BT382" t="str">
        <f>HYPERLINK("https%3A%2F%2Fwww.webofscience.com%2Fwos%2Fwoscc%2Ffull-record%2FWOS:000715057900002","View Full Record in Web of Science")</f>
        <v>View Full Record in Web of Science</v>
      </c>
    </row>
    <row r="383" spans="1:72" x14ac:dyDescent="0.15">
      <c r="A383" t="s">
        <v>72</v>
      </c>
      <c r="B383" t="s">
        <v>7838</v>
      </c>
      <c r="C383" t="s">
        <v>74</v>
      </c>
      <c r="D383" t="s">
        <v>74</v>
      </c>
      <c r="E383" t="s">
        <v>74</v>
      </c>
      <c r="F383" t="s">
        <v>7839</v>
      </c>
      <c r="G383" t="s">
        <v>74</v>
      </c>
      <c r="H383" t="s">
        <v>74</v>
      </c>
      <c r="I383" t="s">
        <v>7840</v>
      </c>
      <c r="J383" t="s">
        <v>1075</v>
      </c>
      <c r="K383" t="s">
        <v>74</v>
      </c>
      <c r="L383" t="s">
        <v>74</v>
      </c>
      <c r="M383" t="s">
        <v>78</v>
      </c>
      <c r="N383" t="s">
        <v>79</v>
      </c>
      <c r="O383" t="s">
        <v>74</v>
      </c>
      <c r="P383" t="s">
        <v>74</v>
      </c>
      <c r="Q383" t="s">
        <v>74</v>
      </c>
      <c r="R383" t="s">
        <v>74</v>
      </c>
      <c r="S383" t="s">
        <v>74</v>
      </c>
      <c r="T383" t="s">
        <v>7841</v>
      </c>
      <c r="U383" t="s">
        <v>7842</v>
      </c>
      <c r="V383" t="s">
        <v>7843</v>
      </c>
      <c r="W383" t="s">
        <v>7844</v>
      </c>
      <c r="X383" t="s">
        <v>3365</v>
      </c>
      <c r="Y383" t="s">
        <v>7845</v>
      </c>
      <c r="Z383" t="s">
        <v>3367</v>
      </c>
      <c r="AA383" t="s">
        <v>7846</v>
      </c>
      <c r="AB383" t="s">
        <v>7847</v>
      </c>
      <c r="AC383" t="s">
        <v>7848</v>
      </c>
      <c r="AD383" t="s">
        <v>7849</v>
      </c>
      <c r="AE383" t="s">
        <v>7850</v>
      </c>
      <c r="AF383" t="s">
        <v>74</v>
      </c>
      <c r="AG383">
        <v>107</v>
      </c>
      <c r="AH383">
        <v>18</v>
      </c>
      <c r="AI383">
        <v>19</v>
      </c>
      <c r="AJ383">
        <v>13</v>
      </c>
      <c r="AK383">
        <v>73</v>
      </c>
      <c r="AL383" t="s">
        <v>1088</v>
      </c>
      <c r="AM383" t="s">
        <v>333</v>
      </c>
      <c r="AN383" t="s">
        <v>1089</v>
      </c>
      <c r="AO383" t="s">
        <v>1090</v>
      </c>
      <c r="AP383" t="s">
        <v>74</v>
      </c>
      <c r="AQ383" t="s">
        <v>74</v>
      </c>
      <c r="AR383" t="s">
        <v>1075</v>
      </c>
      <c r="AS383" t="s">
        <v>1091</v>
      </c>
      <c r="AT383" t="s">
        <v>7851</v>
      </c>
      <c r="AU383">
        <v>2021</v>
      </c>
      <c r="AV383">
        <v>9</v>
      </c>
      <c r="AW383">
        <v>1</v>
      </c>
      <c r="AX383" t="s">
        <v>74</v>
      </c>
      <c r="AY383" t="s">
        <v>74</v>
      </c>
      <c r="AZ383" t="s">
        <v>74</v>
      </c>
      <c r="BA383" t="s">
        <v>74</v>
      </c>
      <c r="BB383" t="s">
        <v>74</v>
      </c>
      <c r="BC383" t="s">
        <v>74</v>
      </c>
      <c r="BD383">
        <v>207</v>
      </c>
      <c r="BE383" t="s">
        <v>7852</v>
      </c>
      <c r="BF383" t="str">
        <f>HYPERLINK("http://dx.doi.org/10.1186/s40168-021-01153-3","http://dx.doi.org/10.1186/s40168-021-01153-3")</f>
        <v>http://dx.doi.org/10.1186/s40168-021-01153-3</v>
      </c>
      <c r="BG383" t="s">
        <v>74</v>
      </c>
      <c r="BH383" t="s">
        <v>74</v>
      </c>
      <c r="BI383">
        <v>17</v>
      </c>
      <c r="BJ383" t="s">
        <v>975</v>
      </c>
      <c r="BK383" t="s">
        <v>101</v>
      </c>
      <c r="BL383" t="s">
        <v>975</v>
      </c>
      <c r="BM383" t="s">
        <v>7853</v>
      </c>
      <c r="BN383">
        <v>34654476</v>
      </c>
      <c r="BO383" t="s">
        <v>7854</v>
      </c>
      <c r="BP383" t="s">
        <v>74</v>
      </c>
      <c r="BQ383" t="s">
        <v>74</v>
      </c>
      <c r="BR383" t="s">
        <v>105</v>
      </c>
      <c r="BS383" t="s">
        <v>7855</v>
      </c>
      <c r="BT383" t="str">
        <f>HYPERLINK("https%3A%2F%2Fwww.webofscience.com%2Fwos%2Fwoscc%2Ffull-record%2FWOS:000707635100001","View Full Record in Web of Science")</f>
        <v>View Full Record in Web of Science</v>
      </c>
    </row>
    <row r="384" spans="1:72" x14ac:dyDescent="0.15">
      <c r="A384" t="s">
        <v>72</v>
      </c>
      <c r="B384" t="s">
        <v>7856</v>
      </c>
      <c r="C384" t="s">
        <v>74</v>
      </c>
      <c r="D384" t="s">
        <v>74</v>
      </c>
      <c r="E384" t="s">
        <v>74</v>
      </c>
      <c r="F384" t="s">
        <v>7857</v>
      </c>
      <c r="G384" t="s">
        <v>74</v>
      </c>
      <c r="H384" t="s">
        <v>74</v>
      </c>
      <c r="I384" t="s">
        <v>7858</v>
      </c>
      <c r="J384" t="s">
        <v>7859</v>
      </c>
      <c r="K384" t="s">
        <v>74</v>
      </c>
      <c r="L384" t="s">
        <v>74</v>
      </c>
      <c r="M384" t="s">
        <v>78</v>
      </c>
      <c r="N384" t="s">
        <v>79</v>
      </c>
      <c r="O384" t="s">
        <v>74</v>
      </c>
      <c r="P384" t="s">
        <v>74</v>
      </c>
      <c r="Q384" t="s">
        <v>74</v>
      </c>
      <c r="R384" t="s">
        <v>74</v>
      </c>
      <c r="S384" t="s">
        <v>74</v>
      </c>
      <c r="T384" t="s">
        <v>7860</v>
      </c>
      <c r="U384" t="s">
        <v>7861</v>
      </c>
      <c r="V384" t="s">
        <v>7862</v>
      </c>
      <c r="W384" t="s">
        <v>7863</v>
      </c>
      <c r="X384" t="s">
        <v>7864</v>
      </c>
      <c r="Y384" t="s">
        <v>7865</v>
      </c>
      <c r="Z384" t="s">
        <v>7866</v>
      </c>
      <c r="AA384" t="s">
        <v>7867</v>
      </c>
      <c r="AB384" t="s">
        <v>7868</v>
      </c>
      <c r="AC384" t="s">
        <v>7869</v>
      </c>
      <c r="AD384" t="s">
        <v>7870</v>
      </c>
      <c r="AE384" t="s">
        <v>7871</v>
      </c>
      <c r="AF384" t="s">
        <v>74</v>
      </c>
      <c r="AG384">
        <v>64</v>
      </c>
      <c r="AH384">
        <v>7</v>
      </c>
      <c r="AI384">
        <v>7</v>
      </c>
      <c r="AJ384">
        <v>14</v>
      </c>
      <c r="AK384">
        <v>99</v>
      </c>
      <c r="AL384" t="s">
        <v>572</v>
      </c>
      <c r="AM384" t="s">
        <v>573</v>
      </c>
      <c r="AN384" t="s">
        <v>574</v>
      </c>
      <c r="AO384" t="s">
        <v>7872</v>
      </c>
      <c r="AP384" t="s">
        <v>7873</v>
      </c>
      <c r="AQ384" t="s">
        <v>74</v>
      </c>
      <c r="AR384" t="s">
        <v>7874</v>
      </c>
      <c r="AS384" t="s">
        <v>7875</v>
      </c>
      <c r="AT384" t="s">
        <v>525</v>
      </c>
      <c r="AU384">
        <v>2022</v>
      </c>
      <c r="AV384">
        <v>233</v>
      </c>
      <c r="AW384">
        <v>3</v>
      </c>
      <c r="AX384" t="s">
        <v>74</v>
      </c>
      <c r="AY384" t="s">
        <v>74</v>
      </c>
      <c r="AZ384" t="s">
        <v>74</v>
      </c>
      <c r="BA384" t="s">
        <v>74</v>
      </c>
      <c r="BB384">
        <v>1358</v>
      </c>
      <c r="BC384">
        <v>1368</v>
      </c>
      <c r="BD384" t="s">
        <v>74</v>
      </c>
      <c r="BE384" t="s">
        <v>7876</v>
      </c>
      <c r="BF384" t="str">
        <f>HYPERLINK("http://dx.doi.org/10.1111/nph.17764","http://dx.doi.org/10.1111/nph.17764")</f>
        <v>http://dx.doi.org/10.1111/nph.17764</v>
      </c>
      <c r="BG384" t="s">
        <v>74</v>
      </c>
      <c r="BH384" t="s">
        <v>5766</v>
      </c>
      <c r="BI384">
        <v>11</v>
      </c>
      <c r="BJ384" t="s">
        <v>4148</v>
      </c>
      <c r="BK384" t="s">
        <v>101</v>
      </c>
      <c r="BL384" t="s">
        <v>4148</v>
      </c>
      <c r="BM384" t="s">
        <v>7877</v>
      </c>
      <c r="BN384">
        <v>34606623</v>
      </c>
      <c r="BO384" t="s">
        <v>2217</v>
      </c>
      <c r="BP384" t="s">
        <v>74</v>
      </c>
      <c r="BQ384" t="s">
        <v>74</v>
      </c>
      <c r="BR384" t="s">
        <v>105</v>
      </c>
      <c r="BS384" t="s">
        <v>7878</v>
      </c>
      <c r="BT384" t="str">
        <f>HYPERLINK("https%3A%2F%2Fwww.webofscience.com%2Fwos%2Fwoscc%2Ffull-record%2FWOS:000707667700001","View Full Record in Web of Science")</f>
        <v>View Full Record in Web of Science</v>
      </c>
    </row>
    <row r="385" spans="1:72" x14ac:dyDescent="0.15">
      <c r="A385" t="s">
        <v>72</v>
      </c>
      <c r="B385" t="s">
        <v>7879</v>
      </c>
      <c r="C385" t="s">
        <v>74</v>
      </c>
      <c r="D385" t="s">
        <v>74</v>
      </c>
      <c r="E385" t="s">
        <v>74</v>
      </c>
      <c r="F385" t="s">
        <v>7880</v>
      </c>
      <c r="G385" t="s">
        <v>74</v>
      </c>
      <c r="H385" t="s">
        <v>74</v>
      </c>
      <c r="I385" t="s">
        <v>7881</v>
      </c>
      <c r="J385" t="s">
        <v>747</v>
      </c>
      <c r="K385" t="s">
        <v>74</v>
      </c>
      <c r="L385" t="s">
        <v>74</v>
      </c>
      <c r="M385" t="s">
        <v>78</v>
      </c>
      <c r="N385" t="s">
        <v>79</v>
      </c>
      <c r="O385" t="s">
        <v>74</v>
      </c>
      <c r="P385" t="s">
        <v>74</v>
      </c>
      <c r="Q385" t="s">
        <v>74</v>
      </c>
      <c r="R385" t="s">
        <v>74</v>
      </c>
      <c r="S385" t="s">
        <v>74</v>
      </c>
      <c r="T385" t="s">
        <v>7882</v>
      </c>
      <c r="U385" t="s">
        <v>7883</v>
      </c>
      <c r="V385" t="s">
        <v>7884</v>
      </c>
      <c r="W385" t="s">
        <v>7885</v>
      </c>
      <c r="X385" t="s">
        <v>7886</v>
      </c>
      <c r="Y385" t="s">
        <v>7887</v>
      </c>
      <c r="Z385" t="s">
        <v>7888</v>
      </c>
      <c r="AA385" t="s">
        <v>7889</v>
      </c>
      <c r="AB385" t="s">
        <v>7890</v>
      </c>
      <c r="AC385" t="s">
        <v>7891</v>
      </c>
      <c r="AD385" t="s">
        <v>7892</v>
      </c>
      <c r="AE385" t="s">
        <v>7893</v>
      </c>
      <c r="AF385" t="s">
        <v>74</v>
      </c>
      <c r="AG385">
        <v>45</v>
      </c>
      <c r="AH385">
        <v>8</v>
      </c>
      <c r="AI385">
        <v>8</v>
      </c>
      <c r="AJ385">
        <v>1</v>
      </c>
      <c r="AK385">
        <v>16</v>
      </c>
      <c r="AL385" t="s">
        <v>760</v>
      </c>
      <c r="AM385" t="s">
        <v>438</v>
      </c>
      <c r="AN385" t="s">
        <v>761</v>
      </c>
      <c r="AO385" t="s">
        <v>762</v>
      </c>
      <c r="AP385" t="s">
        <v>763</v>
      </c>
      <c r="AQ385" t="s">
        <v>74</v>
      </c>
      <c r="AR385" t="s">
        <v>764</v>
      </c>
      <c r="AS385" t="s">
        <v>765</v>
      </c>
      <c r="AT385" t="s">
        <v>7851</v>
      </c>
      <c r="AU385">
        <v>2021</v>
      </c>
      <c r="AV385">
        <v>48</v>
      </c>
      <c r="AW385">
        <v>19</v>
      </c>
      <c r="AX385" t="s">
        <v>74</v>
      </c>
      <c r="AY385" t="s">
        <v>74</v>
      </c>
      <c r="AZ385" t="s">
        <v>74</v>
      </c>
      <c r="BA385" t="s">
        <v>74</v>
      </c>
      <c r="BB385" t="s">
        <v>74</v>
      </c>
      <c r="BC385" t="s">
        <v>74</v>
      </c>
      <c r="BD385" t="s">
        <v>7894</v>
      </c>
      <c r="BE385" t="s">
        <v>7895</v>
      </c>
      <c r="BF385" t="str">
        <f>HYPERLINK("http://dx.doi.org/10.1029/2021GL095088","http://dx.doi.org/10.1029/2021GL095088")</f>
        <v>http://dx.doi.org/10.1029/2021GL095088</v>
      </c>
      <c r="BG385" t="s">
        <v>74</v>
      </c>
      <c r="BH385" t="s">
        <v>74</v>
      </c>
      <c r="BI385">
        <v>11</v>
      </c>
      <c r="BJ385" t="s">
        <v>236</v>
      </c>
      <c r="BK385" t="s">
        <v>101</v>
      </c>
      <c r="BL385" t="s">
        <v>237</v>
      </c>
      <c r="BM385" t="s">
        <v>7896</v>
      </c>
      <c r="BN385" t="s">
        <v>74</v>
      </c>
      <c r="BO385" t="s">
        <v>1614</v>
      </c>
      <c r="BP385" t="s">
        <v>74</v>
      </c>
      <c r="BQ385" t="s">
        <v>74</v>
      </c>
      <c r="BR385" t="s">
        <v>105</v>
      </c>
      <c r="BS385" t="s">
        <v>7897</v>
      </c>
      <c r="BT385" t="str">
        <f>HYPERLINK("https%3A%2F%2Fwww.webofscience.com%2Fwos%2Fwoscc%2Ffull-record%2FWOS:000706306000055","View Full Record in Web of Science")</f>
        <v>View Full Record in Web of Science</v>
      </c>
    </row>
    <row r="386" spans="1:72" x14ac:dyDescent="0.15">
      <c r="A386" t="s">
        <v>72</v>
      </c>
      <c r="B386" t="s">
        <v>7898</v>
      </c>
      <c r="C386" t="s">
        <v>74</v>
      </c>
      <c r="D386" t="s">
        <v>74</v>
      </c>
      <c r="E386" t="s">
        <v>74</v>
      </c>
      <c r="F386" t="s">
        <v>7899</v>
      </c>
      <c r="G386" t="s">
        <v>74</v>
      </c>
      <c r="H386" t="s">
        <v>74</v>
      </c>
      <c r="I386" t="s">
        <v>7900</v>
      </c>
      <c r="J386" t="s">
        <v>747</v>
      </c>
      <c r="K386" t="s">
        <v>74</v>
      </c>
      <c r="L386" t="s">
        <v>74</v>
      </c>
      <c r="M386" t="s">
        <v>78</v>
      </c>
      <c r="N386" t="s">
        <v>79</v>
      </c>
      <c r="O386" t="s">
        <v>74</v>
      </c>
      <c r="P386" t="s">
        <v>74</v>
      </c>
      <c r="Q386" t="s">
        <v>74</v>
      </c>
      <c r="R386" t="s">
        <v>74</v>
      </c>
      <c r="S386" t="s">
        <v>74</v>
      </c>
      <c r="T386" t="s">
        <v>7901</v>
      </c>
      <c r="U386" t="s">
        <v>7902</v>
      </c>
      <c r="V386" t="s">
        <v>7903</v>
      </c>
      <c r="W386" t="s">
        <v>7904</v>
      </c>
      <c r="X386" t="s">
        <v>7905</v>
      </c>
      <c r="Y386" t="s">
        <v>7906</v>
      </c>
      <c r="Z386" t="s">
        <v>7907</v>
      </c>
      <c r="AA386" t="s">
        <v>7908</v>
      </c>
      <c r="AB386" t="s">
        <v>7909</v>
      </c>
      <c r="AC386" t="s">
        <v>7910</v>
      </c>
      <c r="AD386" t="s">
        <v>7911</v>
      </c>
      <c r="AE386" t="s">
        <v>7912</v>
      </c>
      <c r="AF386" t="s">
        <v>74</v>
      </c>
      <c r="AG386">
        <v>27</v>
      </c>
      <c r="AH386">
        <v>15</v>
      </c>
      <c r="AI386">
        <v>15</v>
      </c>
      <c r="AJ386">
        <v>1</v>
      </c>
      <c r="AK386">
        <v>6</v>
      </c>
      <c r="AL386" t="s">
        <v>760</v>
      </c>
      <c r="AM386" t="s">
        <v>438</v>
      </c>
      <c r="AN386" t="s">
        <v>761</v>
      </c>
      <c r="AO386" t="s">
        <v>762</v>
      </c>
      <c r="AP386" t="s">
        <v>763</v>
      </c>
      <c r="AQ386" t="s">
        <v>74</v>
      </c>
      <c r="AR386" t="s">
        <v>764</v>
      </c>
      <c r="AS386" t="s">
        <v>765</v>
      </c>
      <c r="AT386" t="s">
        <v>7851</v>
      </c>
      <c r="AU386">
        <v>2021</v>
      </c>
      <c r="AV386">
        <v>48</v>
      </c>
      <c r="AW386">
        <v>19</v>
      </c>
      <c r="AX386" t="s">
        <v>74</v>
      </c>
      <c r="AY386" t="s">
        <v>74</v>
      </c>
      <c r="AZ386" t="s">
        <v>74</v>
      </c>
      <c r="BA386" t="s">
        <v>74</v>
      </c>
      <c r="BB386" t="s">
        <v>74</v>
      </c>
      <c r="BC386" t="s">
        <v>74</v>
      </c>
      <c r="BD386" t="s">
        <v>7913</v>
      </c>
      <c r="BE386" t="s">
        <v>7914</v>
      </c>
      <c r="BF386" t="str">
        <f>HYPERLINK("http://dx.doi.org/10.1029/2021GL094709","http://dx.doi.org/10.1029/2021GL094709")</f>
        <v>http://dx.doi.org/10.1029/2021GL094709</v>
      </c>
      <c r="BG386" t="s">
        <v>74</v>
      </c>
      <c r="BH386" t="s">
        <v>74</v>
      </c>
      <c r="BI386">
        <v>7</v>
      </c>
      <c r="BJ386" t="s">
        <v>236</v>
      </c>
      <c r="BK386" t="s">
        <v>101</v>
      </c>
      <c r="BL386" t="s">
        <v>237</v>
      </c>
      <c r="BM386" t="s">
        <v>7896</v>
      </c>
      <c r="BN386" t="s">
        <v>74</v>
      </c>
      <c r="BO386" t="s">
        <v>343</v>
      </c>
      <c r="BP386" t="s">
        <v>74</v>
      </c>
      <c r="BQ386" t="s">
        <v>74</v>
      </c>
      <c r="BR386" t="s">
        <v>105</v>
      </c>
      <c r="BS386" t="s">
        <v>7915</v>
      </c>
      <c r="BT386" t="str">
        <f>HYPERLINK("https%3A%2F%2Fwww.webofscience.com%2Fwos%2Fwoscc%2Ffull-record%2FWOS:000706306000019","View Full Record in Web of Science")</f>
        <v>View Full Record in Web of Science</v>
      </c>
    </row>
    <row r="387" spans="1:72" x14ac:dyDescent="0.15">
      <c r="A387" t="s">
        <v>72</v>
      </c>
      <c r="B387" t="s">
        <v>7916</v>
      </c>
      <c r="C387" t="s">
        <v>74</v>
      </c>
      <c r="D387" t="s">
        <v>74</v>
      </c>
      <c r="E387" t="s">
        <v>74</v>
      </c>
      <c r="F387" t="s">
        <v>7917</v>
      </c>
      <c r="G387" t="s">
        <v>74</v>
      </c>
      <c r="H387" t="s">
        <v>74</v>
      </c>
      <c r="I387" t="s">
        <v>7918</v>
      </c>
      <c r="J387" t="s">
        <v>747</v>
      </c>
      <c r="K387" t="s">
        <v>74</v>
      </c>
      <c r="L387" t="s">
        <v>74</v>
      </c>
      <c r="M387" t="s">
        <v>78</v>
      </c>
      <c r="N387" t="s">
        <v>79</v>
      </c>
      <c r="O387" t="s">
        <v>74</v>
      </c>
      <c r="P387" t="s">
        <v>74</v>
      </c>
      <c r="Q387" t="s">
        <v>74</v>
      </c>
      <c r="R387" t="s">
        <v>74</v>
      </c>
      <c r="S387" t="s">
        <v>74</v>
      </c>
      <c r="T387" t="s">
        <v>7919</v>
      </c>
      <c r="U387" t="s">
        <v>7920</v>
      </c>
      <c r="V387" t="s">
        <v>7921</v>
      </c>
      <c r="W387" t="s">
        <v>7922</v>
      </c>
      <c r="X387" t="s">
        <v>7923</v>
      </c>
      <c r="Y387" t="s">
        <v>7924</v>
      </c>
      <c r="Z387" t="s">
        <v>7925</v>
      </c>
      <c r="AA387" t="s">
        <v>7926</v>
      </c>
      <c r="AB387" t="s">
        <v>7927</v>
      </c>
      <c r="AC387" t="s">
        <v>7928</v>
      </c>
      <c r="AD387" t="s">
        <v>7929</v>
      </c>
      <c r="AE387" t="s">
        <v>7930</v>
      </c>
      <c r="AF387" t="s">
        <v>74</v>
      </c>
      <c r="AG387">
        <v>24</v>
      </c>
      <c r="AH387">
        <v>12</v>
      </c>
      <c r="AI387">
        <v>12</v>
      </c>
      <c r="AJ387">
        <v>0</v>
      </c>
      <c r="AK387">
        <v>9</v>
      </c>
      <c r="AL387" t="s">
        <v>760</v>
      </c>
      <c r="AM387" t="s">
        <v>438</v>
      </c>
      <c r="AN387" t="s">
        <v>761</v>
      </c>
      <c r="AO387" t="s">
        <v>762</v>
      </c>
      <c r="AP387" t="s">
        <v>763</v>
      </c>
      <c r="AQ387" t="s">
        <v>74</v>
      </c>
      <c r="AR387" t="s">
        <v>764</v>
      </c>
      <c r="AS387" t="s">
        <v>765</v>
      </c>
      <c r="AT387" t="s">
        <v>7851</v>
      </c>
      <c r="AU387">
        <v>2021</v>
      </c>
      <c r="AV387">
        <v>48</v>
      </c>
      <c r="AW387">
        <v>19</v>
      </c>
      <c r="AX387" t="s">
        <v>74</v>
      </c>
      <c r="AY387" t="s">
        <v>74</v>
      </c>
      <c r="AZ387" t="s">
        <v>74</v>
      </c>
      <c r="BA387" t="s">
        <v>74</v>
      </c>
      <c r="BB387" t="s">
        <v>74</v>
      </c>
      <c r="BC387" t="s">
        <v>74</v>
      </c>
      <c r="BD387" t="s">
        <v>7931</v>
      </c>
      <c r="BE387" t="s">
        <v>7932</v>
      </c>
      <c r="BF387" t="str">
        <f>HYPERLINK("http://dx.doi.org/10.1029/2021GL094058","http://dx.doi.org/10.1029/2021GL094058")</f>
        <v>http://dx.doi.org/10.1029/2021GL094058</v>
      </c>
      <c r="BG387" t="s">
        <v>74</v>
      </c>
      <c r="BH387" t="s">
        <v>74</v>
      </c>
      <c r="BI387">
        <v>10</v>
      </c>
      <c r="BJ387" t="s">
        <v>236</v>
      </c>
      <c r="BK387" t="s">
        <v>101</v>
      </c>
      <c r="BL387" t="s">
        <v>237</v>
      </c>
      <c r="BM387" t="s">
        <v>7896</v>
      </c>
      <c r="BN387" t="s">
        <v>74</v>
      </c>
      <c r="BO387" t="s">
        <v>74</v>
      </c>
      <c r="BP387" t="s">
        <v>74</v>
      </c>
      <c r="BQ387" t="s">
        <v>74</v>
      </c>
      <c r="BR387" t="s">
        <v>105</v>
      </c>
      <c r="BS387" t="s">
        <v>7933</v>
      </c>
      <c r="BT387" t="str">
        <f>HYPERLINK("https%3A%2F%2Fwww.webofscience.com%2Fwos%2Fwoscc%2Ffull-record%2FWOS:000706306000026","View Full Record in Web of Science")</f>
        <v>View Full Record in Web of Science</v>
      </c>
    </row>
    <row r="388" spans="1:72" x14ac:dyDescent="0.15">
      <c r="A388" t="s">
        <v>72</v>
      </c>
      <c r="B388" t="s">
        <v>7934</v>
      </c>
      <c r="C388" t="s">
        <v>74</v>
      </c>
      <c r="D388" t="s">
        <v>74</v>
      </c>
      <c r="E388" t="s">
        <v>74</v>
      </c>
      <c r="F388" t="s">
        <v>7935</v>
      </c>
      <c r="G388" t="s">
        <v>74</v>
      </c>
      <c r="H388" t="s">
        <v>74</v>
      </c>
      <c r="I388" t="s">
        <v>7936</v>
      </c>
      <c r="J388" t="s">
        <v>747</v>
      </c>
      <c r="K388" t="s">
        <v>74</v>
      </c>
      <c r="L388" t="s">
        <v>74</v>
      </c>
      <c r="M388" t="s">
        <v>78</v>
      </c>
      <c r="N388" t="s">
        <v>79</v>
      </c>
      <c r="O388" t="s">
        <v>74</v>
      </c>
      <c r="P388" t="s">
        <v>74</v>
      </c>
      <c r="Q388" t="s">
        <v>74</v>
      </c>
      <c r="R388" t="s">
        <v>74</v>
      </c>
      <c r="S388" t="s">
        <v>74</v>
      </c>
      <c r="T388" t="s">
        <v>74</v>
      </c>
      <c r="U388" t="s">
        <v>7937</v>
      </c>
      <c r="V388" t="s">
        <v>7938</v>
      </c>
      <c r="W388" t="s">
        <v>7939</v>
      </c>
      <c r="X388" t="s">
        <v>7940</v>
      </c>
      <c r="Y388" t="s">
        <v>7941</v>
      </c>
      <c r="Z388" t="s">
        <v>7942</v>
      </c>
      <c r="AA388" t="s">
        <v>7943</v>
      </c>
      <c r="AB388" t="s">
        <v>7944</v>
      </c>
      <c r="AC388" t="s">
        <v>7945</v>
      </c>
      <c r="AD388" t="s">
        <v>7946</v>
      </c>
      <c r="AE388" t="s">
        <v>7947</v>
      </c>
      <c r="AF388" t="s">
        <v>74</v>
      </c>
      <c r="AG388">
        <v>63</v>
      </c>
      <c r="AH388">
        <v>4</v>
      </c>
      <c r="AI388">
        <v>4</v>
      </c>
      <c r="AJ388">
        <v>1</v>
      </c>
      <c r="AK388">
        <v>7</v>
      </c>
      <c r="AL388" t="s">
        <v>760</v>
      </c>
      <c r="AM388" t="s">
        <v>438</v>
      </c>
      <c r="AN388" t="s">
        <v>761</v>
      </c>
      <c r="AO388" t="s">
        <v>762</v>
      </c>
      <c r="AP388" t="s">
        <v>763</v>
      </c>
      <c r="AQ388" t="s">
        <v>74</v>
      </c>
      <c r="AR388" t="s">
        <v>764</v>
      </c>
      <c r="AS388" t="s">
        <v>765</v>
      </c>
      <c r="AT388" t="s">
        <v>7851</v>
      </c>
      <c r="AU388">
        <v>2021</v>
      </c>
      <c r="AV388">
        <v>48</v>
      </c>
      <c r="AW388">
        <v>19</v>
      </c>
      <c r="AX388" t="s">
        <v>74</v>
      </c>
      <c r="AY388" t="s">
        <v>74</v>
      </c>
      <c r="AZ388" t="s">
        <v>74</v>
      </c>
      <c r="BA388" t="s">
        <v>74</v>
      </c>
      <c r="BB388" t="s">
        <v>74</v>
      </c>
      <c r="BC388" t="s">
        <v>74</v>
      </c>
      <c r="BD388" t="s">
        <v>7948</v>
      </c>
      <c r="BE388" t="s">
        <v>7949</v>
      </c>
      <c r="BF388" t="str">
        <f>HYPERLINK("http://dx.doi.org/10.1029/2021GL094322","http://dx.doi.org/10.1029/2021GL094322")</f>
        <v>http://dx.doi.org/10.1029/2021GL094322</v>
      </c>
      <c r="BG388" t="s">
        <v>74</v>
      </c>
      <c r="BH388" t="s">
        <v>74</v>
      </c>
      <c r="BI388">
        <v>11</v>
      </c>
      <c r="BJ388" t="s">
        <v>236</v>
      </c>
      <c r="BK388" t="s">
        <v>101</v>
      </c>
      <c r="BL388" t="s">
        <v>237</v>
      </c>
      <c r="BM388" t="s">
        <v>7896</v>
      </c>
      <c r="BN388" t="s">
        <v>74</v>
      </c>
      <c r="BO388" t="s">
        <v>1471</v>
      </c>
      <c r="BP388" t="s">
        <v>74</v>
      </c>
      <c r="BQ388" t="s">
        <v>74</v>
      </c>
      <c r="BR388" t="s">
        <v>105</v>
      </c>
      <c r="BS388" t="s">
        <v>7950</v>
      </c>
      <c r="BT388" t="str">
        <f>HYPERLINK("https%3A%2F%2Fwww.webofscience.com%2Fwos%2Fwoscc%2Ffull-record%2FWOS:000706306000009","View Full Record in Web of Science")</f>
        <v>View Full Record in Web of Science</v>
      </c>
    </row>
    <row r="389" spans="1:72" x14ac:dyDescent="0.15">
      <c r="A389" t="s">
        <v>72</v>
      </c>
      <c r="B389" t="s">
        <v>7951</v>
      </c>
      <c r="C389" t="s">
        <v>74</v>
      </c>
      <c r="D389" t="s">
        <v>74</v>
      </c>
      <c r="E389" t="s">
        <v>74</v>
      </c>
      <c r="F389" t="s">
        <v>7952</v>
      </c>
      <c r="G389" t="s">
        <v>74</v>
      </c>
      <c r="H389" t="s">
        <v>74</v>
      </c>
      <c r="I389" t="s">
        <v>7953</v>
      </c>
      <c r="J389" t="s">
        <v>747</v>
      </c>
      <c r="K389" t="s">
        <v>74</v>
      </c>
      <c r="L389" t="s">
        <v>74</v>
      </c>
      <c r="M389" t="s">
        <v>78</v>
      </c>
      <c r="N389" t="s">
        <v>79</v>
      </c>
      <c r="O389" t="s">
        <v>74</v>
      </c>
      <c r="P389" t="s">
        <v>74</v>
      </c>
      <c r="Q389" t="s">
        <v>74</v>
      </c>
      <c r="R389" t="s">
        <v>74</v>
      </c>
      <c r="S389" t="s">
        <v>74</v>
      </c>
      <c r="T389" t="s">
        <v>7954</v>
      </c>
      <c r="U389" t="s">
        <v>7955</v>
      </c>
      <c r="V389" t="s">
        <v>7956</v>
      </c>
      <c r="W389" t="s">
        <v>7957</v>
      </c>
      <c r="X389" t="s">
        <v>7958</v>
      </c>
      <c r="Y389" t="s">
        <v>7959</v>
      </c>
      <c r="Z389" t="s">
        <v>7960</v>
      </c>
      <c r="AA389" t="s">
        <v>7961</v>
      </c>
      <c r="AB389" t="s">
        <v>7962</v>
      </c>
      <c r="AC389" t="s">
        <v>7963</v>
      </c>
      <c r="AD389" t="s">
        <v>7964</v>
      </c>
      <c r="AE389" t="s">
        <v>7965</v>
      </c>
      <c r="AF389" t="s">
        <v>74</v>
      </c>
      <c r="AG389">
        <v>76</v>
      </c>
      <c r="AH389">
        <v>6</v>
      </c>
      <c r="AI389">
        <v>6</v>
      </c>
      <c r="AJ389">
        <v>2</v>
      </c>
      <c r="AK389">
        <v>19</v>
      </c>
      <c r="AL389" t="s">
        <v>760</v>
      </c>
      <c r="AM389" t="s">
        <v>438</v>
      </c>
      <c r="AN389" t="s">
        <v>761</v>
      </c>
      <c r="AO389" t="s">
        <v>762</v>
      </c>
      <c r="AP389" t="s">
        <v>763</v>
      </c>
      <c r="AQ389" t="s">
        <v>74</v>
      </c>
      <c r="AR389" t="s">
        <v>764</v>
      </c>
      <c r="AS389" t="s">
        <v>765</v>
      </c>
      <c r="AT389" t="s">
        <v>7851</v>
      </c>
      <c r="AU389">
        <v>2021</v>
      </c>
      <c r="AV389">
        <v>48</v>
      </c>
      <c r="AW389">
        <v>19</v>
      </c>
      <c r="AX389" t="s">
        <v>74</v>
      </c>
      <c r="AY389" t="s">
        <v>74</v>
      </c>
      <c r="AZ389" t="s">
        <v>74</v>
      </c>
      <c r="BA389" t="s">
        <v>74</v>
      </c>
      <c r="BB389" t="s">
        <v>74</v>
      </c>
      <c r="BC389" t="s">
        <v>74</v>
      </c>
      <c r="BD389" t="s">
        <v>7966</v>
      </c>
      <c r="BE389" t="s">
        <v>7967</v>
      </c>
      <c r="BF389" t="str">
        <f>HYPERLINK("http://dx.doi.org/10.1029/2021GL094473","http://dx.doi.org/10.1029/2021GL094473")</f>
        <v>http://dx.doi.org/10.1029/2021GL094473</v>
      </c>
      <c r="BG389" t="s">
        <v>74</v>
      </c>
      <c r="BH389" t="s">
        <v>74</v>
      </c>
      <c r="BI389">
        <v>12</v>
      </c>
      <c r="BJ389" t="s">
        <v>236</v>
      </c>
      <c r="BK389" t="s">
        <v>101</v>
      </c>
      <c r="BL389" t="s">
        <v>237</v>
      </c>
      <c r="BM389" t="s">
        <v>7896</v>
      </c>
      <c r="BN389" t="s">
        <v>74</v>
      </c>
      <c r="BO389" t="s">
        <v>343</v>
      </c>
      <c r="BP389" t="s">
        <v>74</v>
      </c>
      <c r="BQ389" t="s">
        <v>74</v>
      </c>
      <c r="BR389" t="s">
        <v>105</v>
      </c>
      <c r="BS389" t="s">
        <v>7968</v>
      </c>
      <c r="BT389" t="str">
        <f>HYPERLINK("https%3A%2F%2Fwww.webofscience.com%2Fwos%2Fwoscc%2Ffull-record%2FWOS:000706306000045","View Full Record in Web of Science")</f>
        <v>View Full Record in Web of Science</v>
      </c>
    </row>
    <row r="390" spans="1:72" x14ac:dyDescent="0.15">
      <c r="A390" t="s">
        <v>72</v>
      </c>
      <c r="B390" t="s">
        <v>7969</v>
      </c>
      <c r="C390" t="s">
        <v>74</v>
      </c>
      <c r="D390" t="s">
        <v>74</v>
      </c>
      <c r="E390" t="s">
        <v>74</v>
      </c>
      <c r="F390" t="s">
        <v>7970</v>
      </c>
      <c r="G390" t="s">
        <v>74</v>
      </c>
      <c r="H390" t="s">
        <v>74</v>
      </c>
      <c r="I390" t="s">
        <v>7971</v>
      </c>
      <c r="J390" t="s">
        <v>1253</v>
      </c>
      <c r="K390" t="s">
        <v>74</v>
      </c>
      <c r="L390" t="s">
        <v>74</v>
      </c>
      <c r="M390" t="s">
        <v>78</v>
      </c>
      <c r="N390" t="s">
        <v>79</v>
      </c>
      <c r="O390" t="s">
        <v>74</v>
      </c>
      <c r="P390" t="s">
        <v>74</v>
      </c>
      <c r="Q390" t="s">
        <v>74</v>
      </c>
      <c r="R390" t="s">
        <v>74</v>
      </c>
      <c r="S390" t="s">
        <v>74</v>
      </c>
      <c r="T390" t="s">
        <v>7972</v>
      </c>
      <c r="U390" t="s">
        <v>7973</v>
      </c>
      <c r="V390" t="s">
        <v>7974</v>
      </c>
      <c r="W390" t="s">
        <v>7975</v>
      </c>
      <c r="X390" t="s">
        <v>7976</v>
      </c>
      <c r="Y390" t="s">
        <v>7977</v>
      </c>
      <c r="Z390" t="s">
        <v>7978</v>
      </c>
      <c r="AA390" t="s">
        <v>7979</v>
      </c>
      <c r="AB390" t="s">
        <v>7980</v>
      </c>
      <c r="AC390" t="s">
        <v>7981</v>
      </c>
      <c r="AD390" t="s">
        <v>7982</v>
      </c>
      <c r="AE390" t="s">
        <v>7983</v>
      </c>
      <c r="AF390" t="s">
        <v>74</v>
      </c>
      <c r="AG390">
        <v>79</v>
      </c>
      <c r="AH390">
        <v>2</v>
      </c>
      <c r="AI390">
        <v>2</v>
      </c>
      <c r="AJ390">
        <v>0</v>
      </c>
      <c r="AK390">
        <v>11</v>
      </c>
      <c r="AL390" t="s">
        <v>847</v>
      </c>
      <c r="AM390" t="s">
        <v>848</v>
      </c>
      <c r="AN390" t="s">
        <v>849</v>
      </c>
      <c r="AO390" t="s">
        <v>1266</v>
      </c>
      <c r="AP390" t="s">
        <v>1267</v>
      </c>
      <c r="AQ390" t="s">
        <v>74</v>
      </c>
      <c r="AR390" t="s">
        <v>1268</v>
      </c>
      <c r="AS390" t="s">
        <v>1269</v>
      </c>
      <c r="AT390" t="s">
        <v>7724</v>
      </c>
      <c r="AU390">
        <v>2021</v>
      </c>
      <c r="AV390">
        <v>237</v>
      </c>
      <c r="AW390" t="s">
        <v>74</v>
      </c>
      <c r="AX390" t="s">
        <v>74</v>
      </c>
      <c r="AY390" t="s">
        <v>74</v>
      </c>
      <c r="AZ390" t="s">
        <v>74</v>
      </c>
      <c r="BA390" t="s">
        <v>74</v>
      </c>
      <c r="BB390" t="s">
        <v>74</v>
      </c>
      <c r="BC390" t="s">
        <v>74</v>
      </c>
      <c r="BD390">
        <v>104037</v>
      </c>
      <c r="BE390" t="s">
        <v>7984</v>
      </c>
      <c r="BF390" t="str">
        <f>HYPERLINK("http://dx.doi.org/10.1016/j.marchem.2021.104037","http://dx.doi.org/10.1016/j.marchem.2021.104037")</f>
        <v>http://dx.doi.org/10.1016/j.marchem.2021.104037</v>
      </c>
      <c r="BG390" t="s">
        <v>74</v>
      </c>
      <c r="BH390" t="s">
        <v>5766</v>
      </c>
      <c r="BI390">
        <v>8</v>
      </c>
      <c r="BJ390" t="s">
        <v>1272</v>
      </c>
      <c r="BK390" t="s">
        <v>101</v>
      </c>
      <c r="BL390" t="s">
        <v>1273</v>
      </c>
      <c r="BM390" t="s">
        <v>7726</v>
      </c>
      <c r="BN390" t="s">
        <v>74</v>
      </c>
      <c r="BO390" t="s">
        <v>419</v>
      </c>
      <c r="BP390" t="s">
        <v>74</v>
      </c>
      <c r="BQ390" t="s">
        <v>74</v>
      </c>
      <c r="BR390" t="s">
        <v>105</v>
      </c>
      <c r="BS390" t="s">
        <v>7985</v>
      </c>
      <c r="BT390" t="str">
        <f>HYPERLINK("https%3A%2F%2Fwww.webofscience.com%2Fwos%2Fwoscc%2Ffull-record%2FWOS:000711163300002","View Full Record in Web of Science")</f>
        <v>View Full Record in Web of Science</v>
      </c>
    </row>
    <row r="391" spans="1:72" x14ac:dyDescent="0.15">
      <c r="A391" t="s">
        <v>72</v>
      </c>
      <c r="B391" t="s">
        <v>7986</v>
      </c>
      <c r="C391" t="s">
        <v>74</v>
      </c>
      <c r="D391" t="s">
        <v>74</v>
      </c>
      <c r="E391" t="s">
        <v>74</v>
      </c>
      <c r="F391" t="s">
        <v>7987</v>
      </c>
      <c r="G391" t="s">
        <v>74</v>
      </c>
      <c r="H391" t="s">
        <v>74</v>
      </c>
      <c r="I391" t="s">
        <v>7988</v>
      </c>
      <c r="J391" t="s">
        <v>5885</v>
      </c>
      <c r="K391" t="s">
        <v>74</v>
      </c>
      <c r="L391" t="s">
        <v>74</v>
      </c>
      <c r="M391" t="s">
        <v>78</v>
      </c>
      <c r="N391" t="s">
        <v>79</v>
      </c>
      <c r="O391" t="s">
        <v>74</v>
      </c>
      <c r="P391" t="s">
        <v>74</v>
      </c>
      <c r="Q391" t="s">
        <v>74</v>
      </c>
      <c r="R391" t="s">
        <v>74</v>
      </c>
      <c r="S391" t="s">
        <v>74</v>
      </c>
      <c r="T391" t="s">
        <v>7989</v>
      </c>
      <c r="U391" t="s">
        <v>7990</v>
      </c>
      <c r="V391" t="s">
        <v>7991</v>
      </c>
      <c r="W391" t="s">
        <v>7992</v>
      </c>
      <c r="X391" t="s">
        <v>7993</v>
      </c>
      <c r="Y391" t="s">
        <v>7994</v>
      </c>
      <c r="Z391" t="s">
        <v>7995</v>
      </c>
      <c r="AA391" t="s">
        <v>7996</v>
      </c>
      <c r="AB391" t="s">
        <v>7997</v>
      </c>
      <c r="AC391" t="s">
        <v>74</v>
      </c>
      <c r="AD391" t="s">
        <v>74</v>
      </c>
      <c r="AE391" t="s">
        <v>74</v>
      </c>
      <c r="AF391" t="s">
        <v>74</v>
      </c>
      <c r="AG391">
        <v>63</v>
      </c>
      <c r="AH391">
        <v>4</v>
      </c>
      <c r="AI391">
        <v>4</v>
      </c>
      <c r="AJ391">
        <v>2</v>
      </c>
      <c r="AK391">
        <v>23</v>
      </c>
      <c r="AL391" t="s">
        <v>1326</v>
      </c>
      <c r="AM391" t="s">
        <v>256</v>
      </c>
      <c r="AN391" t="s">
        <v>1327</v>
      </c>
      <c r="AO391" t="s">
        <v>5896</v>
      </c>
      <c r="AP391" t="s">
        <v>5897</v>
      </c>
      <c r="AQ391" t="s">
        <v>74</v>
      </c>
      <c r="AR391" t="s">
        <v>5898</v>
      </c>
      <c r="AS391" t="s">
        <v>5899</v>
      </c>
      <c r="AT391" t="s">
        <v>1394</v>
      </c>
      <c r="AU391">
        <v>2022</v>
      </c>
      <c r="AV391">
        <v>292</v>
      </c>
      <c r="AW391" t="s">
        <v>74</v>
      </c>
      <c r="AX391" t="s">
        <v>5900</v>
      </c>
      <c r="AY391" t="s">
        <v>74</v>
      </c>
      <c r="AZ391" t="s">
        <v>74</v>
      </c>
      <c r="BA391" t="s">
        <v>74</v>
      </c>
      <c r="BB391" t="s">
        <v>74</v>
      </c>
      <c r="BC391" t="s">
        <v>74</v>
      </c>
      <c r="BD391">
        <v>118365</v>
      </c>
      <c r="BE391" t="s">
        <v>7998</v>
      </c>
      <c r="BF391" t="str">
        <f>HYPERLINK("http://dx.doi.org/10.1016/j.envpol.2021.118365","http://dx.doi.org/10.1016/j.envpol.2021.118365")</f>
        <v>http://dx.doi.org/10.1016/j.envpol.2021.118365</v>
      </c>
      <c r="BG391" t="s">
        <v>74</v>
      </c>
      <c r="BH391" t="s">
        <v>5766</v>
      </c>
      <c r="BI391">
        <v>13</v>
      </c>
      <c r="BJ391" t="s">
        <v>856</v>
      </c>
      <c r="BK391" t="s">
        <v>101</v>
      </c>
      <c r="BL391" t="s">
        <v>630</v>
      </c>
      <c r="BM391" t="s">
        <v>7999</v>
      </c>
      <c r="BN391">
        <v>34656678</v>
      </c>
      <c r="BO391" t="s">
        <v>419</v>
      </c>
      <c r="BP391" t="s">
        <v>74</v>
      </c>
      <c r="BQ391" t="s">
        <v>74</v>
      </c>
      <c r="BR391" t="s">
        <v>105</v>
      </c>
      <c r="BS391" t="s">
        <v>8000</v>
      </c>
      <c r="BT391" t="str">
        <f>HYPERLINK("https%3A%2F%2Fwww.webofscience.com%2Fwos%2Fwoscc%2Ffull-record%2FWOS:000711785100003","View Full Record in Web of Science")</f>
        <v>View Full Record in Web of Science</v>
      </c>
    </row>
    <row r="392" spans="1:72" x14ac:dyDescent="0.15">
      <c r="A392" t="s">
        <v>72</v>
      </c>
      <c r="B392" t="s">
        <v>8001</v>
      </c>
      <c r="C392" t="s">
        <v>74</v>
      </c>
      <c r="D392" t="s">
        <v>74</v>
      </c>
      <c r="E392" t="s">
        <v>74</v>
      </c>
      <c r="F392" t="s">
        <v>8002</v>
      </c>
      <c r="G392" t="s">
        <v>74</v>
      </c>
      <c r="H392" t="s">
        <v>74</v>
      </c>
      <c r="I392" t="s">
        <v>8003</v>
      </c>
      <c r="J392" t="s">
        <v>3299</v>
      </c>
      <c r="K392" t="s">
        <v>74</v>
      </c>
      <c r="L392" t="s">
        <v>74</v>
      </c>
      <c r="M392" t="s">
        <v>78</v>
      </c>
      <c r="N392" t="s">
        <v>79</v>
      </c>
      <c r="O392" t="s">
        <v>74</v>
      </c>
      <c r="P392" t="s">
        <v>74</v>
      </c>
      <c r="Q392" t="s">
        <v>74</v>
      </c>
      <c r="R392" t="s">
        <v>74</v>
      </c>
      <c r="S392" t="s">
        <v>74</v>
      </c>
      <c r="T392" t="s">
        <v>8004</v>
      </c>
      <c r="U392" t="s">
        <v>8005</v>
      </c>
      <c r="V392" t="s">
        <v>8006</v>
      </c>
      <c r="W392" t="s">
        <v>8007</v>
      </c>
      <c r="X392" t="s">
        <v>8008</v>
      </c>
      <c r="Y392" t="s">
        <v>8009</v>
      </c>
      <c r="Z392" t="s">
        <v>8010</v>
      </c>
      <c r="AA392" t="s">
        <v>8011</v>
      </c>
      <c r="AB392" t="s">
        <v>8012</v>
      </c>
      <c r="AC392" t="s">
        <v>8013</v>
      </c>
      <c r="AD392" t="s">
        <v>8014</v>
      </c>
      <c r="AE392" t="s">
        <v>8015</v>
      </c>
      <c r="AF392" t="s">
        <v>74</v>
      </c>
      <c r="AG392">
        <v>80</v>
      </c>
      <c r="AH392">
        <v>0</v>
      </c>
      <c r="AI392">
        <v>1</v>
      </c>
      <c r="AJ392">
        <v>0</v>
      </c>
      <c r="AK392">
        <v>0</v>
      </c>
      <c r="AL392" t="s">
        <v>3310</v>
      </c>
      <c r="AM392" t="s">
        <v>3311</v>
      </c>
      <c r="AN392" t="s">
        <v>8016</v>
      </c>
      <c r="AO392" t="s">
        <v>3313</v>
      </c>
      <c r="AP392" t="s">
        <v>3314</v>
      </c>
      <c r="AQ392" t="s">
        <v>74</v>
      </c>
      <c r="AR392" t="s">
        <v>3299</v>
      </c>
      <c r="AS392" t="s">
        <v>3315</v>
      </c>
      <c r="AT392" t="s">
        <v>8017</v>
      </c>
      <c r="AU392">
        <v>2021</v>
      </c>
      <c r="AV392">
        <v>5052</v>
      </c>
      <c r="AW392">
        <v>3</v>
      </c>
      <c r="AX392" t="s">
        <v>74</v>
      </c>
      <c r="AY392" t="s">
        <v>74</v>
      </c>
      <c r="AZ392" t="s">
        <v>74</v>
      </c>
      <c r="BA392" t="s">
        <v>74</v>
      </c>
      <c r="BB392">
        <v>353</v>
      </c>
      <c r="BC392">
        <v>379</v>
      </c>
      <c r="BD392" t="s">
        <v>74</v>
      </c>
      <c r="BE392" t="s">
        <v>8018</v>
      </c>
      <c r="BF392" t="str">
        <f>HYPERLINK("http://dx.doi.org/10.11646/zootaxa.5052.3.3","http://dx.doi.org/10.11646/zootaxa.5052.3.3")</f>
        <v>http://dx.doi.org/10.11646/zootaxa.5052.3.3</v>
      </c>
      <c r="BG392" t="s">
        <v>74</v>
      </c>
      <c r="BH392" t="s">
        <v>74</v>
      </c>
      <c r="BI392">
        <v>27</v>
      </c>
      <c r="BJ392" t="s">
        <v>1612</v>
      </c>
      <c r="BK392" t="s">
        <v>101</v>
      </c>
      <c r="BL392" t="s">
        <v>1612</v>
      </c>
      <c r="BM392" t="s">
        <v>8019</v>
      </c>
      <c r="BN392">
        <v>34810868</v>
      </c>
      <c r="BO392" t="s">
        <v>74</v>
      </c>
      <c r="BP392" t="s">
        <v>74</v>
      </c>
      <c r="BQ392" t="s">
        <v>74</v>
      </c>
      <c r="BR392" t="s">
        <v>105</v>
      </c>
      <c r="BS392" t="s">
        <v>8020</v>
      </c>
      <c r="BT392" t="str">
        <f>HYPERLINK("https%3A%2F%2Fwww.webofscience.com%2Fwos%2Fwoscc%2Ffull-record%2FWOS:000708296600003","View Full Record in Web of Science")</f>
        <v>View Full Record in Web of Science</v>
      </c>
    </row>
    <row r="393" spans="1:72" x14ac:dyDescent="0.15">
      <c r="A393" t="s">
        <v>72</v>
      </c>
      <c r="B393" t="s">
        <v>8021</v>
      </c>
      <c r="C393" t="s">
        <v>74</v>
      </c>
      <c r="D393" t="s">
        <v>74</v>
      </c>
      <c r="E393" t="s">
        <v>74</v>
      </c>
      <c r="F393" t="s">
        <v>8022</v>
      </c>
      <c r="G393" t="s">
        <v>74</v>
      </c>
      <c r="H393" t="s">
        <v>74</v>
      </c>
      <c r="I393" t="s">
        <v>8023</v>
      </c>
      <c r="J393" t="s">
        <v>536</v>
      </c>
      <c r="K393" t="s">
        <v>74</v>
      </c>
      <c r="L393" t="s">
        <v>74</v>
      </c>
      <c r="M393" t="s">
        <v>78</v>
      </c>
      <c r="N393" t="s">
        <v>79</v>
      </c>
      <c r="O393" t="s">
        <v>74</v>
      </c>
      <c r="P393" t="s">
        <v>74</v>
      </c>
      <c r="Q393" t="s">
        <v>74</v>
      </c>
      <c r="R393" t="s">
        <v>74</v>
      </c>
      <c r="S393" t="s">
        <v>74</v>
      </c>
      <c r="T393" t="s">
        <v>74</v>
      </c>
      <c r="U393" t="s">
        <v>8024</v>
      </c>
      <c r="V393" t="s">
        <v>8025</v>
      </c>
      <c r="W393" t="s">
        <v>8026</v>
      </c>
      <c r="X393" t="s">
        <v>8027</v>
      </c>
      <c r="Y393" t="s">
        <v>8028</v>
      </c>
      <c r="Z393" t="s">
        <v>8029</v>
      </c>
      <c r="AA393" t="s">
        <v>8030</v>
      </c>
      <c r="AB393" t="s">
        <v>8031</v>
      </c>
      <c r="AC393" t="s">
        <v>8032</v>
      </c>
      <c r="AD393" t="s">
        <v>8033</v>
      </c>
      <c r="AE393" t="s">
        <v>8034</v>
      </c>
      <c r="AF393" t="s">
        <v>74</v>
      </c>
      <c r="AG393">
        <v>56</v>
      </c>
      <c r="AH393">
        <v>34</v>
      </c>
      <c r="AI393">
        <v>34</v>
      </c>
      <c r="AJ393">
        <v>0</v>
      </c>
      <c r="AK393">
        <v>19</v>
      </c>
      <c r="AL393" t="s">
        <v>227</v>
      </c>
      <c r="AM393" t="s">
        <v>228</v>
      </c>
      <c r="AN393" t="s">
        <v>229</v>
      </c>
      <c r="AO393" t="s">
        <v>548</v>
      </c>
      <c r="AP393" t="s">
        <v>549</v>
      </c>
      <c r="AQ393" t="s">
        <v>74</v>
      </c>
      <c r="AR393" t="s">
        <v>550</v>
      </c>
      <c r="AS393" t="s">
        <v>551</v>
      </c>
      <c r="AT393" t="s">
        <v>8017</v>
      </c>
      <c r="AU393">
        <v>2021</v>
      </c>
      <c r="AV393">
        <v>21</v>
      </c>
      <c r="AW393">
        <v>20</v>
      </c>
      <c r="AX393" t="s">
        <v>74</v>
      </c>
      <c r="AY393" t="s">
        <v>74</v>
      </c>
      <c r="AZ393" t="s">
        <v>74</v>
      </c>
      <c r="BA393" t="s">
        <v>74</v>
      </c>
      <c r="BB393">
        <v>15409</v>
      </c>
      <c r="BC393">
        <v>15430</v>
      </c>
      <c r="BD393" t="s">
        <v>74</v>
      </c>
      <c r="BE393" t="s">
        <v>8035</v>
      </c>
      <c r="BF393" t="str">
        <f>HYPERLINK("http://dx.doi.org/10.5194/acp-21-15409-2021","http://dx.doi.org/10.5194/acp-21-15409-2021")</f>
        <v>http://dx.doi.org/10.5194/acp-21-15409-2021</v>
      </c>
      <c r="BG393" t="s">
        <v>74</v>
      </c>
      <c r="BH393" t="s">
        <v>74</v>
      </c>
      <c r="BI393">
        <v>22</v>
      </c>
      <c r="BJ393" t="s">
        <v>100</v>
      </c>
      <c r="BK393" t="s">
        <v>101</v>
      </c>
      <c r="BL393" t="s">
        <v>102</v>
      </c>
      <c r="BM393" t="s">
        <v>8036</v>
      </c>
      <c r="BN393" t="s">
        <v>74</v>
      </c>
      <c r="BO393" t="s">
        <v>554</v>
      </c>
      <c r="BP393" t="s">
        <v>74</v>
      </c>
      <c r="BQ393" t="s">
        <v>74</v>
      </c>
      <c r="BR393" t="s">
        <v>105</v>
      </c>
      <c r="BS393" t="s">
        <v>8037</v>
      </c>
      <c r="BT393" t="str">
        <f>HYPERLINK("https%3A%2F%2Fwww.webofscience.com%2Fwos%2Fwoscc%2Ffull-record%2FWOS:000709140400001","View Full Record in Web of Science")</f>
        <v>View Full Record in Web of Science</v>
      </c>
    </row>
    <row r="394" spans="1:72" x14ac:dyDescent="0.15">
      <c r="A394" t="s">
        <v>72</v>
      </c>
      <c r="B394" t="s">
        <v>8038</v>
      </c>
      <c r="C394" t="s">
        <v>74</v>
      </c>
      <c r="D394" t="s">
        <v>74</v>
      </c>
      <c r="E394" t="s">
        <v>74</v>
      </c>
      <c r="F394" t="s">
        <v>8039</v>
      </c>
      <c r="G394" t="s">
        <v>74</v>
      </c>
      <c r="H394" t="s">
        <v>74</v>
      </c>
      <c r="I394" t="s">
        <v>8040</v>
      </c>
      <c r="J394" t="s">
        <v>2675</v>
      </c>
      <c r="K394" t="s">
        <v>74</v>
      </c>
      <c r="L394" t="s">
        <v>74</v>
      </c>
      <c r="M394" t="s">
        <v>78</v>
      </c>
      <c r="N394" t="s">
        <v>79</v>
      </c>
      <c r="O394" t="s">
        <v>74</v>
      </c>
      <c r="P394" t="s">
        <v>74</v>
      </c>
      <c r="Q394" t="s">
        <v>74</v>
      </c>
      <c r="R394" t="s">
        <v>74</v>
      </c>
      <c r="S394" t="s">
        <v>74</v>
      </c>
      <c r="T394" t="s">
        <v>74</v>
      </c>
      <c r="U394" t="s">
        <v>8041</v>
      </c>
      <c r="V394" t="s">
        <v>8042</v>
      </c>
      <c r="W394" t="s">
        <v>8043</v>
      </c>
      <c r="X394" t="s">
        <v>8044</v>
      </c>
      <c r="Y394" t="s">
        <v>8045</v>
      </c>
      <c r="Z394" t="s">
        <v>8046</v>
      </c>
      <c r="AA394" t="s">
        <v>8047</v>
      </c>
      <c r="AB394" t="s">
        <v>8048</v>
      </c>
      <c r="AC394" t="s">
        <v>8049</v>
      </c>
      <c r="AD394" t="s">
        <v>8050</v>
      </c>
      <c r="AE394" t="s">
        <v>8051</v>
      </c>
      <c r="AF394" t="s">
        <v>74</v>
      </c>
      <c r="AG394">
        <v>128</v>
      </c>
      <c r="AH394">
        <v>13</v>
      </c>
      <c r="AI394">
        <v>13</v>
      </c>
      <c r="AJ394">
        <v>3</v>
      </c>
      <c r="AK394">
        <v>31</v>
      </c>
      <c r="AL394" t="s">
        <v>227</v>
      </c>
      <c r="AM394" t="s">
        <v>228</v>
      </c>
      <c r="AN394" t="s">
        <v>229</v>
      </c>
      <c r="AO394" t="s">
        <v>2687</v>
      </c>
      <c r="AP394" t="s">
        <v>2688</v>
      </c>
      <c r="AQ394" t="s">
        <v>74</v>
      </c>
      <c r="AR394" t="s">
        <v>2689</v>
      </c>
      <c r="AS394" t="s">
        <v>2690</v>
      </c>
      <c r="AT394" t="s">
        <v>8017</v>
      </c>
      <c r="AU394">
        <v>2021</v>
      </c>
      <c r="AV394">
        <v>17</v>
      </c>
      <c r="AW394">
        <v>5</v>
      </c>
      <c r="AX394" t="s">
        <v>74</v>
      </c>
      <c r="AY394" t="s">
        <v>74</v>
      </c>
      <c r="AZ394" t="s">
        <v>74</v>
      </c>
      <c r="BA394" t="s">
        <v>74</v>
      </c>
      <c r="BB394">
        <v>2091</v>
      </c>
      <c r="BC394">
        <v>2117</v>
      </c>
      <c r="BD394" t="s">
        <v>74</v>
      </c>
      <c r="BE394" t="s">
        <v>8052</v>
      </c>
      <c r="BF394" t="str">
        <f>HYPERLINK("http://dx.doi.org/10.5194/cp-17-2091-2021","http://dx.doi.org/10.5194/cp-17-2091-2021")</f>
        <v>http://dx.doi.org/10.5194/cp-17-2091-2021</v>
      </c>
      <c r="BG394" t="s">
        <v>74</v>
      </c>
      <c r="BH394" t="s">
        <v>74</v>
      </c>
      <c r="BI394">
        <v>27</v>
      </c>
      <c r="BJ394" t="s">
        <v>1418</v>
      </c>
      <c r="BK394" t="s">
        <v>101</v>
      </c>
      <c r="BL394" t="s">
        <v>1419</v>
      </c>
      <c r="BM394" t="s">
        <v>8053</v>
      </c>
      <c r="BN394" t="s">
        <v>74</v>
      </c>
      <c r="BO394" t="s">
        <v>554</v>
      </c>
      <c r="BP394" t="s">
        <v>74</v>
      </c>
      <c r="BQ394" t="s">
        <v>74</v>
      </c>
      <c r="BR394" t="s">
        <v>105</v>
      </c>
      <c r="BS394" t="s">
        <v>8054</v>
      </c>
      <c r="BT394" t="str">
        <f>HYPERLINK("https%3A%2F%2Fwww.webofscience.com%2Fwos%2Fwoscc%2Ffull-record%2FWOS:000709162100001","View Full Record in Web of Science")</f>
        <v>View Full Record in Web of Science</v>
      </c>
    </row>
    <row r="395" spans="1:72" x14ac:dyDescent="0.15">
      <c r="A395" t="s">
        <v>72</v>
      </c>
      <c r="B395" t="s">
        <v>8055</v>
      </c>
      <c r="C395" t="s">
        <v>74</v>
      </c>
      <c r="D395" t="s">
        <v>74</v>
      </c>
      <c r="E395" t="s">
        <v>74</v>
      </c>
      <c r="F395" t="s">
        <v>8056</v>
      </c>
      <c r="G395" t="s">
        <v>74</v>
      </c>
      <c r="H395" t="s">
        <v>74</v>
      </c>
      <c r="I395" t="s">
        <v>8057</v>
      </c>
      <c r="J395" t="s">
        <v>8058</v>
      </c>
      <c r="K395" t="s">
        <v>74</v>
      </c>
      <c r="L395" t="s">
        <v>74</v>
      </c>
      <c r="M395" t="s">
        <v>78</v>
      </c>
      <c r="N395" t="s">
        <v>79</v>
      </c>
      <c r="O395" t="s">
        <v>74</v>
      </c>
      <c r="P395" t="s">
        <v>74</v>
      </c>
      <c r="Q395" t="s">
        <v>74</v>
      </c>
      <c r="R395" t="s">
        <v>74</v>
      </c>
      <c r="S395" t="s">
        <v>74</v>
      </c>
      <c r="T395" t="s">
        <v>8059</v>
      </c>
      <c r="U395" t="s">
        <v>8060</v>
      </c>
      <c r="V395" t="s">
        <v>8061</v>
      </c>
      <c r="W395" t="s">
        <v>8062</v>
      </c>
      <c r="X395" t="s">
        <v>8063</v>
      </c>
      <c r="Y395" t="s">
        <v>8064</v>
      </c>
      <c r="Z395" t="s">
        <v>8065</v>
      </c>
      <c r="AA395" t="s">
        <v>74</v>
      </c>
      <c r="AB395" t="s">
        <v>8066</v>
      </c>
      <c r="AC395" t="s">
        <v>8067</v>
      </c>
      <c r="AD395" t="s">
        <v>8068</v>
      </c>
      <c r="AE395" t="s">
        <v>8069</v>
      </c>
      <c r="AF395" t="s">
        <v>74</v>
      </c>
      <c r="AG395">
        <v>67</v>
      </c>
      <c r="AH395">
        <v>10</v>
      </c>
      <c r="AI395">
        <v>14</v>
      </c>
      <c r="AJ395">
        <v>4</v>
      </c>
      <c r="AK395">
        <v>36</v>
      </c>
      <c r="AL395" t="s">
        <v>1347</v>
      </c>
      <c r="AM395" t="s">
        <v>333</v>
      </c>
      <c r="AN395" t="s">
        <v>1348</v>
      </c>
      <c r="AO395" t="s">
        <v>74</v>
      </c>
      <c r="AP395" t="s">
        <v>8070</v>
      </c>
      <c r="AQ395" t="s">
        <v>74</v>
      </c>
      <c r="AR395" t="s">
        <v>8071</v>
      </c>
      <c r="AS395" t="s">
        <v>8072</v>
      </c>
      <c r="AT395" t="s">
        <v>8017</v>
      </c>
      <c r="AU395">
        <v>2021</v>
      </c>
      <c r="AV395">
        <v>9</v>
      </c>
      <c r="AW395">
        <v>1</v>
      </c>
      <c r="AX395" t="s">
        <v>74</v>
      </c>
      <c r="AY395" t="s">
        <v>74</v>
      </c>
      <c r="AZ395" t="s">
        <v>74</v>
      </c>
      <c r="BA395" t="s">
        <v>74</v>
      </c>
      <c r="BB395" t="s">
        <v>74</v>
      </c>
      <c r="BC395" t="s">
        <v>74</v>
      </c>
      <c r="BD395">
        <v>42</v>
      </c>
      <c r="BE395" t="s">
        <v>8073</v>
      </c>
      <c r="BF395" t="str">
        <f>HYPERLINK("http://dx.doi.org/10.1186/s40317-021-00266-8","http://dx.doi.org/10.1186/s40317-021-00266-8")</f>
        <v>http://dx.doi.org/10.1186/s40317-021-00266-8</v>
      </c>
      <c r="BG395" t="s">
        <v>74</v>
      </c>
      <c r="BH395" t="s">
        <v>74</v>
      </c>
      <c r="BI395">
        <v>16</v>
      </c>
      <c r="BJ395" t="s">
        <v>8074</v>
      </c>
      <c r="BK395" t="s">
        <v>101</v>
      </c>
      <c r="BL395" t="s">
        <v>8075</v>
      </c>
      <c r="BM395" t="s">
        <v>8076</v>
      </c>
      <c r="BN395" t="s">
        <v>74</v>
      </c>
      <c r="BO395" t="s">
        <v>210</v>
      </c>
      <c r="BP395" t="s">
        <v>74</v>
      </c>
      <c r="BQ395" t="s">
        <v>74</v>
      </c>
      <c r="BR395" t="s">
        <v>105</v>
      </c>
      <c r="BS395" t="s">
        <v>8077</v>
      </c>
      <c r="BT395" t="str">
        <f>HYPERLINK("https%3A%2F%2Fwww.webofscience.com%2Fwos%2Fwoscc%2Ffull-record%2FWOS:000707580000001","View Full Record in Web of Science")</f>
        <v>View Full Record in Web of Science</v>
      </c>
    </row>
    <row r="396" spans="1:72" x14ac:dyDescent="0.15">
      <c r="A396" t="s">
        <v>72</v>
      </c>
      <c r="B396" t="s">
        <v>8078</v>
      </c>
      <c r="C396" t="s">
        <v>74</v>
      </c>
      <c r="D396" t="s">
        <v>74</v>
      </c>
      <c r="E396" t="s">
        <v>74</v>
      </c>
      <c r="F396" t="s">
        <v>8079</v>
      </c>
      <c r="G396" t="s">
        <v>74</v>
      </c>
      <c r="H396" t="s">
        <v>74</v>
      </c>
      <c r="I396" t="s">
        <v>8080</v>
      </c>
      <c r="J396" t="s">
        <v>1338</v>
      </c>
      <c r="K396" t="s">
        <v>74</v>
      </c>
      <c r="L396" t="s">
        <v>74</v>
      </c>
      <c r="M396" t="s">
        <v>78</v>
      </c>
      <c r="N396" t="s">
        <v>79</v>
      </c>
      <c r="O396" t="s">
        <v>74</v>
      </c>
      <c r="P396" t="s">
        <v>74</v>
      </c>
      <c r="Q396" t="s">
        <v>74</v>
      </c>
      <c r="R396" t="s">
        <v>74</v>
      </c>
      <c r="S396" t="s">
        <v>74</v>
      </c>
      <c r="T396" t="s">
        <v>74</v>
      </c>
      <c r="U396" t="s">
        <v>8081</v>
      </c>
      <c r="V396" t="s">
        <v>8082</v>
      </c>
      <c r="W396" t="s">
        <v>8083</v>
      </c>
      <c r="X396" t="s">
        <v>8084</v>
      </c>
      <c r="Y396" t="s">
        <v>8085</v>
      </c>
      <c r="Z396" t="s">
        <v>8086</v>
      </c>
      <c r="AA396" t="s">
        <v>8087</v>
      </c>
      <c r="AB396" t="s">
        <v>8088</v>
      </c>
      <c r="AC396" t="s">
        <v>8089</v>
      </c>
      <c r="AD396" t="s">
        <v>8090</v>
      </c>
      <c r="AE396" t="s">
        <v>8091</v>
      </c>
      <c r="AF396" t="s">
        <v>74</v>
      </c>
      <c r="AG396">
        <v>75</v>
      </c>
      <c r="AH396">
        <v>15</v>
      </c>
      <c r="AI396">
        <v>15</v>
      </c>
      <c r="AJ396">
        <v>1</v>
      </c>
      <c r="AK396">
        <v>11</v>
      </c>
      <c r="AL396" t="s">
        <v>1347</v>
      </c>
      <c r="AM396" t="s">
        <v>333</v>
      </c>
      <c r="AN396" t="s">
        <v>1348</v>
      </c>
      <c r="AO396" t="s">
        <v>74</v>
      </c>
      <c r="AP396" t="s">
        <v>1349</v>
      </c>
      <c r="AQ396" t="s">
        <v>74</v>
      </c>
      <c r="AR396" t="s">
        <v>1350</v>
      </c>
      <c r="AS396" t="s">
        <v>1351</v>
      </c>
      <c r="AT396" t="s">
        <v>8017</v>
      </c>
      <c r="AU396">
        <v>2021</v>
      </c>
      <c r="AV396">
        <v>2</v>
      </c>
      <c r="AW396">
        <v>1</v>
      </c>
      <c r="AX396" t="s">
        <v>74</v>
      </c>
      <c r="AY396" t="s">
        <v>74</v>
      </c>
      <c r="AZ396" t="s">
        <v>74</v>
      </c>
      <c r="BA396" t="s">
        <v>74</v>
      </c>
      <c r="BB396" t="s">
        <v>74</v>
      </c>
      <c r="BC396" t="s">
        <v>74</v>
      </c>
      <c r="BD396">
        <v>221</v>
      </c>
      <c r="BE396" t="s">
        <v>8092</v>
      </c>
      <c r="BF396" t="str">
        <f>HYPERLINK("http://dx.doi.org/10.1038/s43247-021-00289-2","http://dx.doi.org/10.1038/s43247-021-00289-2")</f>
        <v>http://dx.doi.org/10.1038/s43247-021-00289-2</v>
      </c>
      <c r="BG396" t="s">
        <v>74</v>
      </c>
      <c r="BH396" t="s">
        <v>74</v>
      </c>
      <c r="BI396">
        <v>14</v>
      </c>
      <c r="BJ396" t="s">
        <v>1353</v>
      </c>
      <c r="BK396" t="s">
        <v>101</v>
      </c>
      <c r="BL396" t="s">
        <v>1354</v>
      </c>
      <c r="BM396" t="s">
        <v>8093</v>
      </c>
      <c r="BN396" t="s">
        <v>74</v>
      </c>
      <c r="BO396" t="s">
        <v>239</v>
      </c>
      <c r="BP396" t="s">
        <v>74</v>
      </c>
      <c r="BQ396" t="s">
        <v>74</v>
      </c>
      <c r="BR396" t="s">
        <v>105</v>
      </c>
      <c r="BS396" t="s">
        <v>8094</v>
      </c>
      <c r="BT396" t="str">
        <f>HYPERLINK("https%3A%2F%2Fwww.webofscience.com%2Fwos%2Fwoscc%2Ffull-record%2FWOS:000707591300001","View Full Record in Web of Science")</f>
        <v>View Full Record in Web of Science</v>
      </c>
    </row>
    <row r="397" spans="1:72" x14ac:dyDescent="0.15">
      <c r="A397" t="s">
        <v>72</v>
      </c>
      <c r="B397" t="s">
        <v>8095</v>
      </c>
      <c r="C397" t="s">
        <v>74</v>
      </c>
      <c r="D397" t="s">
        <v>74</v>
      </c>
      <c r="E397" t="s">
        <v>74</v>
      </c>
      <c r="F397" t="s">
        <v>8096</v>
      </c>
      <c r="G397" t="s">
        <v>74</v>
      </c>
      <c r="H397" t="s">
        <v>74</v>
      </c>
      <c r="I397" t="s">
        <v>8097</v>
      </c>
      <c r="J397" t="s">
        <v>8098</v>
      </c>
      <c r="K397" t="s">
        <v>74</v>
      </c>
      <c r="L397" t="s">
        <v>74</v>
      </c>
      <c r="M397" t="s">
        <v>78</v>
      </c>
      <c r="N397" t="s">
        <v>79</v>
      </c>
      <c r="O397" t="s">
        <v>74</v>
      </c>
      <c r="P397" t="s">
        <v>74</v>
      </c>
      <c r="Q397" t="s">
        <v>74</v>
      </c>
      <c r="R397" t="s">
        <v>74</v>
      </c>
      <c r="S397" t="s">
        <v>74</v>
      </c>
      <c r="T397" t="s">
        <v>8099</v>
      </c>
      <c r="U397" t="s">
        <v>8100</v>
      </c>
      <c r="V397" t="s">
        <v>8101</v>
      </c>
      <c r="W397" t="s">
        <v>8102</v>
      </c>
      <c r="X397" t="s">
        <v>8103</v>
      </c>
      <c r="Y397" t="s">
        <v>8104</v>
      </c>
      <c r="Z397" t="s">
        <v>8105</v>
      </c>
      <c r="AA397" t="s">
        <v>8106</v>
      </c>
      <c r="AB397" t="s">
        <v>8107</v>
      </c>
      <c r="AC397" t="s">
        <v>8108</v>
      </c>
      <c r="AD397" t="s">
        <v>8109</v>
      </c>
      <c r="AE397" t="s">
        <v>8110</v>
      </c>
      <c r="AF397" t="s">
        <v>74</v>
      </c>
      <c r="AG397">
        <v>11</v>
      </c>
      <c r="AH397">
        <v>0</v>
      </c>
      <c r="AI397">
        <v>0</v>
      </c>
      <c r="AJ397">
        <v>1</v>
      </c>
      <c r="AK397">
        <v>2</v>
      </c>
      <c r="AL397" t="s">
        <v>847</v>
      </c>
      <c r="AM397" t="s">
        <v>848</v>
      </c>
      <c r="AN397" t="s">
        <v>849</v>
      </c>
      <c r="AO397" t="s">
        <v>8111</v>
      </c>
      <c r="AP397" t="s">
        <v>74</v>
      </c>
      <c r="AQ397" t="s">
        <v>74</v>
      </c>
      <c r="AR397" t="s">
        <v>8112</v>
      </c>
      <c r="AS397" t="s">
        <v>8113</v>
      </c>
      <c r="AT397" t="s">
        <v>98</v>
      </c>
      <c r="AU397">
        <v>2021</v>
      </c>
      <c r="AV397">
        <v>39</v>
      </c>
      <c r="AW397" t="s">
        <v>74</v>
      </c>
      <c r="AX397" t="s">
        <v>74</v>
      </c>
      <c r="AY397" t="s">
        <v>74</v>
      </c>
      <c r="AZ397" t="s">
        <v>74</v>
      </c>
      <c r="BA397" t="s">
        <v>74</v>
      </c>
      <c r="BB397" t="s">
        <v>74</v>
      </c>
      <c r="BC397" t="s">
        <v>74</v>
      </c>
      <c r="BD397">
        <v>107468</v>
      </c>
      <c r="BE397" t="s">
        <v>8114</v>
      </c>
      <c r="BF397" t="str">
        <f>HYPERLINK("http://dx.doi.org/10.1016/j.dib.2021.107468","http://dx.doi.org/10.1016/j.dib.2021.107468")</f>
        <v>http://dx.doi.org/10.1016/j.dib.2021.107468</v>
      </c>
      <c r="BG397" t="s">
        <v>74</v>
      </c>
      <c r="BH397" t="s">
        <v>5766</v>
      </c>
      <c r="BI397">
        <v>12</v>
      </c>
      <c r="BJ397" t="s">
        <v>126</v>
      </c>
      <c r="BK397" t="s">
        <v>1629</v>
      </c>
      <c r="BL397" t="s">
        <v>127</v>
      </c>
      <c r="BM397" t="s">
        <v>8115</v>
      </c>
      <c r="BN397">
        <v>34703859</v>
      </c>
      <c r="BO397" t="s">
        <v>720</v>
      </c>
      <c r="BP397" t="s">
        <v>74</v>
      </c>
      <c r="BQ397" t="s">
        <v>74</v>
      </c>
      <c r="BR397" t="s">
        <v>105</v>
      </c>
      <c r="BS397" t="s">
        <v>8116</v>
      </c>
      <c r="BT397" t="str">
        <f>HYPERLINK("https%3A%2F%2Fwww.webofscience.com%2Fwos%2Fwoscc%2Ffull-record%2FWOS:000743794900015","View Full Record in Web of Science")</f>
        <v>View Full Record in Web of Science</v>
      </c>
    </row>
    <row r="398" spans="1:72" x14ac:dyDescent="0.15">
      <c r="A398" t="s">
        <v>72</v>
      </c>
      <c r="B398" t="s">
        <v>8117</v>
      </c>
      <c r="C398" t="s">
        <v>74</v>
      </c>
      <c r="D398" t="s">
        <v>74</v>
      </c>
      <c r="E398" t="s">
        <v>74</v>
      </c>
      <c r="F398" t="s">
        <v>8118</v>
      </c>
      <c r="G398" t="s">
        <v>74</v>
      </c>
      <c r="H398" t="s">
        <v>74</v>
      </c>
      <c r="I398" t="s">
        <v>8119</v>
      </c>
      <c r="J398" t="s">
        <v>8120</v>
      </c>
      <c r="K398" t="s">
        <v>74</v>
      </c>
      <c r="L398" t="s">
        <v>74</v>
      </c>
      <c r="M398" t="s">
        <v>78</v>
      </c>
      <c r="N398" t="s">
        <v>79</v>
      </c>
      <c r="O398" t="s">
        <v>74</v>
      </c>
      <c r="P398" t="s">
        <v>74</v>
      </c>
      <c r="Q398" t="s">
        <v>74</v>
      </c>
      <c r="R398" t="s">
        <v>74</v>
      </c>
      <c r="S398" t="s">
        <v>74</v>
      </c>
      <c r="T398" t="s">
        <v>74</v>
      </c>
      <c r="U398" t="s">
        <v>8121</v>
      </c>
      <c r="V398" t="s">
        <v>8122</v>
      </c>
      <c r="W398" t="s">
        <v>8123</v>
      </c>
      <c r="X398" t="s">
        <v>8124</v>
      </c>
      <c r="Y398" t="s">
        <v>8125</v>
      </c>
      <c r="Z398" t="s">
        <v>8126</v>
      </c>
      <c r="AA398" t="s">
        <v>8127</v>
      </c>
      <c r="AB398" t="s">
        <v>8128</v>
      </c>
      <c r="AC398" t="s">
        <v>8129</v>
      </c>
      <c r="AD398" t="s">
        <v>8130</v>
      </c>
      <c r="AE398" t="s">
        <v>8131</v>
      </c>
      <c r="AF398" t="s">
        <v>74</v>
      </c>
      <c r="AG398">
        <v>75</v>
      </c>
      <c r="AH398">
        <v>5</v>
      </c>
      <c r="AI398">
        <v>5</v>
      </c>
      <c r="AJ398">
        <v>2</v>
      </c>
      <c r="AK398">
        <v>3</v>
      </c>
      <c r="AL398" t="s">
        <v>227</v>
      </c>
      <c r="AM398" t="s">
        <v>228</v>
      </c>
      <c r="AN398" t="s">
        <v>229</v>
      </c>
      <c r="AO398" t="s">
        <v>8132</v>
      </c>
      <c r="AP398" t="s">
        <v>8133</v>
      </c>
      <c r="AQ398" t="s">
        <v>74</v>
      </c>
      <c r="AR398" t="s">
        <v>8134</v>
      </c>
      <c r="AS398" t="s">
        <v>8135</v>
      </c>
      <c r="AT398" t="s">
        <v>8136</v>
      </c>
      <c r="AU398">
        <v>2021</v>
      </c>
      <c r="AV398">
        <v>9</v>
      </c>
      <c r="AW398">
        <v>5</v>
      </c>
      <c r="AX398" t="s">
        <v>74</v>
      </c>
      <c r="AY398" t="s">
        <v>74</v>
      </c>
      <c r="AZ398" t="s">
        <v>74</v>
      </c>
      <c r="BA398" t="s">
        <v>74</v>
      </c>
      <c r="BB398">
        <v>1363</v>
      </c>
      <c r="BC398">
        <v>1380</v>
      </c>
      <c r="BD398" t="s">
        <v>74</v>
      </c>
      <c r="BE398" t="s">
        <v>8137</v>
      </c>
      <c r="BF398" t="str">
        <f>HYPERLINK("http://dx.doi.org/10.5194/esurf-9-1363-2021","http://dx.doi.org/10.5194/esurf-9-1363-2021")</f>
        <v>http://dx.doi.org/10.5194/esurf-9-1363-2021</v>
      </c>
      <c r="BG398" t="s">
        <v>74</v>
      </c>
      <c r="BH398" t="s">
        <v>74</v>
      </c>
      <c r="BI398">
        <v>18</v>
      </c>
      <c r="BJ398" t="s">
        <v>340</v>
      </c>
      <c r="BK398" t="s">
        <v>101</v>
      </c>
      <c r="BL398" t="s">
        <v>341</v>
      </c>
      <c r="BM398" t="s">
        <v>8138</v>
      </c>
      <c r="BN398" t="s">
        <v>74</v>
      </c>
      <c r="BO398" t="s">
        <v>239</v>
      </c>
      <c r="BP398" t="s">
        <v>74</v>
      </c>
      <c r="BQ398" t="s">
        <v>74</v>
      </c>
      <c r="BR398" t="s">
        <v>105</v>
      </c>
      <c r="BS398" t="s">
        <v>8139</v>
      </c>
      <c r="BT398" t="str">
        <f>HYPERLINK("https%3A%2F%2Fwww.webofscience.com%2Fwos%2Fwoscc%2Ffull-record%2FWOS:000709209100001","View Full Record in Web of Science")</f>
        <v>View Full Record in Web of Science</v>
      </c>
    </row>
    <row r="399" spans="1:72" x14ac:dyDescent="0.15">
      <c r="A399" t="s">
        <v>72</v>
      </c>
      <c r="B399" t="s">
        <v>8140</v>
      </c>
      <c r="C399" t="s">
        <v>74</v>
      </c>
      <c r="D399" t="s">
        <v>74</v>
      </c>
      <c r="E399" t="s">
        <v>74</v>
      </c>
      <c r="F399" t="s">
        <v>8141</v>
      </c>
      <c r="G399" t="s">
        <v>74</v>
      </c>
      <c r="H399" t="s">
        <v>74</v>
      </c>
      <c r="I399" t="s">
        <v>8142</v>
      </c>
      <c r="J399" t="s">
        <v>1009</v>
      </c>
      <c r="K399" t="s">
        <v>74</v>
      </c>
      <c r="L399" t="s">
        <v>74</v>
      </c>
      <c r="M399" t="s">
        <v>78</v>
      </c>
      <c r="N399" t="s">
        <v>373</v>
      </c>
      <c r="O399" t="s">
        <v>74</v>
      </c>
      <c r="P399" t="s">
        <v>74</v>
      </c>
      <c r="Q399" t="s">
        <v>74</v>
      </c>
      <c r="R399" t="s">
        <v>74</v>
      </c>
      <c r="S399" t="s">
        <v>74</v>
      </c>
      <c r="T399" t="s">
        <v>8143</v>
      </c>
      <c r="U399" t="s">
        <v>8144</v>
      </c>
      <c r="V399" t="s">
        <v>8145</v>
      </c>
      <c r="W399" t="s">
        <v>8146</v>
      </c>
      <c r="X399" t="s">
        <v>8147</v>
      </c>
      <c r="Y399" t="s">
        <v>8148</v>
      </c>
      <c r="Z399" t="s">
        <v>8149</v>
      </c>
      <c r="AA399" t="s">
        <v>8150</v>
      </c>
      <c r="AB399" t="s">
        <v>8151</v>
      </c>
      <c r="AC399" t="s">
        <v>8152</v>
      </c>
      <c r="AD399" t="s">
        <v>8153</v>
      </c>
      <c r="AE399" t="s">
        <v>8154</v>
      </c>
      <c r="AF399" t="s">
        <v>74</v>
      </c>
      <c r="AG399">
        <v>184</v>
      </c>
      <c r="AH399">
        <v>14</v>
      </c>
      <c r="AI399">
        <v>15</v>
      </c>
      <c r="AJ399">
        <v>9</v>
      </c>
      <c r="AK399">
        <v>48</v>
      </c>
      <c r="AL399" t="s">
        <v>383</v>
      </c>
      <c r="AM399" t="s">
        <v>384</v>
      </c>
      <c r="AN399" t="s">
        <v>385</v>
      </c>
      <c r="AO399" t="s">
        <v>1021</v>
      </c>
      <c r="AP399" t="s">
        <v>74</v>
      </c>
      <c r="AQ399" t="s">
        <v>74</v>
      </c>
      <c r="AR399" t="s">
        <v>1022</v>
      </c>
      <c r="AS399" t="s">
        <v>1023</v>
      </c>
      <c r="AT399" t="s">
        <v>8136</v>
      </c>
      <c r="AU399">
        <v>2021</v>
      </c>
      <c r="AV399">
        <v>9</v>
      </c>
      <c r="AW399" t="s">
        <v>74</v>
      </c>
      <c r="AX399" t="s">
        <v>74</v>
      </c>
      <c r="AY399" t="s">
        <v>74</v>
      </c>
      <c r="AZ399" t="s">
        <v>74</v>
      </c>
      <c r="BA399" t="s">
        <v>74</v>
      </c>
      <c r="BB399" t="s">
        <v>74</v>
      </c>
      <c r="BC399" t="s">
        <v>74</v>
      </c>
      <c r="BD399">
        <v>624763</v>
      </c>
      <c r="BE399" t="s">
        <v>8155</v>
      </c>
      <c r="BF399" t="str">
        <f>HYPERLINK("http://dx.doi.org/10.3389/fevo.2021.624763","http://dx.doi.org/10.3389/fevo.2021.624763")</f>
        <v>http://dx.doi.org/10.3389/fevo.2021.624763</v>
      </c>
      <c r="BG399" t="s">
        <v>74</v>
      </c>
      <c r="BH399" t="s">
        <v>74</v>
      </c>
      <c r="BI399">
        <v>21</v>
      </c>
      <c r="BJ399" t="s">
        <v>629</v>
      </c>
      <c r="BK399" t="s">
        <v>101</v>
      </c>
      <c r="BL399" t="s">
        <v>630</v>
      </c>
      <c r="BM399" t="s">
        <v>8156</v>
      </c>
      <c r="BN399" t="s">
        <v>74</v>
      </c>
      <c r="BO399" t="s">
        <v>2114</v>
      </c>
      <c r="BP399" t="s">
        <v>74</v>
      </c>
      <c r="BQ399" t="s">
        <v>74</v>
      </c>
      <c r="BR399" t="s">
        <v>105</v>
      </c>
      <c r="BS399" t="s">
        <v>8157</v>
      </c>
      <c r="BT399" t="str">
        <f>HYPERLINK("https%3A%2F%2Fwww.webofscience.com%2Fwos%2Fwoscc%2Ffull-record%2FWOS:000713829500001","View Full Record in Web of Science")</f>
        <v>View Full Record in Web of Science</v>
      </c>
    </row>
    <row r="400" spans="1:72" x14ac:dyDescent="0.15">
      <c r="A400" t="s">
        <v>72</v>
      </c>
      <c r="B400" t="s">
        <v>8158</v>
      </c>
      <c r="C400" t="s">
        <v>74</v>
      </c>
      <c r="D400" t="s">
        <v>74</v>
      </c>
      <c r="E400" t="s">
        <v>74</v>
      </c>
      <c r="F400" t="s">
        <v>8159</v>
      </c>
      <c r="G400" t="s">
        <v>74</v>
      </c>
      <c r="H400" t="s">
        <v>74</v>
      </c>
      <c r="I400" t="s">
        <v>8160</v>
      </c>
      <c r="J400" t="s">
        <v>5885</v>
      </c>
      <c r="K400" t="s">
        <v>74</v>
      </c>
      <c r="L400" t="s">
        <v>74</v>
      </c>
      <c r="M400" t="s">
        <v>78</v>
      </c>
      <c r="N400" t="s">
        <v>79</v>
      </c>
      <c r="O400" t="s">
        <v>74</v>
      </c>
      <c r="P400" t="s">
        <v>74</v>
      </c>
      <c r="Q400" t="s">
        <v>74</v>
      </c>
      <c r="R400" t="s">
        <v>74</v>
      </c>
      <c r="S400" t="s">
        <v>74</v>
      </c>
      <c r="T400" t="s">
        <v>8161</v>
      </c>
      <c r="U400" t="s">
        <v>8162</v>
      </c>
      <c r="V400" t="s">
        <v>8163</v>
      </c>
      <c r="W400" t="s">
        <v>8164</v>
      </c>
      <c r="X400" t="s">
        <v>8165</v>
      </c>
      <c r="Y400" t="s">
        <v>8166</v>
      </c>
      <c r="Z400" t="s">
        <v>8167</v>
      </c>
      <c r="AA400" t="s">
        <v>8168</v>
      </c>
      <c r="AB400" t="s">
        <v>8169</v>
      </c>
      <c r="AC400" t="s">
        <v>74</v>
      </c>
      <c r="AD400" t="s">
        <v>74</v>
      </c>
      <c r="AE400" t="s">
        <v>74</v>
      </c>
      <c r="AF400" t="s">
        <v>74</v>
      </c>
      <c r="AG400">
        <v>83</v>
      </c>
      <c r="AH400">
        <v>7</v>
      </c>
      <c r="AI400">
        <v>7</v>
      </c>
      <c r="AJ400">
        <v>4</v>
      </c>
      <c r="AK400">
        <v>31</v>
      </c>
      <c r="AL400" t="s">
        <v>1326</v>
      </c>
      <c r="AM400" t="s">
        <v>256</v>
      </c>
      <c r="AN400" t="s">
        <v>1327</v>
      </c>
      <c r="AO400" t="s">
        <v>5896</v>
      </c>
      <c r="AP400" t="s">
        <v>5897</v>
      </c>
      <c r="AQ400" t="s">
        <v>74</v>
      </c>
      <c r="AR400" t="s">
        <v>5898</v>
      </c>
      <c r="AS400" t="s">
        <v>5899</v>
      </c>
      <c r="AT400" t="s">
        <v>1394</v>
      </c>
      <c r="AU400">
        <v>2022</v>
      </c>
      <c r="AV400">
        <v>292</v>
      </c>
      <c r="AW400" t="s">
        <v>74</v>
      </c>
      <c r="AX400" t="s">
        <v>5900</v>
      </c>
      <c r="AY400" t="s">
        <v>74</v>
      </c>
      <c r="AZ400" t="s">
        <v>74</v>
      </c>
      <c r="BA400" t="s">
        <v>74</v>
      </c>
      <c r="BB400" t="s">
        <v>74</v>
      </c>
      <c r="BC400" t="s">
        <v>74</v>
      </c>
      <c r="BD400">
        <v>118358</v>
      </c>
      <c r="BE400" t="s">
        <v>8170</v>
      </c>
      <c r="BF400" t="str">
        <f>HYPERLINK("http://dx.doi.org/10.1016/j.envpol.2021.118358","http://dx.doi.org/10.1016/j.envpol.2021.118358")</f>
        <v>http://dx.doi.org/10.1016/j.envpol.2021.118358</v>
      </c>
      <c r="BG400" t="s">
        <v>74</v>
      </c>
      <c r="BH400" t="s">
        <v>5766</v>
      </c>
      <c r="BI400">
        <v>10</v>
      </c>
      <c r="BJ400" t="s">
        <v>856</v>
      </c>
      <c r="BK400" t="s">
        <v>101</v>
      </c>
      <c r="BL400" t="s">
        <v>630</v>
      </c>
      <c r="BM400" t="s">
        <v>8171</v>
      </c>
      <c r="BN400">
        <v>34653585</v>
      </c>
      <c r="BO400" t="s">
        <v>74</v>
      </c>
      <c r="BP400" t="s">
        <v>74</v>
      </c>
      <c r="BQ400" t="s">
        <v>74</v>
      </c>
      <c r="BR400" t="s">
        <v>105</v>
      </c>
      <c r="BS400" t="s">
        <v>8172</v>
      </c>
      <c r="BT400" t="str">
        <f>HYPERLINK("https%3A%2F%2Fwww.webofscience.com%2Fwos%2Fwoscc%2Ffull-record%2FWOS:000711684900001","View Full Record in Web of Science")</f>
        <v>View Full Record in Web of Science</v>
      </c>
    </row>
    <row r="401" spans="1:72" x14ac:dyDescent="0.15">
      <c r="A401" t="s">
        <v>72</v>
      </c>
      <c r="B401" t="s">
        <v>8173</v>
      </c>
      <c r="C401" t="s">
        <v>74</v>
      </c>
      <c r="D401" t="s">
        <v>74</v>
      </c>
      <c r="E401" t="s">
        <v>74</v>
      </c>
      <c r="F401" t="s">
        <v>8174</v>
      </c>
      <c r="G401" t="s">
        <v>74</v>
      </c>
      <c r="H401" t="s">
        <v>74</v>
      </c>
      <c r="I401" t="s">
        <v>8175</v>
      </c>
      <c r="J401" t="s">
        <v>6339</v>
      </c>
      <c r="K401" t="s">
        <v>74</v>
      </c>
      <c r="L401" t="s">
        <v>74</v>
      </c>
      <c r="M401" t="s">
        <v>78</v>
      </c>
      <c r="N401" t="s">
        <v>79</v>
      </c>
      <c r="O401" t="s">
        <v>74</v>
      </c>
      <c r="P401" t="s">
        <v>74</v>
      </c>
      <c r="Q401" t="s">
        <v>74</v>
      </c>
      <c r="R401" t="s">
        <v>74</v>
      </c>
      <c r="S401" t="s">
        <v>74</v>
      </c>
      <c r="T401" t="s">
        <v>8176</v>
      </c>
      <c r="U401" t="s">
        <v>8177</v>
      </c>
      <c r="V401" t="s">
        <v>8178</v>
      </c>
      <c r="W401" t="s">
        <v>8179</v>
      </c>
      <c r="X401" t="s">
        <v>8180</v>
      </c>
      <c r="Y401" t="s">
        <v>8181</v>
      </c>
      <c r="Z401" t="s">
        <v>8182</v>
      </c>
      <c r="AA401" t="s">
        <v>8183</v>
      </c>
      <c r="AB401" t="s">
        <v>8184</v>
      </c>
      <c r="AC401" t="s">
        <v>8185</v>
      </c>
      <c r="AD401" t="s">
        <v>8186</v>
      </c>
      <c r="AE401" t="s">
        <v>8187</v>
      </c>
      <c r="AF401" t="s">
        <v>74</v>
      </c>
      <c r="AG401">
        <v>105</v>
      </c>
      <c r="AH401">
        <v>6</v>
      </c>
      <c r="AI401">
        <v>6</v>
      </c>
      <c r="AJ401">
        <v>1</v>
      </c>
      <c r="AK401">
        <v>17</v>
      </c>
      <c r="AL401" t="s">
        <v>6350</v>
      </c>
      <c r="AM401" t="s">
        <v>6351</v>
      </c>
      <c r="AN401" t="s">
        <v>6352</v>
      </c>
      <c r="AO401" t="s">
        <v>6353</v>
      </c>
      <c r="AP401" t="s">
        <v>6354</v>
      </c>
      <c r="AQ401" t="s">
        <v>74</v>
      </c>
      <c r="AR401" t="s">
        <v>6355</v>
      </c>
      <c r="AS401" t="s">
        <v>6356</v>
      </c>
      <c r="AT401" t="s">
        <v>8136</v>
      </c>
      <c r="AU401">
        <v>2021</v>
      </c>
      <c r="AV401">
        <v>676</v>
      </c>
      <c r="AW401" t="s">
        <v>74</v>
      </c>
      <c r="AX401" t="s">
        <v>74</v>
      </c>
      <c r="AY401" t="s">
        <v>74</v>
      </c>
      <c r="AZ401" t="s">
        <v>74</v>
      </c>
      <c r="BA401" t="s">
        <v>74</v>
      </c>
      <c r="BB401">
        <v>19</v>
      </c>
      <c r="BC401">
        <v>35</v>
      </c>
      <c r="BD401" t="s">
        <v>74</v>
      </c>
      <c r="BE401" t="s">
        <v>8188</v>
      </c>
      <c r="BF401" t="str">
        <f>HYPERLINK("http://dx.doi.org/10.3354/meps13847","http://dx.doi.org/10.3354/meps13847")</f>
        <v>http://dx.doi.org/10.3354/meps13847</v>
      </c>
      <c r="BG401" t="s">
        <v>74</v>
      </c>
      <c r="BH401" t="s">
        <v>74</v>
      </c>
      <c r="BI401">
        <v>17</v>
      </c>
      <c r="BJ401" t="s">
        <v>6358</v>
      </c>
      <c r="BK401" t="s">
        <v>101</v>
      </c>
      <c r="BL401" t="s">
        <v>6359</v>
      </c>
      <c r="BM401" t="s">
        <v>8189</v>
      </c>
      <c r="BN401" t="s">
        <v>74</v>
      </c>
      <c r="BO401" t="s">
        <v>343</v>
      </c>
      <c r="BP401" t="s">
        <v>74</v>
      </c>
      <c r="BQ401" t="s">
        <v>74</v>
      </c>
      <c r="BR401" t="s">
        <v>105</v>
      </c>
      <c r="BS401" t="s">
        <v>8190</v>
      </c>
      <c r="BT401" t="str">
        <f>HYPERLINK("https%3A%2F%2Fwww.webofscience.com%2Fwos%2Fwoscc%2Ffull-record%2FWOS:000714439800002","View Full Record in Web of Science")</f>
        <v>View Full Record in Web of Science</v>
      </c>
    </row>
    <row r="402" spans="1:72" x14ac:dyDescent="0.15">
      <c r="A402" t="s">
        <v>72</v>
      </c>
      <c r="B402" t="s">
        <v>8191</v>
      </c>
      <c r="C402" t="s">
        <v>74</v>
      </c>
      <c r="D402" t="s">
        <v>74</v>
      </c>
      <c r="E402" t="s">
        <v>74</v>
      </c>
      <c r="F402" t="s">
        <v>8192</v>
      </c>
      <c r="G402" t="s">
        <v>74</v>
      </c>
      <c r="H402" t="s">
        <v>74</v>
      </c>
      <c r="I402" t="s">
        <v>8193</v>
      </c>
      <c r="J402" t="s">
        <v>6339</v>
      </c>
      <c r="K402" t="s">
        <v>74</v>
      </c>
      <c r="L402" t="s">
        <v>74</v>
      </c>
      <c r="M402" t="s">
        <v>78</v>
      </c>
      <c r="N402" t="s">
        <v>79</v>
      </c>
      <c r="O402" t="s">
        <v>74</v>
      </c>
      <c r="P402" t="s">
        <v>74</v>
      </c>
      <c r="Q402" t="s">
        <v>74</v>
      </c>
      <c r="R402" t="s">
        <v>74</v>
      </c>
      <c r="S402" t="s">
        <v>74</v>
      </c>
      <c r="T402" t="s">
        <v>8194</v>
      </c>
      <c r="U402" t="s">
        <v>8195</v>
      </c>
      <c r="V402" t="s">
        <v>8196</v>
      </c>
      <c r="W402" t="s">
        <v>8197</v>
      </c>
      <c r="X402" t="s">
        <v>8198</v>
      </c>
      <c r="Y402" t="s">
        <v>8199</v>
      </c>
      <c r="Z402" t="s">
        <v>8200</v>
      </c>
      <c r="AA402" t="s">
        <v>8201</v>
      </c>
      <c r="AB402" t="s">
        <v>8202</v>
      </c>
      <c r="AC402" t="s">
        <v>8203</v>
      </c>
      <c r="AD402" t="s">
        <v>8204</v>
      </c>
      <c r="AE402" t="s">
        <v>8205</v>
      </c>
      <c r="AF402" t="s">
        <v>74</v>
      </c>
      <c r="AG402">
        <v>121</v>
      </c>
      <c r="AH402">
        <v>20</v>
      </c>
      <c r="AI402">
        <v>20</v>
      </c>
      <c r="AJ402">
        <v>6</v>
      </c>
      <c r="AK402">
        <v>28</v>
      </c>
      <c r="AL402" t="s">
        <v>6350</v>
      </c>
      <c r="AM402" t="s">
        <v>6351</v>
      </c>
      <c r="AN402" t="s">
        <v>6352</v>
      </c>
      <c r="AO402" t="s">
        <v>6353</v>
      </c>
      <c r="AP402" t="s">
        <v>6354</v>
      </c>
      <c r="AQ402" t="s">
        <v>74</v>
      </c>
      <c r="AR402" t="s">
        <v>6355</v>
      </c>
      <c r="AS402" t="s">
        <v>6356</v>
      </c>
      <c r="AT402" t="s">
        <v>8136</v>
      </c>
      <c r="AU402">
        <v>2021</v>
      </c>
      <c r="AV402">
        <v>676</v>
      </c>
      <c r="AW402" t="s">
        <v>74</v>
      </c>
      <c r="AX402" t="s">
        <v>74</v>
      </c>
      <c r="AY402" t="s">
        <v>74</v>
      </c>
      <c r="AZ402" t="s">
        <v>74</v>
      </c>
      <c r="BA402" t="s">
        <v>74</v>
      </c>
      <c r="BB402">
        <v>77</v>
      </c>
      <c r="BC402">
        <v>94</v>
      </c>
      <c r="BD402" t="s">
        <v>74</v>
      </c>
      <c r="BE402" t="s">
        <v>8206</v>
      </c>
      <c r="BF402" t="str">
        <f>HYPERLINK("http://dx.doi.org/10.3354/meps13849","http://dx.doi.org/10.3354/meps13849")</f>
        <v>http://dx.doi.org/10.3354/meps13849</v>
      </c>
      <c r="BG402" t="s">
        <v>74</v>
      </c>
      <c r="BH402" t="s">
        <v>74</v>
      </c>
      <c r="BI402">
        <v>18</v>
      </c>
      <c r="BJ402" t="s">
        <v>6358</v>
      </c>
      <c r="BK402" t="s">
        <v>101</v>
      </c>
      <c r="BL402" t="s">
        <v>6359</v>
      </c>
      <c r="BM402" t="s">
        <v>8189</v>
      </c>
      <c r="BN402" t="s">
        <v>74</v>
      </c>
      <c r="BO402" t="s">
        <v>314</v>
      </c>
      <c r="BP402" t="s">
        <v>74</v>
      </c>
      <c r="BQ402" t="s">
        <v>74</v>
      </c>
      <c r="BR402" t="s">
        <v>105</v>
      </c>
      <c r="BS402" t="s">
        <v>8207</v>
      </c>
      <c r="BT402" t="str">
        <f>HYPERLINK("https%3A%2F%2Fwww.webofscience.com%2Fwos%2Fwoscc%2Ffull-record%2FWOS:000714439800005","View Full Record in Web of Science")</f>
        <v>View Full Record in Web of Science</v>
      </c>
    </row>
    <row r="403" spans="1:72" x14ac:dyDescent="0.15">
      <c r="A403" t="s">
        <v>72</v>
      </c>
      <c r="B403" t="s">
        <v>8208</v>
      </c>
      <c r="C403" t="s">
        <v>74</v>
      </c>
      <c r="D403" t="s">
        <v>74</v>
      </c>
      <c r="E403" t="s">
        <v>74</v>
      </c>
      <c r="F403" t="s">
        <v>8209</v>
      </c>
      <c r="G403" t="s">
        <v>74</v>
      </c>
      <c r="H403" t="s">
        <v>74</v>
      </c>
      <c r="I403" t="s">
        <v>8210</v>
      </c>
      <c r="J403" t="s">
        <v>6339</v>
      </c>
      <c r="K403" t="s">
        <v>74</v>
      </c>
      <c r="L403" t="s">
        <v>74</v>
      </c>
      <c r="M403" t="s">
        <v>78</v>
      </c>
      <c r="N403" t="s">
        <v>79</v>
      </c>
      <c r="O403" t="s">
        <v>74</v>
      </c>
      <c r="P403" t="s">
        <v>74</v>
      </c>
      <c r="Q403" t="s">
        <v>74</v>
      </c>
      <c r="R403" t="s">
        <v>74</v>
      </c>
      <c r="S403" t="s">
        <v>74</v>
      </c>
      <c r="T403" t="s">
        <v>8211</v>
      </c>
      <c r="U403" t="s">
        <v>8212</v>
      </c>
      <c r="V403" t="s">
        <v>8213</v>
      </c>
      <c r="W403" t="s">
        <v>8214</v>
      </c>
      <c r="X403" t="s">
        <v>8215</v>
      </c>
      <c r="Y403" t="s">
        <v>8216</v>
      </c>
      <c r="Z403" t="s">
        <v>8217</v>
      </c>
      <c r="AA403" t="s">
        <v>8218</v>
      </c>
      <c r="AB403" t="s">
        <v>8219</v>
      </c>
      <c r="AC403" t="s">
        <v>8220</v>
      </c>
      <c r="AD403" t="s">
        <v>8221</v>
      </c>
      <c r="AE403" t="s">
        <v>8222</v>
      </c>
      <c r="AF403" t="s">
        <v>74</v>
      </c>
      <c r="AG403">
        <v>79</v>
      </c>
      <c r="AH403">
        <v>14</v>
      </c>
      <c r="AI403">
        <v>14</v>
      </c>
      <c r="AJ403">
        <v>3</v>
      </c>
      <c r="AK403">
        <v>26</v>
      </c>
      <c r="AL403" t="s">
        <v>6350</v>
      </c>
      <c r="AM403" t="s">
        <v>6351</v>
      </c>
      <c r="AN403" t="s">
        <v>6352</v>
      </c>
      <c r="AO403" t="s">
        <v>6353</v>
      </c>
      <c r="AP403" t="s">
        <v>6354</v>
      </c>
      <c r="AQ403" t="s">
        <v>74</v>
      </c>
      <c r="AR403" t="s">
        <v>6355</v>
      </c>
      <c r="AS403" t="s">
        <v>6356</v>
      </c>
      <c r="AT403" t="s">
        <v>8136</v>
      </c>
      <c r="AU403">
        <v>2021</v>
      </c>
      <c r="AV403">
        <v>676</v>
      </c>
      <c r="AW403" t="s">
        <v>74</v>
      </c>
      <c r="AX403" t="s">
        <v>74</v>
      </c>
      <c r="AY403" t="s">
        <v>74</v>
      </c>
      <c r="AZ403" t="s">
        <v>74</v>
      </c>
      <c r="BA403" t="s">
        <v>74</v>
      </c>
      <c r="BB403">
        <v>127</v>
      </c>
      <c r="BC403">
        <v>144</v>
      </c>
      <c r="BD403" t="s">
        <v>74</v>
      </c>
      <c r="BE403" t="s">
        <v>8223</v>
      </c>
      <c r="BF403" t="str">
        <f>HYPERLINK("http://dx.doi.org/10.3354/meps13872","http://dx.doi.org/10.3354/meps13872")</f>
        <v>http://dx.doi.org/10.3354/meps13872</v>
      </c>
      <c r="BG403" t="s">
        <v>74</v>
      </c>
      <c r="BH403" t="s">
        <v>74</v>
      </c>
      <c r="BI403">
        <v>18</v>
      </c>
      <c r="BJ403" t="s">
        <v>6358</v>
      </c>
      <c r="BK403" t="s">
        <v>101</v>
      </c>
      <c r="BL403" t="s">
        <v>6359</v>
      </c>
      <c r="BM403" t="s">
        <v>8189</v>
      </c>
      <c r="BN403" t="s">
        <v>74</v>
      </c>
      <c r="BO403" t="s">
        <v>2395</v>
      </c>
      <c r="BP403" t="s">
        <v>74</v>
      </c>
      <c r="BQ403" t="s">
        <v>74</v>
      </c>
      <c r="BR403" t="s">
        <v>105</v>
      </c>
      <c r="BS403" t="s">
        <v>8224</v>
      </c>
      <c r="BT403" t="str">
        <f>HYPERLINK("https%3A%2F%2Fwww.webofscience.com%2Fwos%2Fwoscc%2Ffull-record%2FWOS:000714439800008","View Full Record in Web of Science")</f>
        <v>View Full Record in Web of Science</v>
      </c>
    </row>
    <row r="404" spans="1:72" x14ac:dyDescent="0.15">
      <c r="A404" t="s">
        <v>72</v>
      </c>
      <c r="B404" t="s">
        <v>8225</v>
      </c>
      <c r="C404" t="s">
        <v>74</v>
      </c>
      <c r="D404" t="s">
        <v>74</v>
      </c>
      <c r="E404" t="s">
        <v>74</v>
      </c>
      <c r="F404" t="s">
        <v>8226</v>
      </c>
      <c r="G404" t="s">
        <v>74</v>
      </c>
      <c r="H404" t="s">
        <v>74</v>
      </c>
      <c r="I404" t="s">
        <v>8227</v>
      </c>
      <c r="J404" t="s">
        <v>6339</v>
      </c>
      <c r="K404" t="s">
        <v>74</v>
      </c>
      <c r="L404" t="s">
        <v>74</v>
      </c>
      <c r="M404" t="s">
        <v>78</v>
      </c>
      <c r="N404" t="s">
        <v>79</v>
      </c>
      <c r="O404" t="s">
        <v>74</v>
      </c>
      <c r="P404" t="s">
        <v>74</v>
      </c>
      <c r="Q404" t="s">
        <v>74</v>
      </c>
      <c r="R404" t="s">
        <v>74</v>
      </c>
      <c r="S404" t="s">
        <v>74</v>
      </c>
      <c r="T404" t="s">
        <v>8228</v>
      </c>
      <c r="U404" t="s">
        <v>8229</v>
      </c>
      <c r="V404" t="s">
        <v>8230</v>
      </c>
      <c r="W404" t="s">
        <v>8231</v>
      </c>
      <c r="X404" t="s">
        <v>8232</v>
      </c>
      <c r="Y404" t="s">
        <v>8233</v>
      </c>
      <c r="Z404" t="s">
        <v>8234</v>
      </c>
      <c r="AA404" t="s">
        <v>8235</v>
      </c>
      <c r="AB404" t="s">
        <v>8236</v>
      </c>
      <c r="AC404" t="s">
        <v>8237</v>
      </c>
      <c r="AD404" t="s">
        <v>8238</v>
      </c>
      <c r="AE404" t="s">
        <v>8239</v>
      </c>
      <c r="AF404" t="s">
        <v>74</v>
      </c>
      <c r="AG404">
        <v>61</v>
      </c>
      <c r="AH404">
        <v>4</v>
      </c>
      <c r="AI404">
        <v>5</v>
      </c>
      <c r="AJ404">
        <v>1</v>
      </c>
      <c r="AK404">
        <v>9</v>
      </c>
      <c r="AL404" t="s">
        <v>6350</v>
      </c>
      <c r="AM404" t="s">
        <v>6351</v>
      </c>
      <c r="AN404" t="s">
        <v>6352</v>
      </c>
      <c r="AO404" t="s">
        <v>6353</v>
      </c>
      <c r="AP404" t="s">
        <v>6354</v>
      </c>
      <c r="AQ404" t="s">
        <v>74</v>
      </c>
      <c r="AR404" t="s">
        <v>6355</v>
      </c>
      <c r="AS404" t="s">
        <v>6356</v>
      </c>
      <c r="AT404" t="s">
        <v>8136</v>
      </c>
      <c r="AU404">
        <v>2021</v>
      </c>
      <c r="AV404">
        <v>676</v>
      </c>
      <c r="AW404" t="s">
        <v>74</v>
      </c>
      <c r="AX404" t="s">
        <v>74</v>
      </c>
      <c r="AY404" t="s">
        <v>74</v>
      </c>
      <c r="AZ404" t="s">
        <v>74</v>
      </c>
      <c r="BA404" t="s">
        <v>74</v>
      </c>
      <c r="BB404">
        <v>145</v>
      </c>
      <c r="BC404">
        <v>157</v>
      </c>
      <c r="BD404" t="s">
        <v>74</v>
      </c>
      <c r="BE404" t="s">
        <v>8240</v>
      </c>
      <c r="BF404" t="str">
        <f>HYPERLINK("http://dx.doi.org/10.3354/meps13697","http://dx.doi.org/10.3354/meps13697")</f>
        <v>http://dx.doi.org/10.3354/meps13697</v>
      </c>
      <c r="BG404" t="s">
        <v>74</v>
      </c>
      <c r="BH404" t="s">
        <v>74</v>
      </c>
      <c r="BI404">
        <v>13</v>
      </c>
      <c r="BJ404" t="s">
        <v>6358</v>
      </c>
      <c r="BK404" t="s">
        <v>101</v>
      </c>
      <c r="BL404" t="s">
        <v>6359</v>
      </c>
      <c r="BM404" t="s">
        <v>8189</v>
      </c>
      <c r="BN404" t="s">
        <v>74</v>
      </c>
      <c r="BO404" t="s">
        <v>2470</v>
      </c>
      <c r="BP404" t="s">
        <v>74</v>
      </c>
      <c r="BQ404" t="s">
        <v>74</v>
      </c>
      <c r="BR404" t="s">
        <v>105</v>
      </c>
      <c r="BS404" t="s">
        <v>8241</v>
      </c>
      <c r="BT404" t="str">
        <f>HYPERLINK("https%3A%2F%2Fwww.webofscience.com%2Fwos%2Fwoscc%2Ffull-record%2FWOS:000714439800009","View Full Record in Web of Science")</f>
        <v>View Full Record in Web of Science</v>
      </c>
    </row>
    <row r="405" spans="1:72" x14ac:dyDescent="0.15">
      <c r="A405" t="s">
        <v>72</v>
      </c>
      <c r="B405" t="s">
        <v>8242</v>
      </c>
      <c r="C405" t="s">
        <v>74</v>
      </c>
      <c r="D405" t="s">
        <v>74</v>
      </c>
      <c r="E405" t="s">
        <v>74</v>
      </c>
      <c r="F405" t="s">
        <v>8243</v>
      </c>
      <c r="G405" t="s">
        <v>74</v>
      </c>
      <c r="H405" t="s">
        <v>74</v>
      </c>
      <c r="I405" t="s">
        <v>8244</v>
      </c>
      <c r="J405" t="s">
        <v>6339</v>
      </c>
      <c r="K405" t="s">
        <v>74</v>
      </c>
      <c r="L405" t="s">
        <v>74</v>
      </c>
      <c r="M405" t="s">
        <v>78</v>
      </c>
      <c r="N405" t="s">
        <v>79</v>
      </c>
      <c r="O405" t="s">
        <v>74</v>
      </c>
      <c r="P405" t="s">
        <v>74</v>
      </c>
      <c r="Q405" t="s">
        <v>74</v>
      </c>
      <c r="R405" t="s">
        <v>74</v>
      </c>
      <c r="S405" t="s">
        <v>74</v>
      </c>
      <c r="T405" t="s">
        <v>8245</v>
      </c>
      <c r="U405" t="s">
        <v>8246</v>
      </c>
      <c r="V405" t="s">
        <v>8247</v>
      </c>
      <c r="W405" t="s">
        <v>8248</v>
      </c>
      <c r="X405" t="s">
        <v>8249</v>
      </c>
      <c r="Y405" t="s">
        <v>8250</v>
      </c>
      <c r="Z405" t="s">
        <v>8251</v>
      </c>
      <c r="AA405" t="s">
        <v>8252</v>
      </c>
      <c r="AB405" t="s">
        <v>8253</v>
      </c>
      <c r="AC405" t="s">
        <v>8254</v>
      </c>
      <c r="AD405" t="s">
        <v>8255</v>
      </c>
      <c r="AE405" t="s">
        <v>8256</v>
      </c>
      <c r="AF405" t="s">
        <v>74</v>
      </c>
      <c r="AG405">
        <v>83</v>
      </c>
      <c r="AH405">
        <v>3</v>
      </c>
      <c r="AI405">
        <v>3</v>
      </c>
      <c r="AJ405">
        <v>1</v>
      </c>
      <c r="AK405">
        <v>4</v>
      </c>
      <c r="AL405" t="s">
        <v>6350</v>
      </c>
      <c r="AM405" t="s">
        <v>6351</v>
      </c>
      <c r="AN405" t="s">
        <v>6352</v>
      </c>
      <c r="AO405" t="s">
        <v>6353</v>
      </c>
      <c r="AP405" t="s">
        <v>6354</v>
      </c>
      <c r="AQ405" t="s">
        <v>74</v>
      </c>
      <c r="AR405" t="s">
        <v>6355</v>
      </c>
      <c r="AS405" t="s">
        <v>6356</v>
      </c>
      <c r="AT405" t="s">
        <v>8136</v>
      </c>
      <c r="AU405">
        <v>2021</v>
      </c>
      <c r="AV405">
        <v>676</v>
      </c>
      <c r="AW405" t="s">
        <v>74</v>
      </c>
      <c r="AX405" t="s">
        <v>74</v>
      </c>
      <c r="AY405" t="s">
        <v>74</v>
      </c>
      <c r="AZ405" t="s">
        <v>74</v>
      </c>
      <c r="BA405" t="s">
        <v>74</v>
      </c>
      <c r="BB405">
        <v>189</v>
      </c>
      <c r="BC405">
        <v>203</v>
      </c>
      <c r="BD405" t="s">
        <v>74</v>
      </c>
      <c r="BE405" t="s">
        <v>8257</v>
      </c>
      <c r="BF405" t="str">
        <f>HYPERLINK("http://dx.doi.org/10.3354/meps13889","http://dx.doi.org/10.3354/meps13889")</f>
        <v>http://dx.doi.org/10.3354/meps13889</v>
      </c>
      <c r="BG405" t="s">
        <v>74</v>
      </c>
      <c r="BH405" t="s">
        <v>74</v>
      </c>
      <c r="BI405">
        <v>15</v>
      </c>
      <c r="BJ405" t="s">
        <v>6358</v>
      </c>
      <c r="BK405" t="s">
        <v>101</v>
      </c>
      <c r="BL405" t="s">
        <v>6359</v>
      </c>
      <c r="BM405" t="s">
        <v>8189</v>
      </c>
      <c r="BN405" t="s">
        <v>74</v>
      </c>
      <c r="BO405" t="s">
        <v>74</v>
      </c>
      <c r="BP405" t="s">
        <v>74</v>
      </c>
      <c r="BQ405" t="s">
        <v>74</v>
      </c>
      <c r="BR405" t="s">
        <v>105</v>
      </c>
      <c r="BS405" t="s">
        <v>8258</v>
      </c>
      <c r="BT405" t="str">
        <f>HYPERLINK("https%3A%2F%2Fwww.webofscience.com%2Fwos%2Fwoscc%2Ffull-record%2FWOS:000714439800012","View Full Record in Web of Science")</f>
        <v>View Full Record in Web of Science</v>
      </c>
    </row>
    <row r="406" spans="1:72" x14ac:dyDescent="0.15">
      <c r="A406" t="s">
        <v>72</v>
      </c>
      <c r="B406" t="s">
        <v>8259</v>
      </c>
      <c r="C406" t="s">
        <v>74</v>
      </c>
      <c r="D406" t="s">
        <v>74</v>
      </c>
      <c r="E406" t="s">
        <v>74</v>
      </c>
      <c r="F406" t="s">
        <v>8260</v>
      </c>
      <c r="G406" t="s">
        <v>74</v>
      </c>
      <c r="H406" t="s">
        <v>74</v>
      </c>
      <c r="I406" t="s">
        <v>8261</v>
      </c>
      <c r="J406" t="s">
        <v>6339</v>
      </c>
      <c r="K406" t="s">
        <v>74</v>
      </c>
      <c r="L406" t="s">
        <v>74</v>
      </c>
      <c r="M406" t="s">
        <v>78</v>
      </c>
      <c r="N406" t="s">
        <v>79</v>
      </c>
      <c r="O406" t="s">
        <v>74</v>
      </c>
      <c r="P406" t="s">
        <v>74</v>
      </c>
      <c r="Q406" t="s">
        <v>74</v>
      </c>
      <c r="R406" t="s">
        <v>74</v>
      </c>
      <c r="S406" t="s">
        <v>74</v>
      </c>
      <c r="T406" t="s">
        <v>8262</v>
      </c>
      <c r="U406" t="s">
        <v>8263</v>
      </c>
      <c r="V406" t="s">
        <v>8264</v>
      </c>
      <c r="W406" t="s">
        <v>8265</v>
      </c>
      <c r="X406" t="s">
        <v>8266</v>
      </c>
      <c r="Y406" t="s">
        <v>8267</v>
      </c>
      <c r="Z406" t="s">
        <v>8268</v>
      </c>
      <c r="AA406" t="s">
        <v>8269</v>
      </c>
      <c r="AB406" t="s">
        <v>8270</v>
      </c>
      <c r="AC406" t="s">
        <v>8271</v>
      </c>
      <c r="AD406" t="s">
        <v>8272</v>
      </c>
      <c r="AE406" t="s">
        <v>8273</v>
      </c>
      <c r="AF406" t="s">
        <v>74</v>
      </c>
      <c r="AG406">
        <v>78</v>
      </c>
      <c r="AH406">
        <v>8</v>
      </c>
      <c r="AI406">
        <v>9</v>
      </c>
      <c r="AJ406">
        <v>3</v>
      </c>
      <c r="AK406">
        <v>29</v>
      </c>
      <c r="AL406" t="s">
        <v>6350</v>
      </c>
      <c r="AM406" t="s">
        <v>6351</v>
      </c>
      <c r="AN406" t="s">
        <v>6352</v>
      </c>
      <c r="AO406" t="s">
        <v>6353</v>
      </c>
      <c r="AP406" t="s">
        <v>6354</v>
      </c>
      <c r="AQ406" t="s">
        <v>74</v>
      </c>
      <c r="AR406" t="s">
        <v>6355</v>
      </c>
      <c r="AS406" t="s">
        <v>6356</v>
      </c>
      <c r="AT406" t="s">
        <v>8136</v>
      </c>
      <c r="AU406">
        <v>2021</v>
      </c>
      <c r="AV406">
        <v>676</v>
      </c>
      <c r="AW406" t="s">
        <v>74</v>
      </c>
      <c r="AX406" t="s">
        <v>74</v>
      </c>
      <c r="AY406" t="s">
        <v>74</v>
      </c>
      <c r="AZ406" t="s">
        <v>74</v>
      </c>
      <c r="BA406" t="s">
        <v>74</v>
      </c>
      <c r="BB406">
        <v>255</v>
      </c>
      <c r="BC406">
        <v>276</v>
      </c>
      <c r="BD406" t="s">
        <v>74</v>
      </c>
      <c r="BE406" t="s">
        <v>8274</v>
      </c>
      <c r="BF406" t="str">
        <f>HYPERLINK("http://dx.doi.org/10.3354/meps13854","http://dx.doi.org/10.3354/meps13854")</f>
        <v>http://dx.doi.org/10.3354/meps13854</v>
      </c>
      <c r="BG406" t="s">
        <v>74</v>
      </c>
      <c r="BH406" t="s">
        <v>74</v>
      </c>
      <c r="BI406">
        <v>22</v>
      </c>
      <c r="BJ406" t="s">
        <v>6358</v>
      </c>
      <c r="BK406" t="s">
        <v>101</v>
      </c>
      <c r="BL406" t="s">
        <v>6359</v>
      </c>
      <c r="BM406" t="s">
        <v>8189</v>
      </c>
      <c r="BN406" t="s">
        <v>74</v>
      </c>
      <c r="BO406" t="s">
        <v>531</v>
      </c>
      <c r="BP406" t="s">
        <v>74</v>
      </c>
      <c r="BQ406" t="s">
        <v>74</v>
      </c>
      <c r="BR406" t="s">
        <v>105</v>
      </c>
      <c r="BS406" t="s">
        <v>8275</v>
      </c>
      <c r="BT406" t="str">
        <f>HYPERLINK("https%3A%2F%2Fwww.webofscience.com%2Fwos%2Fwoscc%2Ffull-record%2FWOS:000714439800017","View Full Record in Web of Science")</f>
        <v>View Full Record in Web of Science</v>
      </c>
    </row>
    <row r="407" spans="1:72" x14ac:dyDescent="0.15">
      <c r="A407" t="s">
        <v>72</v>
      </c>
      <c r="B407" t="s">
        <v>8276</v>
      </c>
      <c r="C407" t="s">
        <v>74</v>
      </c>
      <c r="D407" t="s">
        <v>74</v>
      </c>
      <c r="E407" t="s">
        <v>74</v>
      </c>
      <c r="F407" t="s">
        <v>8277</v>
      </c>
      <c r="G407" t="s">
        <v>74</v>
      </c>
      <c r="H407" t="s">
        <v>74</v>
      </c>
      <c r="I407" t="s">
        <v>8278</v>
      </c>
      <c r="J407" t="s">
        <v>1556</v>
      </c>
      <c r="K407" t="s">
        <v>74</v>
      </c>
      <c r="L407" t="s">
        <v>74</v>
      </c>
      <c r="M407" t="s">
        <v>78</v>
      </c>
      <c r="N407" t="s">
        <v>79</v>
      </c>
      <c r="O407" t="s">
        <v>74</v>
      </c>
      <c r="P407" t="s">
        <v>74</v>
      </c>
      <c r="Q407" t="s">
        <v>74</v>
      </c>
      <c r="R407" t="s">
        <v>74</v>
      </c>
      <c r="S407" t="s">
        <v>74</v>
      </c>
      <c r="T407" t="s">
        <v>74</v>
      </c>
      <c r="U407" t="s">
        <v>8279</v>
      </c>
      <c r="V407" t="s">
        <v>8280</v>
      </c>
      <c r="W407" t="s">
        <v>8281</v>
      </c>
      <c r="X407" t="s">
        <v>8282</v>
      </c>
      <c r="Y407" t="s">
        <v>8283</v>
      </c>
      <c r="Z407" t="s">
        <v>8284</v>
      </c>
      <c r="AA407" t="s">
        <v>8285</v>
      </c>
      <c r="AB407" t="s">
        <v>8286</v>
      </c>
      <c r="AC407" t="s">
        <v>8287</v>
      </c>
      <c r="AD407" t="s">
        <v>8288</v>
      </c>
      <c r="AE407" t="s">
        <v>8289</v>
      </c>
      <c r="AF407" t="s">
        <v>74</v>
      </c>
      <c r="AG407">
        <v>86</v>
      </c>
      <c r="AH407">
        <v>5</v>
      </c>
      <c r="AI407">
        <v>6</v>
      </c>
      <c r="AJ407">
        <v>2</v>
      </c>
      <c r="AK407">
        <v>17</v>
      </c>
      <c r="AL407" t="s">
        <v>227</v>
      </c>
      <c r="AM407" t="s">
        <v>228</v>
      </c>
      <c r="AN407" t="s">
        <v>229</v>
      </c>
      <c r="AO407" t="s">
        <v>1568</v>
      </c>
      <c r="AP407" t="s">
        <v>1569</v>
      </c>
      <c r="AQ407" t="s">
        <v>74</v>
      </c>
      <c r="AR407" t="s">
        <v>1556</v>
      </c>
      <c r="AS407" t="s">
        <v>1570</v>
      </c>
      <c r="AT407" t="s">
        <v>8136</v>
      </c>
      <c r="AU407">
        <v>2021</v>
      </c>
      <c r="AV407">
        <v>18</v>
      </c>
      <c r="AW407">
        <v>19</v>
      </c>
      <c r="AX407" t="s">
        <v>74</v>
      </c>
      <c r="AY407" t="s">
        <v>74</v>
      </c>
      <c r="AZ407" t="s">
        <v>74</v>
      </c>
      <c r="BA407" t="s">
        <v>74</v>
      </c>
      <c r="BB407">
        <v>5555</v>
      </c>
      <c r="BC407">
        <v>5571</v>
      </c>
      <c r="BD407" t="s">
        <v>74</v>
      </c>
      <c r="BE407" t="s">
        <v>8290</v>
      </c>
      <c r="BF407" t="str">
        <f>HYPERLINK("http://dx.doi.org/10.5194/bg-18-5555-2021","http://dx.doi.org/10.5194/bg-18-5555-2021")</f>
        <v>http://dx.doi.org/10.5194/bg-18-5555-2021</v>
      </c>
      <c r="BG407" t="s">
        <v>74</v>
      </c>
      <c r="BH407" t="s">
        <v>74</v>
      </c>
      <c r="BI407">
        <v>17</v>
      </c>
      <c r="BJ407" t="s">
        <v>1572</v>
      </c>
      <c r="BK407" t="s">
        <v>101</v>
      </c>
      <c r="BL407" t="s">
        <v>1573</v>
      </c>
      <c r="BM407" t="s">
        <v>8291</v>
      </c>
      <c r="BN407" t="s">
        <v>74</v>
      </c>
      <c r="BO407" t="s">
        <v>554</v>
      </c>
      <c r="BP407" t="s">
        <v>74</v>
      </c>
      <c r="BQ407" t="s">
        <v>74</v>
      </c>
      <c r="BR407" t="s">
        <v>105</v>
      </c>
      <c r="BS407" t="s">
        <v>8292</v>
      </c>
      <c r="BT407" t="str">
        <f>HYPERLINK("https%3A%2F%2Fwww.webofscience.com%2Fwos%2Fwoscc%2Ffull-record%2FWOS:000709151400001","View Full Record in Web of Science")</f>
        <v>View Full Record in Web of Science</v>
      </c>
    </row>
    <row r="408" spans="1:72" x14ac:dyDescent="0.15">
      <c r="A408" t="s">
        <v>72</v>
      </c>
      <c r="B408" t="s">
        <v>8293</v>
      </c>
      <c r="C408" t="s">
        <v>74</v>
      </c>
      <c r="D408" t="s">
        <v>74</v>
      </c>
      <c r="E408" t="s">
        <v>74</v>
      </c>
      <c r="F408" t="s">
        <v>8294</v>
      </c>
      <c r="G408" t="s">
        <v>74</v>
      </c>
      <c r="H408" t="s">
        <v>74</v>
      </c>
      <c r="I408" t="s">
        <v>8295</v>
      </c>
      <c r="J408" t="s">
        <v>7243</v>
      </c>
      <c r="K408" t="s">
        <v>74</v>
      </c>
      <c r="L408" t="s">
        <v>74</v>
      </c>
      <c r="M408" t="s">
        <v>78</v>
      </c>
      <c r="N408" t="s">
        <v>111</v>
      </c>
      <c r="O408" t="s">
        <v>74</v>
      </c>
      <c r="P408" t="s">
        <v>74</v>
      </c>
      <c r="Q408" t="s">
        <v>74</v>
      </c>
      <c r="R408" t="s">
        <v>74</v>
      </c>
      <c r="S408" t="s">
        <v>74</v>
      </c>
      <c r="T408" t="s">
        <v>74</v>
      </c>
      <c r="U408" t="s">
        <v>74</v>
      </c>
      <c r="V408" t="s">
        <v>74</v>
      </c>
      <c r="W408" t="s">
        <v>8296</v>
      </c>
      <c r="X408" t="s">
        <v>8297</v>
      </c>
      <c r="Y408" t="s">
        <v>8298</v>
      </c>
      <c r="Z408" t="s">
        <v>8299</v>
      </c>
      <c r="AA408" t="s">
        <v>74</v>
      </c>
      <c r="AB408" t="s">
        <v>74</v>
      </c>
      <c r="AC408" t="s">
        <v>74</v>
      </c>
      <c r="AD408" t="s">
        <v>74</v>
      </c>
      <c r="AE408" t="s">
        <v>74</v>
      </c>
      <c r="AF408" t="s">
        <v>74</v>
      </c>
      <c r="AG408">
        <v>1</v>
      </c>
      <c r="AH408">
        <v>1</v>
      </c>
      <c r="AI408">
        <v>1</v>
      </c>
      <c r="AJ408">
        <v>1</v>
      </c>
      <c r="AK408">
        <v>2</v>
      </c>
      <c r="AL408" t="s">
        <v>847</v>
      </c>
      <c r="AM408" t="s">
        <v>848</v>
      </c>
      <c r="AN408" t="s">
        <v>849</v>
      </c>
      <c r="AO408" t="s">
        <v>7255</v>
      </c>
      <c r="AP408" t="s">
        <v>7256</v>
      </c>
      <c r="AQ408" t="s">
        <v>74</v>
      </c>
      <c r="AR408" t="s">
        <v>7257</v>
      </c>
      <c r="AS408" t="s">
        <v>7258</v>
      </c>
      <c r="AT408" t="s">
        <v>2840</v>
      </c>
      <c r="AU408">
        <v>2021</v>
      </c>
      <c r="AV408">
        <v>576</v>
      </c>
      <c r="AW408" t="s">
        <v>74</v>
      </c>
      <c r="AX408" t="s">
        <v>74</v>
      </c>
      <c r="AY408" t="s">
        <v>74</v>
      </c>
      <c r="AZ408" t="s">
        <v>74</v>
      </c>
      <c r="BA408" t="s">
        <v>74</v>
      </c>
      <c r="BB408" t="s">
        <v>74</v>
      </c>
      <c r="BC408" t="s">
        <v>74</v>
      </c>
      <c r="BD408">
        <v>117221</v>
      </c>
      <c r="BE408" t="s">
        <v>8300</v>
      </c>
      <c r="BF408" t="str">
        <f>HYPERLINK("http://dx.doi.org/10.1016/j.epsl.2021.117221","http://dx.doi.org/10.1016/j.epsl.2021.117221")</f>
        <v>http://dx.doi.org/10.1016/j.epsl.2021.117221</v>
      </c>
      <c r="BG408" t="s">
        <v>74</v>
      </c>
      <c r="BH408" t="s">
        <v>5766</v>
      </c>
      <c r="BI408">
        <v>1</v>
      </c>
      <c r="BJ408" t="s">
        <v>365</v>
      </c>
      <c r="BK408" t="s">
        <v>101</v>
      </c>
      <c r="BL408" t="s">
        <v>365</v>
      </c>
      <c r="BM408" t="s">
        <v>8301</v>
      </c>
      <c r="BN408" t="s">
        <v>74</v>
      </c>
      <c r="BO408" t="s">
        <v>74</v>
      </c>
      <c r="BP408" t="s">
        <v>74</v>
      </c>
      <c r="BQ408" t="s">
        <v>74</v>
      </c>
      <c r="BR408" t="s">
        <v>105</v>
      </c>
      <c r="BS408" t="s">
        <v>8302</v>
      </c>
      <c r="BT408" t="str">
        <f>HYPERLINK("https%3A%2F%2Fwww.webofscience.com%2Fwos%2Fwoscc%2Ffull-record%2FWOS:000709450900015","View Full Record in Web of Science")</f>
        <v>View Full Record in Web of Science</v>
      </c>
    </row>
    <row r="409" spans="1:72" x14ac:dyDescent="0.15">
      <c r="A409" t="s">
        <v>72</v>
      </c>
      <c r="B409" t="s">
        <v>8303</v>
      </c>
      <c r="C409" t="s">
        <v>74</v>
      </c>
      <c r="D409" t="s">
        <v>74</v>
      </c>
      <c r="E409" t="s">
        <v>74</v>
      </c>
      <c r="F409" t="s">
        <v>8304</v>
      </c>
      <c r="G409" t="s">
        <v>74</v>
      </c>
      <c r="H409" t="s">
        <v>74</v>
      </c>
      <c r="I409" t="s">
        <v>8305</v>
      </c>
      <c r="J409" t="s">
        <v>8306</v>
      </c>
      <c r="K409" t="s">
        <v>74</v>
      </c>
      <c r="L409" t="s">
        <v>74</v>
      </c>
      <c r="M409" t="s">
        <v>78</v>
      </c>
      <c r="N409" t="s">
        <v>7574</v>
      </c>
      <c r="O409" t="s">
        <v>74</v>
      </c>
      <c r="P409" t="s">
        <v>74</v>
      </c>
      <c r="Q409" t="s">
        <v>74</v>
      </c>
      <c r="R409" t="s">
        <v>74</v>
      </c>
      <c r="S409" t="s">
        <v>74</v>
      </c>
      <c r="T409" t="s">
        <v>8307</v>
      </c>
      <c r="U409" t="s">
        <v>74</v>
      </c>
      <c r="V409" t="s">
        <v>8308</v>
      </c>
      <c r="W409" t="s">
        <v>8309</v>
      </c>
      <c r="X409" t="s">
        <v>8310</v>
      </c>
      <c r="Y409" t="s">
        <v>8311</v>
      </c>
      <c r="Z409" t="s">
        <v>8312</v>
      </c>
      <c r="AA409" t="s">
        <v>8313</v>
      </c>
      <c r="AB409" t="s">
        <v>8314</v>
      </c>
      <c r="AC409" t="s">
        <v>8315</v>
      </c>
      <c r="AD409" t="s">
        <v>8316</v>
      </c>
      <c r="AE409" t="s">
        <v>8317</v>
      </c>
      <c r="AF409" t="s">
        <v>74</v>
      </c>
      <c r="AG409">
        <v>12</v>
      </c>
      <c r="AH409">
        <v>10</v>
      </c>
      <c r="AI409">
        <v>11</v>
      </c>
      <c r="AJ409">
        <v>0</v>
      </c>
      <c r="AK409">
        <v>9</v>
      </c>
      <c r="AL409" t="s">
        <v>198</v>
      </c>
      <c r="AM409" t="s">
        <v>199</v>
      </c>
      <c r="AN409" t="s">
        <v>200</v>
      </c>
      <c r="AO409" t="s">
        <v>8318</v>
      </c>
      <c r="AP409" t="s">
        <v>8319</v>
      </c>
      <c r="AQ409" t="s">
        <v>74</v>
      </c>
      <c r="AR409" t="s">
        <v>8306</v>
      </c>
      <c r="AS409" t="s">
        <v>8320</v>
      </c>
      <c r="AT409" t="s">
        <v>8321</v>
      </c>
      <c r="AU409">
        <v>2022</v>
      </c>
      <c r="AV409">
        <v>6</v>
      </c>
      <c r="AW409">
        <v>4</v>
      </c>
      <c r="AX409" t="s">
        <v>74</v>
      </c>
      <c r="AY409" t="s">
        <v>74</v>
      </c>
      <c r="AZ409" t="s">
        <v>526</v>
      </c>
      <c r="BA409" t="s">
        <v>74</v>
      </c>
      <c r="BB409">
        <v>385</v>
      </c>
      <c r="BC409">
        <v>400</v>
      </c>
      <c r="BD409" t="s">
        <v>74</v>
      </c>
      <c r="BE409" t="s">
        <v>8322</v>
      </c>
      <c r="BF409" t="str">
        <f>HYPERLINK("http://dx.doi.org/10.1080/20964471.2021.1976706","http://dx.doi.org/10.1080/20964471.2021.1976706")</f>
        <v>http://dx.doi.org/10.1080/20964471.2021.1976706</v>
      </c>
      <c r="BG409" t="s">
        <v>74</v>
      </c>
      <c r="BH409" t="s">
        <v>5766</v>
      </c>
      <c r="BI409">
        <v>16</v>
      </c>
      <c r="BJ409" t="s">
        <v>8323</v>
      </c>
      <c r="BK409" t="s">
        <v>1629</v>
      </c>
      <c r="BL409" t="s">
        <v>8324</v>
      </c>
      <c r="BM409" t="s">
        <v>8325</v>
      </c>
      <c r="BN409" t="s">
        <v>74</v>
      </c>
      <c r="BO409" t="s">
        <v>210</v>
      </c>
      <c r="BP409" t="s">
        <v>74</v>
      </c>
      <c r="BQ409" t="s">
        <v>74</v>
      </c>
      <c r="BR409" t="s">
        <v>105</v>
      </c>
      <c r="BS409" t="s">
        <v>8326</v>
      </c>
      <c r="BT409" t="str">
        <f>HYPERLINK("https%3A%2F%2Fwww.webofscience.com%2Fwos%2Fwoscc%2Ffull-record%2FWOS:000707619600001","View Full Record in Web of Science")</f>
        <v>View Full Record in Web of Science</v>
      </c>
    </row>
    <row r="410" spans="1:72" x14ac:dyDescent="0.15">
      <c r="A410" t="s">
        <v>72</v>
      </c>
      <c r="B410" t="s">
        <v>8327</v>
      </c>
      <c r="C410" t="s">
        <v>74</v>
      </c>
      <c r="D410" t="s">
        <v>74</v>
      </c>
      <c r="E410" t="s">
        <v>74</v>
      </c>
      <c r="F410" t="s">
        <v>8328</v>
      </c>
      <c r="G410" t="s">
        <v>74</v>
      </c>
      <c r="H410" t="s">
        <v>74</v>
      </c>
      <c r="I410" t="s">
        <v>8329</v>
      </c>
      <c r="J410" t="s">
        <v>1377</v>
      </c>
      <c r="K410" t="s">
        <v>74</v>
      </c>
      <c r="L410" t="s">
        <v>74</v>
      </c>
      <c r="M410" t="s">
        <v>78</v>
      </c>
      <c r="N410" t="s">
        <v>79</v>
      </c>
      <c r="O410" t="s">
        <v>74</v>
      </c>
      <c r="P410" t="s">
        <v>74</v>
      </c>
      <c r="Q410" t="s">
        <v>74</v>
      </c>
      <c r="R410" t="s">
        <v>74</v>
      </c>
      <c r="S410" t="s">
        <v>74</v>
      </c>
      <c r="T410" t="s">
        <v>8330</v>
      </c>
      <c r="U410" t="s">
        <v>8331</v>
      </c>
      <c r="V410" t="s">
        <v>8332</v>
      </c>
      <c r="W410" t="s">
        <v>8333</v>
      </c>
      <c r="X410" t="s">
        <v>8334</v>
      </c>
      <c r="Y410" t="s">
        <v>8335</v>
      </c>
      <c r="Z410" t="s">
        <v>8336</v>
      </c>
      <c r="AA410" t="s">
        <v>8337</v>
      </c>
      <c r="AB410" t="s">
        <v>8338</v>
      </c>
      <c r="AC410" t="s">
        <v>8339</v>
      </c>
      <c r="AD410" t="s">
        <v>8340</v>
      </c>
      <c r="AE410" t="s">
        <v>8341</v>
      </c>
      <c r="AF410" t="s">
        <v>74</v>
      </c>
      <c r="AG410">
        <v>139</v>
      </c>
      <c r="AH410">
        <v>15</v>
      </c>
      <c r="AI410">
        <v>15</v>
      </c>
      <c r="AJ410">
        <v>1</v>
      </c>
      <c r="AK410">
        <v>6</v>
      </c>
      <c r="AL410" t="s">
        <v>255</v>
      </c>
      <c r="AM410" t="s">
        <v>256</v>
      </c>
      <c r="AN410" t="s">
        <v>257</v>
      </c>
      <c r="AO410" t="s">
        <v>1390</v>
      </c>
      <c r="AP410" t="s">
        <v>1391</v>
      </c>
      <c r="AQ410" t="s">
        <v>74</v>
      </c>
      <c r="AR410" t="s">
        <v>1392</v>
      </c>
      <c r="AS410" t="s">
        <v>1393</v>
      </c>
      <c r="AT410" t="s">
        <v>2435</v>
      </c>
      <c r="AU410">
        <v>2021</v>
      </c>
      <c r="AV410">
        <v>272</v>
      </c>
      <c r="AW410" t="s">
        <v>74</v>
      </c>
      <c r="AX410" t="s">
        <v>74</v>
      </c>
      <c r="AY410" t="s">
        <v>74</v>
      </c>
      <c r="AZ410" t="s">
        <v>74</v>
      </c>
      <c r="BA410" t="s">
        <v>74</v>
      </c>
      <c r="BB410" t="s">
        <v>74</v>
      </c>
      <c r="BC410" t="s">
        <v>74</v>
      </c>
      <c r="BD410">
        <v>107194</v>
      </c>
      <c r="BE410" t="s">
        <v>8342</v>
      </c>
      <c r="BF410" t="str">
        <f>HYPERLINK("http://dx.doi.org/10.1016/j.quascirev.2021.107194","http://dx.doi.org/10.1016/j.quascirev.2021.107194")</f>
        <v>http://dx.doi.org/10.1016/j.quascirev.2021.107194</v>
      </c>
      <c r="BG410" t="s">
        <v>74</v>
      </c>
      <c r="BH410" t="s">
        <v>5766</v>
      </c>
      <c r="BI410">
        <v>26</v>
      </c>
      <c r="BJ410" t="s">
        <v>340</v>
      </c>
      <c r="BK410" t="s">
        <v>101</v>
      </c>
      <c r="BL410" t="s">
        <v>341</v>
      </c>
      <c r="BM410" t="s">
        <v>7456</v>
      </c>
      <c r="BN410" t="s">
        <v>74</v>
      </c>
      <c r="BO410" t="s">
        <v>8343</v>
      </c>
      <c r="BP410" t="s">
        <v>74</v>
      </c>
      <c r="BQ410" t="s">
        <v>74</v>
      </c>
      <c r="BR410" t="s">
        <v>105</v>
      </c>
      <c r="BS410" t="s">
        <v>8344</v>
      </c>
      <c r="BT410" t="str">
        <f>HYPERLINK("https%3A%2F%2Fwww.webofscience.com%2Fwos%2Fwoscc%2Ffull-record%2FWOS:000708698300001","View Full Record in Web of Science")</f>
        <v>View Full Record in Web of Science</v>
      </c>
    </row>
    <row r="411" spans="1:72" x14ac:dyDescent="0.15">
      <c r="A411" t="s">
        <v>72</v>
      </c>
      <c r="B411" t="s">
        <v>8345</v>
      </c>
      <c r="C411" t="s">
        <v>74</v>
      </c>
      <c r="D411" t="s">
        <v>74</v>
      </c>
      <c r="E411" t="s">
        <v>74</v>
      </c>
      <c r="F411" t="s">
        <v>8346</v>
      </c>
      <c r="G411" t="s">
        <v>74</v>
      </c>
      <c r="H411" t="s">
        <v>74</v>
      </c>
      <c r="I411" t="s">
        <v>8347</v>
      </c>
      <c r="J411" t="s">
        <v>3322</v>
      </c>
      <c r="K411" t="s">
        <v>74</v>
      </c>
      <c r="L411" t="s">
        <v>74</v>
      </c>
      <c r="M411" t="s">
        <v>78</v>
      </c>
      <c r="N411" t="s">
        <v>373</v>
      </c>
      <c r="O411" t="s">
        <v>74</v>
      </c>
      <c r="P411" t="s">
        <v>74</v>
      </c>
      <c r="Q411" t="s">
        <v>74</v>
      </c>
      <c r="R411" t="s">
        <v>74</v>
      </c>
      <c r="S411" t="s">
        <v>74</v>
      </c>
      <c r="T411" t="s">
        <v>8348</v>
      </c>
      <c r="U411" t="s">
        <v>8349</v>
      </c>
      <c r="V411" t="s">
        <v>8350</v>
      </c>
      <c r="W411" t="s">
        <v>8351</v>
      </c>
      <c r="X411" t="s">
        <v>8352</v>
      </c>
      <c r="Y411" t="s">
        <v>8353</v>
      </c>
      <c r="Z411" t="s">
        <v>8354</v>
      </c>
      <c r="AA411" t="s">
        <v>8355</v>
      </c>
      <c r="AB411" t="s">
        <v>8356</v>
      </c>
      <c r="AC411" t="s">
        <v>8357</v>
      </c>
      <c r="AD411" t="s">
        <v>8358</v>
      </c>
      <c r="AE411" t="s">
        <v>8359</v>
      </c>
      <c r="AF411" t="s">
        <v>74</v>
      </c>
      <c r="AG411">
        <v>480</v>
      </c>
      <c r="AH411">
        <v>27</v>
      </c>
      <c r="AI411">
        <v>27</v>
      </c>
      <c r="AJ411">
        <v>34</v>
      </c>
      <c r="AK411">
        <v>164</v>
      </c>
      <c r="AL411" t="s">
        <v>3335</v>
      </c>
      <c r="AM411" t="s">
        <v>3336</v>
      </c>
      <c r="AN411" t="s">
        <v>3337</v>
      </c>
      <c r="AO411" t="s">
        <v>3338</v>
      </c>
      <c r="AP411" t="s">
        <v>74</v>
      </c>
      <c r="AQ411" t="s">
        <v>74</v>
      </c>
      <c r="AR411" t="s">
        <v>3339</v>
      </c>
      <c r="AS411" t="s">
        <v>3340</v>
      </c>
      <c r="AT411" t="s">
        <v>8360</v>
      </c>
      <c r="AU411">
        <v>2021</v>
      </c>
      <c r="AV411">
        <v>9</v>
      </c>
      <c r="AW411">
        <v>1</v>
      </c>
      <c r="AX411" t="s">
        <v>74</v>
      </c>
      <c r="AY411" t="s">
        <v>74</v>
      </c>
      <c r="AZ411" t="s">
        <v>74</v>
      </c>
      <c r="BA411" t="s">
        <v>74</v>
      </c>
      <c r="BB411" t="s">
        <v>74</v>
      </c>
      <c r="BC411" t="s">
        <v>74</v>
      </c>
      <c r="BD411">
        <v>1</v>
      </c>
      <c r="BE411" t="s">
        <v>8361</v>
      </c>
      <c r="BF411" t="str">
        <f>HYPERLINK("http://dx.doi.org/10.1525/elementa.2021.00007","http://dx.doi.org/10.1525/elementa.2021.00007")</f>
        <v>http://dx.doi.org/10.1525/elementa.2021.00007</v>
      </c>
      <c r="BG411" t="s">
        <v>74</v>
      </c>
      <c r="BH411" t="s">
        <v>74</v>
      </c>
      <c r="BI411">
        <v>55</v>
      </c>
      <c r="BJ411" t="s">
        <v>100</v>
      </c>
      <c r="BK411" t="s">
        <v>101</v>
      </c>
      <c r="BL411" t="s">
        <v>102</v>
      </c>
      <c r="BM411" t="s">
        <v>8362</v>
      </c>
      <c r="BN411" t="s">
        <v>74</v>
      </c>
      <c r="BO411" t="s">
        <v>4963</v>
      </c>
      <c r="BP411" t="s">
        <v>74</v>
      </c>
      <c r="BQ411" t="s">
        <v>74</v>
      </c>
      <c r="BR411" t="s">
        <v>105</v>
      </c>
      <c r="BS411" t="s">
        <v>8363</v>
      </c>
      <c r="BT411" t="str">
        <f>HYPERLINK("https%3A%2F%2Fwww.webofscience.com%2Fwos%2Fwoscc%2Ffull-record%2FWOS:000711362300001","View Full Record in Web of Science")</f>
        <v>View Full Record in Web of Science</v>
      </c>
    </row>
    <row r="412" spans="1:72" x14ac:dyDescent="0.15">
      <c r="A412" t="s">
        <v>72</v>
      </c>
      <c r="B412" t="s">
        <v>8364</v>
      </c>
      <c r="C412" t="s">
        <v>74</v>
      </c>
      <c r="D412" t="s">
        <v>74</v>
      </c>
      <c r="E412" t="s">
        <v>74</v>
      </c>
      <c r="F412" t="s">
        <v>8365</v>
      </c>
      <c r="G412" t="s">
        <v>74</v>
      </c>
      <c r="H412" t="s">
        <v>74</v>
      </c>
      <c r="I412" t="s">
        <v>8366</v>
      </c>
      <c r="J412" t="s">
        <v>348</v>
      </c>
      <c r="K412" t="s">
        <v>74</v>
      </c>
      <c r="L412" t="s">
        <v>74</v>
      </c>
      <c r="M412" t="s">
        <v>78</v>
      </c>
      <c r="N412" t="s">
        <v>79</v>
      </c>
      <c r="O412" t="s">
        <v>74</v>
      </c>
      <c r="P412" t="s">
        <v>74</v>
      </c>
      <c r="Q412" t="s">
        <v>74</v>
      </c>
      <c r="R412" t="s">
        <v>74</v>
      </c>
      <c r="S412" t="s">
        <v>74</v>
      </c>
      <c r="T412" t="s">
        <v>8367</v>
      </c>
      <c r="U412" t="s">
        <v>8368</v>
      </c>
      <c r="V412" t="s">
        <v>8369</v>
      </c>
      <c r="W412" t="s">
        <v>8370</v>
      </c>
      <c r="X412" t="s">
        <v>8371</v>
      </c>
      <c r="Y412" t="s">
        <v>8372</v>
      </c>
      <c r="Z412" t="s">
        <v>8373</v>
      </c>
      <c r="AA412" t="s">
        <v>8374</v>
      </c>
      <c r="AB412" t="s">
        <v>8375</v>
      </c>
      <c r="AC412" t="s">
        <v>8376</v>
      </c>
      <c r="AD412" t="s">
        <v>8377</v>
      </c>
      <c r="AE412" t="s">
        <v>8378</v>
      </c>
      <c r="AF412" t="s">
        <v>74</v>
      </c>
      <c r="AG412">
        <v>188</v>
      </c>
      <c r="AH412">
        <v>13</v>
      </c>
      <c r="AI412">
        <v>13</v>
      </c>
      <c r="AJ412">
        <v>0</v>
      </c>
      <c r="AK412">
        <v>18</v>
      </c>
      <c r="AL412" t="s">
        <v>255</v>
      </c>
      <c r="AM412" t="s">
        <v>256</v>
      </c>
      <c r="AN412" t="s">
        <v>257</v>
      </c>
      <c r="AO412" t="s">
        <v>359</v>
      </c>
      <c r="AP412" t="s">
        <v>360</v>
      </c>
      <c r="AQ412" t="s">
        <v>74</v>
      </c>
      <c r="AR412" t="s">
        <v>361</v>
      </c>
      <c r="AS412" t="s">
        <v>362</v>
      </c>
      <c r="AT412" t="s">
        <v>204</v>
      </c>
      <c r="AU412">
        <v>2021</v>
      </c>
      <c r="AV412">
        <v>314</v>
      </c>
      <c r="AW412" t="s">
        <v>74</v>
      </c>
      <c r="AX412" t="s">
        <v>74</v>
      </c>
      <c r="AY412" t="s">
        <v>74</v>
      </c>
      <c r="AZ412" t="s">
        <v>74</v>
      </c>
      <c r="BA412" t="s">
        <v>74</v>
      </c>
      <c r="BB412">
        <v>270</v>
      </c>
      <c r="BC412">
        <v>293</v>
      </c>
      <c r="BD412" t="s">
        <v>74</v>
      </c>
      <c r="BE412" t="s">
        <v>8379</v>
      </c>
      <c r="BF412" t="str">
        <f>HYPERLINK("http://dx.doi.org/10.1016/j.gca.2021.08.021","http://dx.doi.org/10.1016/j.gca.2021.08.021")</f>
        <v>http://dx.doi.org/10.1016/j.gca.2021.08.021</v>
      </c>
      <c r="BG412" t="s">
        <v>74</v>
      </c>
      <c r="BH412" t="s">
        <v>5766</v>
      </c>
      <c r="BI412">
        <v>24</v>
      </c>
      <c r="BJ412" t="s">
        <v>365</v>
      </c>
      <c r="BK412" t="s">
        <v>101</v>
      </c>
      <c r="BL412" t="s">
        <v>365</v>
      </c>
      <c r="BM412" t="s">
        <v>8380</v>
      </c>
      <c r="BN412" t="s">
        <v>74</v>
      </c>
      <c r="BO412" t="s">
        <v>1471</v>
      </c>
      <c r="BP412" t="s">
        <v>74</v>
      </c>
      <c r="BQ412" t="s">
        <v>74</v>
      </c>
      <c r="BR412" t="s">
        <v>105</v>
      </c>
      <c r="BS412" t="s">
        <v>8381</v>
      </c>
      <c r="BT412" t="str">
        <f>HYPERLINK("https%3A%2F%2Fwww.webofscience.com%2Fwos%2Fwoscc%2Ffull-record%2FWOS:000710930300003","View Full Record in Web of Science")</f>
        <v>View Full Record in Web of Science</v>
      </c>
    </row>
    <row r="413" spans="1:72" x14ac:dyDescent="0.15">
      <c r="A413" t="s">
        <v>72</v>
      </c>
      <c r="B413" t="s">
        <v>8382</v>
      </c>
      <c r="C413" t="s">
        <v>74</v>
      </c>
      <c r="D413" t="s">
        <v>74</v>
      </c>
      <c r="E413" t="s">
        <v>74</v>
      </c>
      <c r="F413" t="s">
        <v>8383</v>
      </c>
      <c r="G413" t="s">
        <v>74</v>
      </c>
      <c r="H413" t="s">
        <v>74</v>
      </c>
      <c r="I413" t="s">
        <v>8384</v>
      </c>
      <c r="J413" t="s">
        <v>2675</v>
      </c>
      <c r="K413" t="s">
        <v>74</v>
      </c>
      <c r="L413" t="s">
        <v>74</v>
      </c>
      <c r="M413" t="s">
        <v>78</v>
      </c>
      <c r="N413" t="s">
        <v>79</v>
      </c>
      <c r="O413" t="s">
        <v>74</v>
      </c>
      <c r="P413" t="s">
        <v>74</v>
      </c>
      <c r="Q413" t="s">
        <v>74</v>
      </c>
      <c r="R413" t="s">
        <v>74</v>
      </c>
      <c r="S413" t="s">
        <v>74</v>
      </c>
      <c r="T413" t="s">
        <v>74</v>
      </c>
      <c r="U413" t="s">
        <v>8385</v>
      </c>
      <c r="V413" t="s">
        <v>8386</v>
      </c>
      <c r="W413" t="s">
        <v>8387</v>
      </c>
      <c r="X413" t="s">
        <v>8388</v>
      </c>
      <c r="Y413" t="s">
        <v>8389</v>
      </c>
      <c r="Z413" t="s">
        <v>8390</v>
      </c>
      <c r="AA413" t="s">
        <v>8391</v>
      </c>
      <c r="AB413" t="s">
        <v>8392</v>
      </c>
      <c r="AC413" t="s">
        <v>8393</v>
      </c>
      <c r="AD413" t="s">
        <v>8394</v>
      </c>
      <c r="AE413" t="s">
        <v>8395</v>
      </c>
      <c r="AF413" t="s">
        <v>74</v>
      </c>
      <c r="AG413">
        <v>94</v>
      </c>
      <c r="AH413">
        <v>3</v>
      </c>
      <c r="AI413">
        <v>4</v>
      </c>
      <c r="AJ413">
        <v>1</v>
      </c>
      <c r="AK413">
        <v>6</v>
      </c>
      <c r="AL413" t="s">
        <v>227</v>
      </c>
      <c r="AM413" t="s">
        <v>228</v>
      </c>
      <c r="AN413" t="s">
        <v>229</v>
      </c>
      <c r="AO413" t="s">
        <v>2687</v>
      </c>
      <c r="AP413" t="s">
        <v>2688</v>
      </c>
      <c r="AQ413" t="s">
        <v>74</v>
      </c>
      <c r="AR413" t="s">
        <v>2689</v>
      </c>
      <c r="AS413" t="s">
        <v>2690</v>
      </c>
      <c r="AT413" t="s">
        <v>8360</v>
      </c>
      <c r="AU413">
        <v>2021</v>
      </c>
      <c r="AV413">
        <v>17</v>
      </c>
      <c r="AW413">
        <v>5</v>
      </c>
      <c r="AX413" t="s">
        <v>74</v>
      </c>
      <c r="AY413" t="s">
        <v>74</v>
      </c>
      <c r="AZ413" t="s">
        <v>74</v>
      </c>
      <c r="BA413" t="s">
        <v>74</v>
      </c>
      <c r="BB413">
        <v>2073</v>
      </c>
      <c r="BC413">
        <v>2089</v>
      </c>
      <c r="BD413" t="s">
        <v>74</v>
      </c>
      <c r="BE413" t="s">
        <v>8396</v>
      </c>
      <c r="BF413" t="str">
        <f>HYPERLINK("http://dx.doi.org/10.5194/cp-17-2073-2021","http://dx.doi.org/10.5194/cp-17-2073-2021")</f>
        <v>http://dx.doi.org/10.5194/cp-17-2073-2021</v>
      </c>
      <c r="BG413" t="s">
        <v>74</v>
      </c>
      <c r="BH413" t="s">
        <v>74</v>
      </c>
      <c r="BI413">
        <v>17</v>
      </c>
      <c r="BJ413" t="s">
        <v>1418</v>
      </c>
      <c r="BK413" t="s">
        <v>101</v>
      </c>
      <c r="BL413" t="s">
        <v>1419</v>
      </c>
      <c r="BM413" t="s">
        <v>8397</v>
      </c>
      <c r="BN413" t="s">
        <v>74</v>
      </c>
      <c r="BO413" t="s">
        <v>1157</v>
      </c>
      <c r="BP413" t="s">
        <v>74</v>
      </c>
      <c r="BQ413" t="s">
        <v>74</v>
      </c>
      <c r="BR413" t="s">
        <v>105</v>
      </c>
      <c r="BS413" t="s">
        <v>8398</v>
      </c>
      <c r="BT413" t="str">
        <f>HYPERLINK("https%3A%2F%2Fwww.webofscience.com%2Fwos%2Fwoscc%2Ffull-record%2FWOS:000708954300001","View Full Record in Web of Science")</f>
        <v>View Full Record in Web of Science</v>
      </c>
    </row>
    <row r="414" spans="1:72" x14ac:dyDescent="0.15">
      <c r="A414" t="s">
        <v>72</v>
      </c>
      <c r="B414" t="s">
        <v>8399</v>
      </c>
      <c r="C414" t="s">
        <v>74</v>
      </c>
      <c r="D414" t="s">
        <v>74</v>
      </c>
      <c r="E414" t="s">
        <v>74</v>
      </c>
      <c r="F414" t="s">
        <v>8400</v>
      </c>
      <c r="G414" t="s">
        <v>74</v>
      </c>
      <c r="H414" t="s">
        <v>74</v>
      </c>
      <c r="I414" t="s">
        <v>8401</v>
      </c>
      <c r="J414" t="s">
        <v>1212</v>
      </c>
      <c r="K414" t="s">
        <v>74</v>
      </c>
      <c r="L414" t="s">
        <v>74</v>
      </c>
      <c r="M414" t="s">
        <v>78</v>
      </c>
      <c r="N414" t="s">
        <v>79</v>
      </c>
      <c r="O414" t="s">
        <v>74</v>
      </c>
      <c r="P414" t="s">
        <v>74</v>
      </c>
      <c r="Q414" t="s">
        <v>74</v>
      </c>
      <c r="R414" t="s">
        <v>74</v>
      </c>
      <c r="S414" t="s">
        <v>74</v>
      </c>
      <c r="T414" t="s">
        <v>74</v>
      </c>
      <c r="U414" t="s">
        <v>8402</v>
      </c>
      <c r="V414" t="s">
        <v>8403</v>
      </c>
      <c r="W414" t="s">
        <v>8404</v>
      </c>
      <c r="X414" t="s">
        <v>8405</v>
      </c>
      <c r="Y414" t="s">
        <v>8406</v>
      </c>
      <c r="Z414" t="s">
        <v>8407</v>
      </c>
      <c r="AA414" t="s">
        <v>8408</v>
      </c>
      <c r="AB414" t="s">
        <v>8409</v>
      </c>
      <c r="AC414" t="s">
        <v>8410</v>
      </c>
      <c r="AD414" t="s">
        <v>8411</v>
      </c>
      <c r="AE414" t="s">
        <v>8412</v>
      </c>
      <c r="AF414" t="s">
        <v>74</v>
      </c>
      <c r="AG414">
        <v>37</v>
      </c>
      <c r="AH414">
        <v>4</v>
      </c>
      <c r="AI414">
        <v>4</v>
      </c>
      <c r="AJ414">
        <v>1</v>
      </c>
      <c r="AK414">
        <v>2</v>
      </c>
      <c r="AL414" t="s">
        <v>492</v>
      </c>
      <c r="AM414" t="s">
        <v>493</v>
      </c>
      <c r="AN414" t="s">
        <v>494</v>
      </c>
      <c r="AO414" t="s">
        <v>1224</v>
      </c>
      <c r="AP414" t="s">
        <v>74</v>
      </c>
      <c r="AQ414" t="s">
        <v>74</v>
      </c>
      <c r="AR414" t="s">
        <v>1225</v>
      </c>
      <c r="AS414" t="s">
        <v>1226</v>
      </c>
      <c r="AT414" t="s">
        <v>8360</v>
      </c>
      <c r="AU414">
        <v>2021</v>
      </c>
      <c r="AV414">
        <v>11</v>
      </c>
      <c r="AW414">
        <v>1</v>
      </c>
      <c r="AX414" t="s">
        <v>74</v>
      </c>
      <c r="AY414" t="s">
        <v>74</v>
      </c>
      <c r="AZ414" t="s">
        <v>74</v>
      </c>
      <c r="BA414" t="s">
        <v>74</v>
      </c>
      <c r="BB414" t="s">
        <v>74</v>
      </c>
      <c r="BC414" t="s">
        <v>74</v>
      </c>
      <c r="BD414">
        <v>20291</v>
      </c>
      <c r="BE414" t="s">
        <v>8413</v>
      </c>
      <c r="BF414" t="str">
        <f>HYPERLINK("http://dx.doi.org/10.1038/s41598-021-99730-x","http://dx.doi.org/10.1038/s41598-021-99730-x")</f>
        <v>http://dx.doi.org/10.1038/s41598-021-99730-x</v>
      </c>
      <c r="BG414" t="s">
        <v>74</v>
      </c>
      <c r="BH414" t="s">
        <v>74</v>
      </c>
      <c r="BI414">
        <v>9</v>
      </c>
      <c r="BJ414" t="s">
        <v>126</v>
      </c>
      <c r="BK414" t="s">
        <v>101</v>
      </c>
      <c r="BL414" t="s">
        <v>127</v>
      </c>
      <c r="BM414" t="s">
        <v>8414</v>
      </c>
      <c r="BN414">
        <v>34645920</v>
      </c>
      <c r="BO414" t="s">
        <v>1094</v>
      </c>
      <c r="BP414" t="s">
        <v>74</v>
      </c>
      <c r="BQ414" t="s">
        <v>74</v>
      </c>
      <c r="BR414" t="s">
        <v>105</v>
      </c>
      <c r="BS414" t="s">
        <v>8415</v>
      </c>
      <c r="BT414" t="str">
        <f>HYPERLINK("https%3A%2F%2Fwww.webofscience.com%2Fwos%2Fwoscc%2Ffull-record%2FWOS:000707032500075","View Full Record in Web of Science")</f>
        <v>View Full Record in Web of Science</v>
      </c>
    </row>
    <row r="415" spans="1:72" x14ac:dyDescent="0.15">
      <c r="A415" t="s">
        <v>72</v>
      </c>
      <c r="B415" t="s">
        <v>8416</v>
      </c>
      <c r="C415" t="s">
        <v>74</v>
      </c>
      <c r="D415" t="s">
        <v>74</v>
      </c>
      <c r="E415" t="s">
        <v>74</v>
      </c>
      <c r="F415" t="s">
        <v>8417</v>
      </c>
      <c r="G415" t="s">
        <v>74</v>
      </c>
      <c r="H415" t="s">
        <v>74</v>
      </c>
      <c r="I415" t="s">
        <v>8418</v>
      </c>
      <c r="J415" t="s">
        <v>8419</v>
      </c>
      <c r="K415" t="s">
        <v>74</v>
      </c>
      <c r="L415" t="s">
        <v>74</v>
      </c>
      <c r="M415" t="s">
        <v>78</v>
      </c>
      <c r="N415" t="s">
        <v>79</v>
      </c>
      <c r="O415" t="s">
        <v>74</v>
      </c>
      <c r="P415" t="s">
        <v>74</v>
      </c>
      <c r="Q415" t="s">
        <v>74</v>
      </c>
      <c r="R415" t="s">
        <v>74</v>
      </c>
      <c r="S415" t="s">
        <v>74</v>
      </c>
      <c r="T415" t="s">
        <v>8420</v>
      </c>
      <c r="U415" t="s">
        <v>8421</v>
      </c>
      <c r="V415" t="s">
        <v>8422</v>
      </c>
      <c r="W415" t="s">
        <v>8423</v>
      </c>
      <c r="X415" t="s">
        <v>8424</v>
      </c>
      <c r="Y415" t="s">
        <v>8425</v>
      </c>
      <c r="Z415" t="s">
        <v>8426</v>
      </c>
      <c r="AA415" t="s">
        <v>8427</v>
      </c>
      <c r="AB415" t="s">
        <v>8428</v>
      </c>
      <c r="AC415" t="s">
        <v>8429</v>
      </c>
      <c r="AD415" t="s">
        <v>8430</v>
      </c>
      <c r="AE415" t="s">
        <v>8431</v>
      </c>
      <c r="AF415" t="s">
        <v>74</v>
      </c>
      <c r="AG415">
        <v>43</v>
      </c>
      <c r="AH415">
        <v>0</v>
      </c>
      <c r="AI415">
        <v>0</v>
      </c>
      <c r="AJ415">
        <v>3</v>
      </c>
      <c r="AK415">
        <v>5</v>
      </c>
      <c r="AL415" t="s">
        <v>8432</v>
      </c>
      <c r="AM415" t="s">
        <v>8433</v>
      </c>
      <c r="AN415" t="s">
        <v>8434</v>
      </c>
      <c r="AO415" t="s">
        <v>8435</v>
      </c>
      <c r="AP415" t="s">
        <v>8436</v>
      </c>
      <c r="AQ415" t="s">
        <v>74</v>
      </c>
      <c r="AR415" t="s">
        <v>8419</v>
      </c>
      <c r="AS415" t="s">
        <v>8437</v>
      </c>
      <c r="AT415" t="s">
        <v>310</v>
      </c>
      <c r="AU415">
        <v>2021</v>
      </c>
      <c r="AV415">
        <v>25</v>
      </c>
      <c r="AW415" t="s">
        <v>928</v>
      </c>
      <c r="AX415" t="s">
        <v>74</v>
      </c>
      <c r="AY415" t="s">
        <v>74</v>
      </c>
      <c r="AZ415" t="s">
        <v>74</v>
      </c>
      <c r="BA415" t="s">
        <v>74</v>
      </c>
      <c r="BB415">
        <v>501</v>
      </c>
      <c r="BC415">
        <v>512</v>
      </c>
      <c r="BD415" t="s">
        <v>74</v>
      </c>
      <c r="BE415" t="s">
        <v>8438</v>
      </c>
      <c r="BF415" t="str">
        <f>HYPERLINK("http://dx.doi.org/10.1007/s00792-021-01246-9","http://dx.doi.org/10.1007/s00792-021-01246-9")</f>
        <v>http://dx.doi.org/10.1007/s00792-021-01246-9</v>
      </c>
      <c r="BG415" t="s">
        <v>74</v>
      </c>
      <c r="BH415" t="s">
        <v>5766</v>
      </c>
      <c r="BI415">
        <v>12</v>
      </c>
      <c r="BJ415" t="s">
        <v>8439</v>
      </c>
      <c r="BK415" t="s">
        <v>101</v>
      </c>
      <c r="BL415" t="s">
        <v>8439</v>
      </c>
      <c r="BM415" t="s">
        <v>8440</v>
      </c>
      <c r="BN415">
        <v>34643818</v>
      </c>
      <c r="BO415" t="s">
        <v>74</v>
      </c>
      <c r="BP415" t="s">
        <v>74</v>
      </c>
      <c r="BQ415" t="s">
        <v>74</v>
      </c>
      <c r="BR415" t="s">
        <v>105</v>
      </c>
      <c r="BS415" t="s">
        <v>8441</v>
      </c>
      <c r="BT415" t="str">
        <f>HYPERLINK("https%3A%2F%2Fwww.webofscience.com%2Fwos%2Fwoscc%2Ffull-record%2FWOS:000706927700001","View Full Record in Web of Science")</f>
        <v>View Full Record in Web of Science</v>
      </c>
    </row>
    <row r="416" spans="1:72" x14ac:dyDescent="0.15">
      <c r="A416" t="s">
        <v>72</v>
      </c>
      <c r="B416" t="s">
        <v>8442</v>
      </c>
      <c r="C416" t="s">
        <v>74</v>
      </c>
      <c r="D416" t="s">
        <v>74</v>
      </c>
      <c r="E416" t="s">
        <v>74</v>
      </c>
      <c r="F416" t="s">
        <v>8443</v>
      </c>
      <c r="G416" t="s">
        <v>74</v>
      </c>
      <c r="H416" t="s">
        <v>74</v>
      </c>
      <c r="I416" t="s">
        <v>8444</v>
      </c>
      <c r="J416" t="s">
        <v>3664</v>
      </c>
      <c r="K416" t="s">
        <v>74</v>
      </c>
      <c r="L416" t="s">
        <v>74</v>
      </c>
      <c r="M416" t="s">
        <v>78</v>
      </c>
      <c r="N416" t="s">
        <v>79</v>
      </c>
      <c r="O416" t="s">
        <v>74</v>
      </c>
      <c r="P416" t="s">
        <v>74</v>
      </c>
      <c r="Q416" t="s">
        <v>74</v>
      </c>
      <c r="R416" t="s">
        <v>74</v>
      </c>
      <c r="S416" t="s">
        <v>74</v>
      </c>
      <c r="T416" t="s">
        <v>8445</v>
      </c>
      <c r="U416" t="s">
        <v>8446</v>
      </c>
      <c r="V416" t="s">
        <v>8447</v>
      </c>
      <c r="W416" t="s">
        <v>8448</v>
      </c>
      <c r="X416" t="s">
        <v>8449</v>
      </c>
      <c r="Y416" t="s">
        <v>8450</v>
      </c>
      <c r="Z416" t="s">
        <v>8451</v>
      </c>
      <c r="AA416" t="s">
        <v>8452</v>
      </c>
      <c r="AB416" t="s">
        <v>8453</v>
      </c>
      <c r="AC416" t="s">
        <v>8454</v>
      </c>
      <c r="AD416" t="s">
        <v>8454</v>
      </c>
      <c r="AE416" t="s">
        <v>8455</v>
      </c>
      <c r="AF416" t="s">
        <v>74</v>
      </c>
      <c r="AG416">
        <v>294</v>
      </c>
      <c r="AH416">
        <v>14</v>
      </c>
      <c r="AI416">
        <v>19</v>
      </c>
      <c r="AJ416">
        <v>1</v>
      </c>
      <c r="AK416">
        <v>7</v>
      </c>
      <c r="AL416" t="s">
        <v>169</v>
      </c>
      <c r="AM416" t="s">
        <v>170</v>
      </c>
      <c r="AN416" t="s">
        <v>171</v>
      </c>
      <c r="AO416" t="s">
        <v>3677</v>
      </c>
      <c r="AP416" t="s">
        <v>3678</v>
      </c>
      <c r="AQ416" t="s">
        <v>74</v>
      </c>
      <c r="AR416" t="s">
        <v>3679</v>
      </c>
      <c r="AS416" t="s">
        <v>3680</v>
      </c>
      <c r="AT416" t="s">
        <v>7760</v>
      </c>
      <c r="AU416">
        <v>2022</v>
      </c>
      <c r="AV416">
        <v>84</v>
      </c>
      <c r="AW416">
        <v>3</v>
      </c>
      <c r="AX416" t="s">
        <v>74</v>
      </c>
      <c r="AY416" t="s">
        <v>74</v>
      </c>
      <c r="AZ416" t="s">
        <v>74</v>
      </c>
      <c r="BA416" t="s">
        <v>74</v>
      </c>
      <c r="BB416">
        <v>643</v>
      </c>
      <c r="BC416">
        <v>675</v>
      </c>
      <c r="BD416" t="s">
        <v>74</v>
      </c>
      <c r="BE416" t="s">
        <v>8456</v>
      </c>
      <c r="BF416" t="str">
        <f>HYPERLINK("http://dx.doi.org/10.1007/s00248-021-01849-x","http://dx.doi.org/10.1007/s00248-021-01849-x")</f>
        <v>http://dx.doi.org/10.1007/s00248-021-01849-x</v>
      </c>
      <c r="BG416" t="s">
        <v>74</v>
      </c>
      <c r="BH416" t="s">
        <v>5766</v>
      </c>
      <c r="BI416">
        <v>33</v>
      </c>
      <c r="BJ416" t="s">
        <v>3682</v>
      </c>
      <c r="BK416" t="s">
        <v>101</v>
      </c>
      <c r="BL416" t="s">
        <v>3683</v>
      </c>
      <c r="BM416" t="s">
        <v>7762</v>
      </c>
      <c r="BN416">
        <v>34647148</v>
      </c>
      <c r="BO416" t="s">
        <v>74</v>
      </c>
      <c r="BP416" t="s">
        <v>74</v>
      </c>
      <c r="BQ416" t="s">
        <v>74</v>
      </c>
      <c r="BR416" t="s">
        <v>105</v>
      </c>
      <c r="BS416" t="s">
        <v>8457</v>
      </c>
      <c r="BT416" t="str">
        <f>HYPERLINK("https%3A%2F%2Fwww.webofscience.com%2Fwos%2Fwoscc%2Ffull-record%2FWOS:000706963300001","View Full Record in Web of Science")</f>
        <v>View Full Record in Web of Science</v>
      </c>
    </row>
    <row r="417" spans="1:72" x14ac:dyDescent="0.15">
      <c r="A417" t="s">
        <v>72</v>
      </c>
      <c r="B417" t="s">
        <v>8458</v>
      </c>
      <c r="C417" t="s">
        <v>74</v>
      </c>
      <c r="D417" t="s">
        <v>74</v>
      </c>
      <c r="E417" t="s">
        <v>74</v>
      </c>
      <c r="F417" t="s">
        <v>8459</v>
      </c>
      <c r="G417" t="s">
        <v>74</v>
      </c>
      <c r="H417" t="s">
        <v>74</v>
      </c>
      <c r="I417" t="s">
        <v>8460</v>
      </c>
      <c r="J417" t="s">
        <v>3299</v>
      </c>
      <c r="K417" t="s">
        <v>74</v>
      </c>
      <c r="L417" t="s">
        <v>74</v>
      </c>
      <c r="M417" t="s">
        <v>78</v>
      </c>
      <c r="N417" t="s">
        <v>79</v>
      </c>
      <c r="O417" t="s">
        <v>74</v>
      </c>
      <c r="P417" t="s">
        <v>74</v>
      </c>
      <c r="Q417" t="s">
        <v>74</v>
      </c>
      <c r="R417" t="s">
        <v>74</v>
      </c>
      <c r="S417" t="s">
        <v>74</v>
      </c>
      <c r="T417" t="s">
        <v>8461</v>
      </c>
      <c r="U417" t="s">
        <v>8462</v>
      </c>
      <c r="V417" t="s">
        <v>8463</v>
      </c>
      <c r="W417" t="s">
        <v>8464</v>
      </c>
      <c r="X417" t="s">
        <v>8465</v>
      </c>
      <c r="Y417" t="s">
        <v>8466</v>
      </c>
      <c r="Z417" t="s">
        <v>8467</v>
      </c>
      <c r="AA417" t="s">
        <v>74</v>
      </c>
      <c r="AB417" t="s">
        <v>74</v>
      </c>
      <c r="AC417" t="s">
        <v>8468</v>
      </c>
      <c r="AD417" t="s">
        <v>8469</v>
      </c>
      <c r="AE417" t="s">
        <v>8470</v>
      </c>
      <c r="AF417" t="s">
        <v>74</v>
      </c>
      <c r="AG417">
        <v>76</v>
      </c>
      <c r="AH417">
        <v>1</v>
      </c>
      <c r="AI417">
        <v>1</v>
      </c>
      <c r="AJ417">
        <v>0</v>
      </c>
      <c r="AK417">
        <v>1</v>
      </c>
      <c r="AL417" t="s">
        <v>3310</v>
      </c>
      <c r="AM417" t="s">
        <v>3311</v>
      </c>
      <c r="AN417" t="s">
        <v>3312</v>
      </c>
      <c r="AO417" t="s">
        <v>3313</v>
      </c>
      <c r="AP417" t="s">
        <v>3314</v>
      </c>
      <c r="AQ417" t="s">
        <v>74</v>
      </c>
      <c r="AR417" t="s">
        <v>3299</v>
      </c>
      <c r="AS417" t="s">
        <v>3315</v>
      </c>
      <c r="AT417" t="s">
        <v>8471</v>
      </c>
      <c r="AU417">
        <v>2021</v>
      </c>
      <c r="AV417">
        <v>5051</v>
      </c>
      <c r="AW417">
        <v>1</v>
      </c>
      <c r="AX417" t="s">
        <v>74</v>
      </c>
      <c r="AY417" t="s">
        <v>74</v>
      </c>
      <c r="AZ417" t="s">
        <v>74</v>
      </c>
      <c r="BA417" t="s">
        <v>74</v>
      </c>
      <c r="BB417">
        <v>319</v>
      </c>
      <c r="BC417">
        <v>345</v>
      </c>
      <c r="BD417" t="s">
        <v>74</v>
      </c>
      <c r="BE417" t="s">
        <v>8472</v>
      </c>
      <c r="BF417" t="str">
        <f>HYPERLINK("http://dx.doi.org/10.11646/zootaxa.5051.1.14","http://dx.doi.org/10.11646/zootaxa.5051.1.14")</f>
        <v>http://dx.doi.org/10.11646/zootaxa.5051.1.14</v>
      </c>
      <c r="BG417" t="s">
        <v>74</v>
      </c>
      <c r="BH417" t="s">
        <v>74</v>
      </c>
      <c r="BI417">
        <v>27</v>
      </c>
      <c r="BJ417" t="s">
        <v>1612</v>
      </c>
      <c r="BK417" t="s">
        <v>101</v>
      </c>
      <c r="BL417" t="s">
        <v>1612</v>
      </c>
      <c r="BM417" t="s">
        <v>8473</v>
      </c>
      <c r="BN417">
        <v>34810899</v>
      </c>
      <c r="BO417" t="s">
        <v>74</v>
      </c>
      <c r="BP417" t="s">
        <v>74</v>
      </c>
      <c r="BQ417" t="s">
        <v>74</v>
      </c>
      <c r="BR417" t="s">
        <v>105</v>
      </c>
      <c r="BS417" t="s">
        <v>8474</v>
      </c>
      <c r="BT417" t="str">
        <f>HYPERLINK("https%3A%2F%2Fwww.webofscience.com%2Fwos%2Fwoscc%2Ffull-record%2FWOS:000709729900001","View Full Record in Web of Science")</f>
        <v>View Full Record in Web of Science</v>
      </c>
    </row>
    <row r="418" spans="1:72" x14ac:dyDescent="0.15">
      <c r="A418" t="s">
        <v>72</v>
      </c>
      <c r="B418" t="s">
        <v>8475</v>
      </c>
      <c r="C418" t="s">
        <v>74</v>
      </c>
      <c r="D418" t="s">
        <v>74</v>
      </c>
      <c r="E418" t="s">
        <v>74</v>
      </c>
      <c r="F418" t="s">
        <v>8476</v>
      </c>
      <c r="G418" t="s">
        <v>74</v>
      </c>
      <c r="H418" t="s">
        <v>74</v>
      </c>
      <c r="I418" t="s">
        <v>8477</v>
      </c>
      <c r="J418" t="s">
        <v>8478</v>
      </c>
      <c r="K418" t="s">
        <v>74</v>
      </c>
      <c r="L418" t="s">
        <v>74</v>
      </c>
      <c r="M418" t="s">
        <v>78</v>
      </c>
      <c r="N418" t="s">
        <v>79</v>
      </c>
      <c r="O418" t="s">
        <v>74</v>
      </c>
      <c r="P418" t="s">
        <v>74</v>
      </c>
      <c r="Q418" t="s">
        <v>74</v>
      </c>
      <c r="R418" t="s">
        <v>74</v>
      </c>
      <c r="S418" t="s">
        <v>74</v>
      </c>
      <c r="T418" t="s">
        <v>8479</v>
      </c>
      <c r="U418" t="s">
        <v>8480</v>
      </c>
      <c r="V418" t="s">
        <v>8481</v>
      </c>
      <c r="W418" t="s">
        <v>8482</v>
      </c>
      <c r="X418" t="s">
        <v>8483</v>
      </c>
      <c r="Y418" t="s">
        <v>8484</v>
      </c>
      <c r="Z418" t="s">
        <v>8485</v>
      </c>
      <c r="AA418" t="s">
        <v>74</v>
      </c>
      <c r="AB418" t="s">
        <v>74</v>
      </c>
      <c r="AC418" t="s">
        <v>8486</v>
      </c>
      <c r="AD418" t="s">
        <v>8487</v>
      </c>
      <c r="AE418" t="s">
        <v>8488</v>
      </c>
      <c r="AF418" t="s">
        <v>74</v>
      </c>
      <c r="AG418">
        <v>43</v>
      </c>
      <c r="AH418">
        <v>4</v>
      </c>
      <c r="AI418">
        <v>4</v>
      </c>
      <c r="AJ418">
        <v>9</v>
      </c>
      <c r="AK418">
        <v>23</v>
      </c>
      <c r="AL418" t="s">
        <v>572</v>
      </c>
      <c r="AM418" t="s">
        <v>573</v>
      </c>
      <c r="AN418" t="s">
        <v>574</v>
      </c>
      <c r="AO418" t="s">
        <v>8489</v>
      </c>
      <c r="AP418" t="s">
        <v>8490</v>
      </c>
      <c r="AQ418" t="s">
        <v>74</v>
      </c>
      <c r="AR418" t="s">
        <v>8491</v>
      </c>
      <c r="AS418" t="s">
        <v>8492</v>
      </c>
      <c r="AT418" t="s">
        <v>98</v>
      </c>
      <c r="AU418">
        <v>2021</v>
      </c>
      <c r="AV418">
        <v>99</v>
      </c>
      <c r="AW418">
        <v>6</v>
      </c>
      <c r="AX418" t="s">
        <v>74</v>
      </c>
      <c r="AY418" t="s">
        <v>74</v>
      </c>
      <c r="AZ418" t="s">
        <v>74</v>
      </c>
      <c r="BA418" t="s">
        <v>74</v>
      </c>
      <c r="BB418">
        <v>1998</v>
      </c>
      <c r="BC418">
        <v>2007</v>
      </c>
      <c r="BD418" t="s">
        <v>74</v>
      </c>
      <c r="BE418" t="s">
        <v>8493</v>
      </c>
      <c r="BF418" t="str">
        <f>HYPERLINK("http://dx.doi.org/10.1111/jfb.14908","http://dx.doi.org/10.1111/jfb.14908")</f>
        <v>http://dx.doi.org/10.1111/jfb.14908</v>
      </c>
      <c r="BG418" t="s">
        <v>74</v>
      </c>
      <c r="BH418" t="s">
        <v>5766</v>
      </c>
      <c r="BI418">
        <v>10</v>
      </c>
      <c r="BJ418" t="s">
        <v>2624</v>
      </c>
      <c r="BK418" t="s">
        <v>101</v>
      </c>
      <c r="BL418" t="s">
        <v>2624</v>
      </c>
      <c r="BM418" t="s">
        <v>8494</v>
      </c>
      <c r="BN418">
        <v>34520045</v>
      </c>
      <c r="BO418" t="s">
        <v>74</v>
      </c>
      <c r="BP418" t="s">
        <v>74</v>
      </c>
      <c r="BQ418" t="s">
        <v>74</v>
      </c>
      <c r="BR418" t="s">
        <v>105</v>
      </c>
      <c r="BS418" t="s">
        <v>8495</v>
      </c>
      <c r="BT418" t="str">
        <f>HYPERLINK("https%3A%2F%2Fwww.webofscience.com%2Fwos%2Fwoscc%2Ffull-record%2FWOS:000706541100001","View Full Record in Web of Science")</f>
        <v>View Full Record in Web of Science</v>
      </c>
    </row>
    <row r="419" spans="1:72" x14ac:dyDescent="0.15">
      <c r="A419" t="s">
        <v>72</v>
      </c>
      <c r="B419" t="s">
        <v>8496</v>
      </c>
      <c r="C419" t="s">
        <v>74</v>
      </c>
      <c r="D419" t="s">
        <v>74</v>
      </c>
      <c r="E419" t="s">
        <v>74</v>
      </c>
      <c r="F419" t="s">
        <v>8497</v>
      </c>
      <c r="G419" t="s">
        <v>74</v>
      </c>
      <c r="H419" t="s">
        <v>74</v>
      </c>
      <c r="I419" t="s">
        <v>8498</v>
      </c>
      <c r="J419" t="s">
        <v>8499</v>
      </c>
      <c r="K419" t="s">
        <v>74</v>
      </c>
      <c r="L419" t="s">
        <v>74</v>
      </c>
      <c r="M419" t="s">
        <v>78</v>
      </c>
      <c r="N419" t="s">
        <v>79</v>
      </c>
      <c r="O419" t="s">
        <v>74</v>
      </c>
      <c r="P419" t="s">
        <v>74</v>
      </c>
      <c r="Q419" t="s">
        <v>74</v>
      </c>
      <c r="R419" t="s">
        <v>74</v>
      </c>
      <c r="S419" t="s">
        <v>74</v>
      </c>
      <c r="T419" t="s">
        <v>8500</v>
      </c>
      <c r="U419" t="s">
        <v>8501</v>
      </c>
      <c r="V419" t="s">
        <v>8502</v>
      </c>
      <c r="W419" t="s">
        <v>8503</v>
      </c>
      <c r="X419" t="s">
        <v>8504</v>
      </c>
      <c r="Y419" t="s">
        <v>8505</v>
      </c>
      <c r="Z419" t="s">
        <v>8506</v>
      </c>
      <c r="AA419" t="s">
        <v>8507</v>
      </c>
      <c r="AB419" t="s">
        <v>8508</v>
      </c>
      <c r="AC419" t="s">
        <v>8509</v>
      </c>
      <c r="AD419" t="s">
        <v>8510</v>
      </c>
      <c r="AE419" t="s">
        <v>8511</v>
      </c>
      <c r="AF419" t="s">
        <v>74</v>
      </c>
      <c r="AG419">
        <v>47</v>
      </c>
      <c r="AH419">
        <v>4</v>
      </c>
      <c r="AI419">
        <v>4</v>
      </c>
      <c r="AJ419">
        <v>11</v>
      </c>
      <c r="AK419">
        <v>55</v>
      </c>
      <c r="AL419" t="s">
        <v>437</v>
      </c>
      <c r="AM419" t="s">
        <v>438</v>
      </c>
      <c r="AN419" t="s">
        <v>439</v>
      </c>
      <c r="AO419" t="s">
        <v>8512</v>
      </c>
      <c r="AP419" t="s">
        <v>74</v>
      </c>
      <c r="AQ419" t="s">
        <v>74</v>
      </c>
      <c r="AR419" t="s">
        <v>8513</v>
      </c>
      <c r="AS419" t="s">
        <v>8514</v>
      </c>
      <c r="AT419" t="s">
        <v>7235</v>
      </c>
      <c r="AU419">
        <v>2021</v>
      </c>
      <c r="AV419">
        <v>5</v>
      </c>
      <c r="AW419">
        <v>10</v>
      </c>
      <c r="AX419" t="s">
        <v>74</v>
      </c>
      <c r="AY419" t="s">
        <v>74</v>
      </c>
      <c r="AZ419" t="s">
        <v>74</v>
      </c>
      <c r="BA419" t="s">
        <v>74</v>
      </c>
      <c r="BB419">
        <v>2839</v>
      </c>
      <c r="BC419">
        <v>2845</v>
      </c>
      <c r="BD419" t="s">
        <v>74</v>
      </c>
      <c r="BE419" t="s">
        <v>8515</v>
      </c>
      <c r="BF419" t="str">
        <f>HYPERLINK("http://dx.doi.org/10.1021/acsearthspacechem.1c00222","http://dx.doi.org/10.1021/acsearthspacechem.1c00222")</f>
        <v>http://dx.doi.org/10.1021/acsearthspacechem.1c00222</v>
      </c>
      <c r="BG419" t="s">
        <v>74</v>
      </c>
      <c r="BH419" t="s">
        <v>5766</v>
      </c>
      <c r="BI419">
        <v>7</v>
      </c>
      <c r="BJ419" t="s">
        <v>8516</v>
      </c>
      <c r="BK419" t="s">
        <v>101</v>
      </c>
      <c r="BL419" t="s">
        <v>8517</v>
      </c>
      <c r="BM419" t="s">
        <v>8518</v>
      </c>
      <c r="BN419" t="s">
        <v>74</v>
      </c>
      <c r="BO419" t="s">
        <v>74</v>
      </c>
      <c r="BP419" t="s">
        <v>74</v>
      </c>
      <c r="BQ419" t="s">
        <v>74</v>
      </c>
      <c r="BR419" t="s">
        <v>105</v>
      </c>
      <c r="BS419" t="s">
        <v>8519</v>
      </c>
      <c r="BT419" t="str">
        <f>HYPERLINK("https%3A%2F%2Fwww.webofscience.com%2Fwos%2Fwoscc%2Ffull-record%2FWOS:000714116400026","View Full Record in Web of Science")</f>
        <v>View Full Record in Web of Science</v>
      </c>
    </row>
    <row r="420" spans="1:72" x14ac:dyDescent="0.15">
      <c r="A420" t="s">
        <v>72</v>
      </c>
      <c r="B420" t="s">
        <v>8520</v>
      </c>
      <c r="C420" t="s">
        <v>74</v>
      </c>
      <c r="D420" t="s">
        <v>74</v>
      </c>
      <c r="E420" t="s">
        <v>74</v>
      </c>
      <c r="F420" t="s">
        <v>8521</v>
      </c>
      <c r="G420" t="s">
        <v>74</v>
      </c>
      <c r="H420" t="s">
        <v>74</v>
      </c>
      <c r="I420" t="s">
        <v>8522</v>
      </c>
      <c r="J420" t="s">
        <v>8523</v>
      </c>
      <c r="K420" t="s">
        <v>74</v>
      </c>
      <c r="L420" t="s">
        <v>74</v>
      </c>
      <c r="M420" t="s">
        <v>78</v>
      </c>
      <c r="N420" t="s">
        <v>79</v>
      </c>
      <c r="O420" t="s">
        <v>74</v>
      </c>
      <c r="P420" t="s">
        <v>74</v>
      </c>
      <c r="Q420" t="s">
        <v>74</v>
      </c>
      <c r="R420" t="s">
        <v>74</v>
      </c>
      <c r="S420" t="s">
        <v>74</v>
      </c>
      <c r="T420" t="s">
        <v>74</v>
      </c>
      <c r="U420" t="s">
        <v>8524</v>
      </c>
      <c r="V420" t="s">
        <v>8525</v>
      </c>
      <c r="W420" t="s">
        <v>8526</v>
      </c>
      <c r="X420" t="s">
        <v>8527</v>
      </c>
      <c r="Y420" t="s">
        <v>8528</v>
      </c>
      <c r="Z420" t="s">
        <v>8529</v>
      </c>
      <c r="AA420" t="s">
        <v>74</v>
      </c>
      <c r="AB420" t="s">
        <v>8530</v>
      </c>
      <c r="AC420" t="s">
        <v>8531</v>
      </c>
      <c r="AD420" t="s">
        <v>8532</v>
      </c>
      <c r="AE420" t="s">
        <v>8533</v>
      </c>
      <c r="AF420" t="s">
        <v>74</v>
      </c>
      <c r="AG420">
        <v>76</v>
      </c>
      <c r="AH420">
        <v>0</v>
      </c>
      <c r="AI420">
        <v>0</v>
      </c>
      <c r="AJ420">
        <v>0</v>
      </c>
      <c r="AK420">
        <v>1</v>
      </c>
      <c r="AL420" t="s">
        <v>666</v>
      </c>
      <c r="AM420" t="s">
        <v>170</v>
      </c>
      <c r="AN420" t="s">
        <v>667</v>
      </c>
      <c r="AO420" t="s">
        <v>8534</v>
      </c>
      <c r="AP420" t="s">
        <v>8535</v>
      </c>
      <c r="AQ420" t="s">
        <v>74</v>
      </c>
      <c r="AR420" t="s">
        <v>8536</v>
      </c>
      <c r="AS420" t="s">
        <v>8537</v>
      </c>
      <c r="AT420" t="s">
        <v>698</v>
      </c>
      <c r="AU420">
        <v>2022</v>
      </c>
      <c r="AV420">
        <v>32</v>
      </c>
      <c r="AW420">
        <v>2</v>
      </c>
      <c r="AX420" t="s">
        <v>74</v>
      </c>
      <c r="AY420" t="s">
        <v>74</v>
      </c>
      <c r="AZ420" t="s">
        <v>74</v>
      </c>
      <c r="BA420" t="s">
        <v>74</v>
      </c>
      <c r="BB420">
        <v>173</v>
      </c>
      <c r="BC420">
        <v>187</v>
      </c>
      <c r="BD420" t="s">
        <v>8538</v>
      </c>
      <c r="BE420" t="s">
        <v>8539</v>
      </c>
      <c r="BF420" t="str">
        <f>HYPERLINK("http://dx.doi.org/10.1017/S0959774321000408","http://dx.doi.org/10.1017/S0959774321000408")</f>
        <v>http://dx.doi.org/10.1017/S0959774321000408</v>
      </c>
      <c r="BG420" t="s">
        <v>74</v>
      </c>
      <c r="BH420" t="s">
        <v>5766</v>
      </c>
      <c r="BI420">
        <v>15</v>
      </c>
      <c r="BJ420" t="s">
        <v>8540</v>
      </c>
      <c r="BK420" t="s">
        <v>8541</v>
      </c>
      <c r="BL420" t="s">
        <v>8540</v>
      </c>
      <c r="BM420" t="s">
        <v>8542</v>
      </c>
      <c r="BN420" t="s">
        <v>74</v>
      </c>
      <c r="BO420" t="s">
        <v>2217</v>
      </c>
      <c r="BP420" t="s">
        <v>74</v>
      </c>
      <c r="BQ420" t="s">
        <v>74</v>
      </c>
      <c r="BR420" t="s">
        <v>105</v>
      </c>
      <c r="BS420" t="s">
        <v>8543</v>
      </c>
      <c r="BT420" t="str">
        <f>HYPERLINK("https%3A%2F%2Fwww.webofscience.com%2Fwos%2Fwoscc%2Ffull-record%2FWOS:000749569000001","View Full Record in Web of Science")</f>
        <v>View Full Record in Web of Science</v>
      </c>
    </row>
    <row r="421" spans="1:72" x14ac:dyDescent="0.15">
      <c r="A421" t="s">
        <v>72</v>
      </c>
      <c r="B421" t="s">
        <v>8544</v>
      </c>
      <c r="C421" t="s">
        <v>74</v>
      </c>
      <c r="D421" t="s">
        <v>74</v>
      </c>
      <c r="E421" t="s">
        <v>74</v>
      </c>
      <c r="F421" t="s">
        <v>8545</v>
      </c>
      <c r="G421" t="s">
        <v>74</v>
      </c>
      <c r="H421" t="s">
        <v>74</v>
      </c>
      <c r="I421" t="s">
        <v>8546</v>
      </c>
      <c r="J421" t="s">
        <v>1234</v>
      </c>
      <c r="K421" t="s">
        <v>74</v>
      </c>
      <c r="L421" t="s">
        <v>74</v>
      </c>
      <c r="M421" t="s">
        <v>78</v>
      </c>
      <c r="N421" t="s">
        <v>79</v>
      </c>
      <c r="O421" t="s">
        <v>74</v>
      </c>
      <c r="P421" t="s">
        <v>74</v>
      </c>
      <c r="Q421" t="s">
        <v>74</v>
      </c>
      <c r="R421" t="s">
        <v>74</v>
      </c>
      <c r="S421" t="s">
        <v>74</v>
      </c>
      <c r="T421" t="s">
        <v>8547</v>
      </c>
      <c r="U421" t="s">
        <v>8548</v>
      </c>
      <c r="V421" t="s">
        <v>8549</v>
      </c>
      <c r="W421" t="s">
        <v>8550</v>
      </c>
      <c r="X421" t="s">
        <v>8551</v>
      </c>
      <c r="Y421" t="s">
        <v>8552</v>
      </c>
      <c r="Z421" t="s">
        <v>1082</v>
      </c>
      <c r="AA421" t="s">
        <v>74</v>
      </c>
      <c r="AB421" t="s">
        <v>8553</v>
      </c>
      <c r="AC421" t="s">
        <v>8554</v>
      </c>
      <c r="AD421" t="s">
        <v>8555</v>
      </c>
      <c r="AE421" t="s">
        <v>8556</v>
      </c>
      <c r="AF421" t="s">
        <v>74</v>
      </c>
      <c r="AG421">
        <v>111</v>
      </c>
      <c r="AH421">
        <v>13</v>
      </c>
      <c r="AI421">
        <v>14</v>
      </c>
      <c r="AJ421">
        <v>4</v>
      </c>
      <c r="AK421">
        <v>37</v>
      </c>
      <c r="AL421" t="s">
        <v>383</v>
      </c>
      <c r="AM421" t="s">
        <v>384</v>
      </c>
      <c r="AN421" t="s">
        <v>385</v>
      </c>
      <c r="AO421" t="s">
        <v>74</v>
      </c>
      <c r="AP421" t="s">
        <v>1243</v>
      </c>
      <c r="AQ421" t="s">
        <v>74</v>
      </c>
      <c r="AR421" t="s">
        <v>1244</v>
      </c>
      <c r="AS421" t="s">
        <v>1245</v>
      </c>
      <c r="AT421" t="s">
        <v>8557</v>
      </c>
      <c r="AU421">
        <v>2021</v>
      </c>
      <c r="AV421">
        <v>12</v>
      </c>
      <c r="AW421" t="s">
        <v>74</v>
      </c>
      <c r="AX421" t="s">
        <v>74</v>
      </c>
      <c r="AY421" t="s">
        <v>74</v>
      </c>
      <c r="AZ421" t="s">
        <v>74</v>
      </c>
      <c r="BA421" t="s">
        <v>74</v>
      </c>
      <c r="BB421" t="s">
        <v>74</v>
      </c>
      <c r="BC421" t="s">
        <v>74</v>
      </c>
      <c r="BD421">
        <v>741077</v>
      </c>
      <c r="BE421" t="s">
        <v>8558</v>
      </c>
      <c r="BF421" t="str">
        <f>HYPERLINK("http://dx.doi.org/10.3389/fmicb.2021.741077","http://dx.doi.org/10.3389/fmicb.2021.741077")</f>
        <v>http://dx.doi.org/10.3389/fmicb.2021.741077</v>
      </c>
      <c r="BG421" t="s">
        <v>74</v>
      </c>
      <c r="BH421" t="s">
        <v>74</v>
      </c>
      <c r="BI421">
        <v>16</v>
      </c>
      <c r="BJ421" t="s">
        <v>975</v>
      </c>
      <c r="BK421" t="s">
        <v>101</v>
      </c>
      <c r="BL421" t="s">
        <v>975</v>
      </c>
      <c r="BM421" t="s">
        <v>8559</v>
      </c>
      <c r="BN421">
        <v>34707591</v>
      </c>
      <c r="BO421" t="s">
        <v>394</v>
      </c>
      <c r="BP421" t="s">
        <v>74</v>
      </c>
      <c r="BQ421" t="s">
        <v>74</v>
      </c>
      <c r="BR421" t="s">
        <v>105</v>
      </c>
      <c r="BS421" t="s">
        <v>8560</v>
      </c>
      <c r="BT421" t="str">
        <f>HYPERLINK("https%3A%2F%2Fwww.webofscience.com%2Fwos%2Fwoscc%2Ffull-record%2FWOS:000716660700001","View Full Record in Web of Science")</f>
        <v>View Full Record in Web of Science</v>
      </c>
    </row>
    <row r="422" spans="1:72" x14ac:dyDescent="0.15">
      <c r="A422" t="s">
        <v>72</v>
      </c>
      <c r="B422" t="s">
        <v>8561</v>
      </c>
      <c r="C422" t="s">
        <v>74</v>
      </c>
      <c r="D422" t="s">
        <v>74</v>
      </c>
      <c r="E422" t="s">
        <v>74</v>
      </c>
      <c r="F422" t="s">
        <v>8562</v>
      </c>
      <c r="G422" t="s">
        <v>74</v>
      </c>
      <c r="H422" t="s">
        <v>74</v>
      </c>
      <c r="I422" t="s">
        <v>8563</v>
      </c>
      <c r="J422" t="s">
        <v>372</v>
      </c>
      <c r="K422" t="s">
        <v>74</v>
      </c>
      <c r="L422" t="s">
        <v>74</v>
      </c>
      <c r="M422" t="s">
        <v>78</v>
      </c>
      <c r="N422" t="s">
        <v>373</v>
      </c>
      <c r="O422" t="s">
        <v>74</v>
      </c>
      <c r="P422" t="s">
        <v>74</v>
      </c>
      <c r="Q422" t="s">
        <v>74</v>
      </c>
      <c r="R422" t="s">
        <v>74</v>
      </c>
      <c r="S422" t="s">
        <v>74</v>
      </c>
      <c r="T422" t="s">
        <v>8564</v>
      </c>
      <c r="U422" t="s">
        <v>8565</v>
      </c>
      <c r="V422" t="s">
        <v>8566</v>
      </c>
      <c r="W422" t="s">
        <v>8567</v>
      </c>
      <c r="X422" t="s">
        <v>8568</v>
      </c>
      <c r="Y422" t="s">
        <v>8569</v>
      </c>
      <c r="Z422" t="s">
        <v>8570</v>
      </c>
      <c r="AA422" t="s">
        <v>8571</v>
      </c>
      <c r="AB422" t="s">
        <v>8572</v>
      </c>
      <c r="AC422" t="s">
        <v>8573</v>
      </c>
      <c r="AD422" t="s">
        <v>8574</v>
      </c>
      <c r="AE422" t="s">
        <v>8575</v>
      </c>
      <c r="AF422" t="s">
        <v>74</v>
      </c>
      <c r="AG422">
        <v>141</v>
      </c>
      <c r="AH422">
        <v>7</v>
      </c>
      <c r="AI422">
        <v>7</v>
      </c>
      <c r="AJ422">
        <v>2</v>
      </c>
      <c r="AK422">
        <v>34</v>
      </c>
      <c r="AL422" t="s">
        <v>383</v>
      </c>
      <c r="AM422" t="s">
        <v>384</v>
      </c>
      <c r="AN422" t="s">
        <v>385</v>
      </c>
      <c r="AO422" t="s">
        <v>74</v>
      </c>
      <c r="AP422" t="s">
        <v>386</v>
      </c>
      <c r="AQ422" t="s">
        <v>74</v>
      </c>
      <c r="AR422" t="s">
        <v>387</v>
      </c>
      <c r="AS422" t="s">
        <v>388</v>
      </c>
      <c r="AT422" t="s">
        <v>8557</v>
      </c>
      <c r="AU422">
        <v>2021</v>
      </c>
      <c r="AV422">
        <v>8</v>
      </c>
      <c r="AW422" t="s">
        <v>74</v>
      </c>
      <c r="AX422" t="s">
        <v>74</v>
      </c>
      <c r="AY422" t="s">
        <v>74</v>
      </c>
      <c r="AZ422" t="s">
        <v>74</v>
      </c>
      <c r="BA422" t="s">
        <v>74</v>
      </c>
      <c r="BB422" t="s">
        <v>74</v>
      </c>
      <c r="BC422" t="s">
        <v>74</v>
      </c>
      <c r="BD422">
        <v>744874</v>
      </c>
      <c r="BE422" t="s">
        <v>8576</v>
      </c>
      <c r="BF422" t="str">
        <f>HYPERLINK("http://dx.doi.org/10.3389/fmars.2021.744874","http://dx.doi.org/10.3389/fmars.2021.744874")</f>
        <v>http://dx.doi.org/10.3389/fmars.2021.744874</v>
      </c>
      <c r="BG422" t="s">
        <v>74</v>
      </c>
      <c r="BH422" t="s">
        <v>74</v>
      </c>
      <c r="BI422">
        <v>13</v>
      </c>
      <c r="BJ422" t="s">
        <v>391</v>
      </c>
      <c r="BK422" t="s">
        <v>101</v>
      </c>
      <c r="BL422" t="s">
        <v>392</v>
      </c>
      <c r="BM422" t="s">
        <v>8577</v>
      </c>
      <c r="BN422" t="s">
        <v>74</v>
      </c>
      <c r="BO422" t="s">
        <v>210</v>
      </c>
      <c r="BP422" t="s">
        <v>74</v>
      </c>
      <c r="BQ422" t="s">
        <v>74</v>
      </c>
      <c r="BR422" t="s">
        <v>105</v>
      </c>
      <c r="BS422" t="s">
        <v>8578</v>
      </c>
      <c r="BT422" t="str">
        <f>HYPERLINK("https%3A%2F%2Fwww.webofscience.com%2Fwos%2Fwoscc%2Ffull-record%2FWOS:000716709000001","View Full Record in Web of Science")</f>
        <v>View Full Record in Web of Science</v>
      </c>
    </row>
    <row r="423" spans="1:72" x14ac:dyDescent="0.15">
      <c r="A423" t="s">
        <v>72</v>
      </c>
      <c r="B423" t="s">
        <v>8579</v>
      </c>
      <c r="C423" t="s">
        <v>74</v>
      </c>
      <c r="D423" t="s">
        <v>74</v>
      </c>
      <c r="E423" t="s">
        <v>74</v>
      </c>
      <c r="F423" t="s">
        <v>8580</v>
      </c>
      <c r="G423" t="s">
        <v>74</v>
      </c>
      <c r="H423" t="s">
        <v>74</v>
      </c>
      <c r="I423" t="s">
        <v>8581</v>
      </c>
      <c r="J423" t="s">
        <v>935</v>
      </c>
      <c r="K423" t="s">
        <v>74</v>
      </c>
      <c r="L423" t="s">
        <v>74</v>
      </c>
      <c r="M423" t="s">
        <v>78</v>
      </c>
      <c r="N423" t="s">
        <v>79</v>
      </c>
      <c r="O423" t="s">
        <v>74</v>
      </c>
      <c r="P423" t="s">
        <v>74</v>
      </c>
      <c r="Q423" t="s">
        <v>74</v>
      </c>
      <c r="R423" t="s">
        <v>74</v>
      </c>
      <c r="S423" t="s">
        <v>74</v>
      </c>
      <c r="T423" t="s">
        <v>8582</v>
      </c>
      <c r="U423" t="s">
        <v>8583</v>
      </c>
      <c r="V423" t="s">
        <v>8584</v>
      </c>
      <c r="W423" t="s">
        <v>8585</v>
      </c>
      <c r="X423" t="s">
        <v>8586</v>
      </c>
      <c r="Y423" t="s">
        <v>8587</v>
      </c>
      <c r="Z423" t="s">
        <v>8588</v>
      </c>
      <c r="AA423" t="s">
        <v>74</v>
      </c>
      <c r="AB423" t="s">
        <v>8589</v>
      </c>
      <c r="AC423" t="s">
        <v>8590</v>
      </c>
      <c r="AD423" t="s">
        <v>8591</v>
      </c>
      <c r="AE423" t="s">
        <v>8592</v>
      </c>
      <c r="AF423" t="s">
        <v>74</v>
      </c>
      <c r="AG423">
        <v>40</v>
      </c>
      <c r="AH423">
        <v>2</v>
      </c>
      <c r="AI423">
        <v>3</v>
      </c>
      <c r="AJ423">
        <v>0</v>
      </c>
      <c r="AK423">
        <v>1</v>
      </c>
      <c r="AL423" t="s">
        <v>169</v>
      </c>
      <c r="AM423" t="s">
        <v>170</v>
      </c>
      <c r="AN423" t="s">
        <v>171</v>
      </c>
      <c r="AO423" t="s">
        <v>948</v>
      </c>
      <c r="AP423" t="s">
        <v>949</v>
      </c>
      <c r="AQ423" t="s">
        <v>74</v>
      </c>
      <c r="AR423" t="s">
        <v>950</v>
      </c>
      <c r="AS423" t="s">
        <v>951</v>
      </c>
      <c r="AT423" t="s">
        <v>310</v>
      </c>
      <c r="AU423">
        <v>2021</v>
      </c>
      <c r="AV423">
        <v>44</v>
      </c>
      <c r="AW423">
        <v>11</v>
      </c>
      <c r="AX423" t="s">
        <v>74</v>
      </c>
      <c r="AY423" t="s">
        <v>74</v>
      </c>
      <c r="AZ423" t="s">
        <v>74</v>
      </c>
      <c r="BA423" t="s">
        <v>74</v>
      </c>
      <c r="BB423">
        <v>2165</v>
      </c>
      <c r="BC423">
        <v>2175</v>
      </c>
      <c r="BD423" t="s">
        <v>74</v>
      </c>
      <c r="BE423" t="s">
        <v>8593</v>
      </c>
      <c r="BF423" t="str">
        <f>HYPERLINK("http://dx.doi.org/10.1007/s00300-021-02953-x","http://dx.doi.org/10.1007/s00300-021-02953-x")</f>
        <v>http://dx.doi.org/10.1007/s00300-021-02953-x</v>
      </c>
      <c r="BG423" t="s">
        <v>74</v>
      </c>
      <c r="BH423" t="s">
        <v>5766</v>
      </c>
      <c r="BI423">
        <v>11</v>
      </c>
      <c r="BJ423" t="s">
        <v>605</v>
      </c>
      <c r="BK423" t="s">
        <v>101</v>
      </c>
      <c r="BL423" t="s">
        <v>606</v>
      </c>
      <c r="BM423" t="s">
        <v>8594</v>
      </c>
      <c r="BN423" t="s">
        <v>74</v>
      </c>
      <c r="BO423" t="s">
        <v>74</v>
      </c>
      <c r="BP423" t="s">
        <v>74</v>
      </c>
      <c r="BQ423" t="s">
        <v>74</v>
      </c>
      <c r="BR423" t="s">
        <v>105</v>
      </c>
      <c r="BS423" t="s">
        <v>8595</v>
      </c>
      <c r="BT423" t="str">
        <f>HYPERLINK("https%3A%2F%2Fwww.webofscience.com%2Fwos%2Fwoscc%2Ffull-record%2FWOS:000706048700001","View Full Record in Web of Science")</f>
        <v>View Full Record in Web of Science</v>
      </c>
    </row>
    <row r="424" spans="1:72" x14ac:dyDescent="0.15">
      <c r="A424" t="s">
        <v>72</v>
      </c>
      <c r="B424" t="s">
        <v>8596</v>
      </c>
      <c r="C424" t="s">
        <v>74</v>
      </c>
      <c r="D424" t="s">
        <v>74</v>
      </c>
      <c r="E424" t="s">
        <v>74</v>
      </c>
      <c r="F424" t="s">
        <v>8597</v>
      </c>
      <c r="G424" t="s">
        <v>74</v>
      </c>
      <c r="H424" t="s">
        <v>74</v>
      </c>
      <c r="I424" t="s">
        <v>8598</v>
      </c>
      <c r="J424" t="s">
        <v>1882</v>
      </c>
      <c r="K424" t="s">
        <v>74</v>
      </c>
      <c r="L424" t="s">
        <v>74</v>
      </c>
      <c r="M424" t="s">
        <v>78</v>
      </c>
      <c r="N424" t="s">
        <v>79</v>
      </c>
      <c r="O424" t="s">
        <v>74</v>
      </c>
      <c r="P424" t="s">
        <v>74</v>
      </c>
      <c r="Q424" t="s">
        <v>74</v>
      </c>
      <c r="R424" t="s">
        <v>74</v>
      </c>
      <c r="S424" t="s">
        <v>74</v>
      </c>
      <c r="T424" t="s">
        <v>8599</v>
      </c>
      <c r="U424" t="s">
        <v>8600</v>
      </c>
      <c r="V424" t="s">
        <v>8601</v>
      </c>
      <c r="W424" t="s">
        <v>8602</v>
      </c>
      <c r="X424" t="s">
        <v>8603</v>
      </c>
      <c r="Y424" t="s">
        <v>8604</v>
      </c>
      <c r="Z424" t="s">
        <v>8605</v>
      </c>
      <c r="AA424" t="s">
        <v>8606</v>
      </c>
      <c r="AB424" t="s">
        <v>8607</v>
      </c>
      <c r="AC424" t="s">
        <v>8608</v>
      </c>
      <c r="AD424" t="s">
        <v>8609</v>
      </c>
      <c r="AE424" t="s">
        <v>8610</v>
      </c>
      <c r="AF424" t="s">
        <v>74</v>
      </c>
      <c r="AG424">
        <v>76</v>
      </c>
      <c r="AH424">
        <v>2</v>
      </c>
      <c r="AI424">
        <v>2</v>
      </c>
      <c r="AJ424">
        <v>4</v>
      </c>
      <c r="AK424">
        <v>32</v>
      </c>
      <c r="AL424" t="s">
        <v>572</v>
      </c>
      <c r="AM424" t="s">
        <v>573</v>
      </c>
      <c r="AN424" t="s">
        <v>574</v>
      </c>
      <c r="AO424" t="s">
        <v>1895</v>
      </c>
      <c r="AP424" t="s">
        <v>1896</v>
      </c>
      <c r="AQ424" t="s">
        <v>74</v>
      </c>
      <c r="AR424" t="s">
        <v>1897</v>
      </c>
      <c r="AS424" t="s">
        <v>1898</v>
      </c>
      <c r="AT424" t="s">
        <v>98</v>
      </c>
      <c r="AU424">
        <v>2021</v>
      </c>
      <c r="AV424">
        <v>27</v>
      </c>
      <c r="AW424">
        <v>23</v>
      </c>
      <c r="AX424" t="s">
        <v>74</v>
      </c>
      <c r="AY424" t="s">
        <v>74</v>
      </c>
      <c r="AZ424" t="s">
        <v>74</v>
      </c>
      <c r="BA424" t="s">
        <v>74</v>
      </c>
      <c r="BB424">
        <v>6181</v>
      </c>
      <c r="BC424">
        <v>6191</v>
      </c>
      <c r="BD424" t="s">
        <v>74</v>
      </c>
      <c r="BE424" t="s">
        <v>8611</v>
      </c>
      <c r="BF424" t="str">
        <f>HYPERLINK("http://dx.doi.org/10.1111/gcb.15907","http://dx.doi.org/10.1111/gcb.15907")</f>
        <v>http://dx.doi.org/10.1111/gcb.15907</v>
      </c>
      <c r="BG424" t="s">
        <v>74</v>
      </c>
      <c r="BH424" t="s">
        <v>5766</v>
      </c>
      <c r="BI424">
        <v>11</v>
      </c>
      <c r="BJ424" t="s">
        <v>1900</v>
      </c>
      <c r="BK424" t="s">
        <v>101</v>
      </c>
      <c r="BL424" t="s">
        <v>606</v>
      </c>
      <c r="BM424" t="s">
        <v>8612</v>
      </c>
      <c r="BN424">
        <v>34582605</v>
      </c>
      <c r="BO424" t="s">
        <v>74</v>
      </c>
      <c r="BP424" t="s">
        <v>74</v>
      </c>
      <c r="BQ424" t="s">
        <v>74</v>
      </c>
      <c r="BR424" t="s">
        <v>105</v>
      </c>
      <c r="BS424" t="s">
        <v>8613</v>
      </c>
      <c r="BT424" t="str">
        <f>HYPERLINK("https%3A%2F%2Fwww.webofscience.com%2Fwos%2Fwoscc%2Ffull-record%2FWOS:000705858500001","View Full Record in Web of Science")</f>
        <v>View Full Record in Web of Science</v>
      </c>
    </row>
    <row r="425" spans="1:72" x14ac:dyDescent="0.15">
      <c r="A425" t="s">
        <v>72</v>
      </c>
      <c r="B425" t="s">
        <v>8614</v>
      </c>
      <c r="C425" t="s">
        <v>74</v>
      </c>
      <c r="D425" t="s">
        <v>74</v>
      </c>
      <c r="E425" t="s">
        <v>74</v>
      </c>
      <c r="F425" t="s">
        <v>8615</v>
      </c>
      <c r="G425" t="s">
        <v>74</v>
      </c>
      <c r="H425" t="s">
        <v>74</v>
      </c>
      <c r="I425" t="s">
        <v>8616</v>
      </c>
      <c r="J425" t="s">
        <v>636</v>
      </c>
      <c r="K425" t="s">
        <v>74</v>
      </c>
      <c r="L425" t="s">
        <v>74</v>
      </c>
      <c r="M425" t="s">
        <v>78</v>
      </c>
      <c r="N425" t="s">
        <v>79</v>
      </c>
      <c r="O425" t="s">
        <v>74</v>
      </c>
      <c r="P425" t="s">
        <v>74</v>
      </c>
      <c r="Q425" t="s">
        <v>74</v>
      </c>
      <c r="R425" t="s">
        <v>74</v>
      </c>
      <c r="S425" t="s">
        <v>74</v>
      </c>
      <c r="T425" t="s">
        <v>8617</v>
      </c>
      <c r="U425" t="s">
        <v>8618</v>
      </c>
      <c r="V425" t="s">
        <v>8619</v>
      </c>
      <c r="W425" t="s">
        <v>8620</v>
      </c>
      <c r="X425" t="s">
        <v>8621</v>
      </c>
      <c r="Y425" t="s">
        <v>8622</v>
      </c>
      <c r="Z425" t="s">
        <v>8623</v>
      </c>
      <c r="AA425" t="s">
        <v>8624</v>
      </c>
      <c r="AB425" t="s">
        <v>8625</v>
      </c>
      <c r="AC425" t="s">
        <v>8626</v>
      </c>
      <c r="AD425" t="s">
        <v>8627</v>
      </c>
      <c r="AE425" t="s">
        <v>8628</v>
      </c>
      <c r="AF425" t="s">
        <v>74</v>
      </c>
      <c r="AG425">
        <v>96</v>
      </c>
      <c r="AH425">
        <v>4</v>
      </c>
      <c r="AI425">
        <v>5</v>
      </c>
      <c r="AJ425">
        <v>2</v>
      </c>
      <c r="AK425">
        <v>8</v>
      </c>
      <c r="AL425" t="s">
        <v>572</v>
      </c>
      <c r="AM425" t="s">
        <v>573</v>
      </c>
      <c r="AN425" t="s">
        <v>574</v>
      </c>
      <c r="AO425" t="s">
        <v>648</v>
      </c>
      <c r="AP425" t="s">
        <v>649</v>
      </c>
      <c r="AQ425" t="s">
        <v>74</v>
      </c>
      <c r="AR425" t="s">
        <v>650</v>
      </c>
      <c r="AS425" t="s">
        <v>651</v>
      </c>
      <c r="AT425" t="s">
        <v>416</v>
      </c>
      <c r="AU425">
        <v>2022</v>
      </c>
      <c r="AV425">
        <v>37</v>
      </c>
      <c r="AW425">
        <v>1</v>
      </c>
      <c r="AX425" t="s">
        <v>74</v>
      </c>
      <c r="AY425" t="s">
        <v>74</v>
      </c>
      <c r="AZ425" t="s">
        <v>74</v>
      </c>
      <c r="BA425" t="s">
        <v>74</v>
      </c>
      <c r="BB425">
        <v>42</v>
      </c>
      <c r="BC425">
        <v>58</v>
      </c>
      <c r="BD425" t="s">
        <v>74</v>
      </c>
      <c r="BE425" t="s">
        <v>8629</v>
      </c>
      <c r="BF425" t="str">
        <f>HYPERLINK("http://dx.doi.org/10.1002/jqs.3379","http://dx.doi.org/10.1002/jqs.3379")</f>
        <v>http://dx.doi.org/10.1002/jqs.3379</v>
      </c>
      <c r="BG425" t="s">
        <v>74</v>
      </c>
      <c r="BH425" t="s">
        <v>5766</v>
      </c>
      <c r="BI425">
        <v>17</v>
      </c>
      <c r="BJ425" t="s">
        <v>340</v>
      </c>
      <c r="BK425" t="s">
        <v>101</v>
      </c>
      <c r="BL425" t="s">
        <v>341</v>
      </c>
      <c r="BM425" t="s">
        <v>8630</v>
      </c>
      <c r="BN425" t="s">
        <v>74</v>
      </c>
      <c r="BO425" t="s">
        <v>3779</v>
      </c>
      <c r="BP425" t="s">
        <v>74</v>
      </c>
      <c r="BQ425" t="s">
        <v>74</v>
      </c>
      <c r="BR425" t="s">
        <v>105</v>
      </c>
      <c r="BS425" t="s">
        <v>8631</v>
      </c>
      <c r="BT425" t="str">
        <f>HYPERLINK("https%3A%2F%2Fwww.webofscience.com%2Fwos%2Fwoscc%2Ffull-record%2FWOS:000705489600001","View Full Record in Web of Science")</f>
        <v>View Full Record in Web of Science</v>
      </c>
    </row>
    <row r="426" spans="1:72" x14ac:dyDescent="0.15">
      <c r="A426" t="s">
        <v>72</v>
      </c>
      <c r="B426" t="s">
        <v>8632</v>
      </c>
      <c r="C426" t="s">
        <v>74</v>
      </c>
      <c r="D426" t="s">
        <v>74</v>
      </c>
      <c r="E426" t="s">
        <v>74</v>
      </c>
      <c r="F426" t="s">
        <v>8633</v>
      </c>
      <c r="G426" t="s">
        <v>74</v>
      </c>
      <c r="H426" t="s">
        <v>74</v>
      </c>
      <c r="I426" t="s">
        <v>8634</v>
      </c>
      <c r="J426" t="s">
        <v>1377</v>
      </c>
      <c r="K426" t="s">
        <v>74</v>
      </c>
      <c r="L426" t="s">
        <v>74</v>
      </c>
      <c r="M426" t="s">
        <v>78</v>
      </c>
      <c r="N426" t="s">
        <v>79</v>
      </c>
      <c r="O426" t="s">
        <v>74</v>
      </c>
      <c r="P426" t="s">
        <v>74</v>
      </c>
      <c r="Q426" t="s">
        <v>74</v>
      </c>
      <c r="R426" t="s">
        <v>74</v>
      </c>
      <c r="S426" t="s">
        <v>74</v>
      </c>
      <c r="T426" t="s">
        <v>8635</v>
      </c>
      <c r="U426" t="s">
        <v>8636</v>
      </c>
      <c r="V426" t="s">
        <v>8637</v>
      </c>
      <c r="W426" t="s">
        <v>8638</v>
      </c>
      <c r="X426" t="s">
        <v>8639</v>
      </c>
      <c r="Y426" t="s">
        <v>8640</v>
      </c>
      <c r="Z426" t="s">
        <v>8641</v>
      </c>
      <c r="AA426" t="s">
        <v>8642</v>
      </c>
      <c r="AB426" t="s">
        <v>8643</v>
      </c>
      <c r="AC426" t="s">
        <v>8644</v>
      </c>
      <c r="AD426" t="s">
        <v>8645</v>
      </c>
      <c r="AE426" t="s">
        <v>8646</v>
      </c>
      <c r="AF426" t="s">
        <v>74</v>
      </c>
      <c r="AG426">
        <v>115</v>
      </c>
      <c r="AH426">
        <v>5</v>
      </c>
      <c r="AI426">
        <v>5</v>
      </c>
      <c r="AJ426">
        <v>1</v>
      </c>
      <c r="AK426">
        <v>14</v>
      </c>
      <c r="AL426" t="s">
        <v>255</v>
      </c>
      <c r="AM426" t="s">
        <v>256</v>
      </c>
      <c r="AN426" t="s">
        <v>257</v>
      </c>
      <c r="AO426" t="s">
        <v>1390</v>
      </c>
      <c r="AP426" t="s">
        <v>1391</v>
      </c>
      <c r="AQ426" t="s">
        <v>74</v>
      </c>
      <c r="AR426" t="s">
        <v>1392</v>
      </c>
      <c r="AS426" t="s">
        <v>1393</v>
      </c>
      <c r="AT426" t="s">
        <v>2435</v>
      </c>
      <c r="AU426">
        <v>2021</v>
      </c>
      <c r="AV426">
        <v>272</v>
      </c>
      <c r="AW426" t="s">
        <v>74</v>
      </c>
      <c r="AX426" t="s">
        <v>74</v>
      </c>
      <c r="AY426" t="s">
        <v>74</v>
      </c>
      <c r="AZ426" t="s">
        <v>74</v>
      </c>
      <c r="BA426" t="s">
        <v>74</v>
      </c>
      <c r="BB426" t="s">
        <v>74</v>
      </c>
      <c r="BC426" t="s">
        <v>74</v>
      </c>
      <c r="BD426">
        <v>107224</v>
      </c>
      <c r="BE426" t="s">
        <v>8647</v>
      </c>
      <c r="BF426" t="str">
        <f>HYPERLINK("http://dx.doi.org/10.1016/j.quascirev.2021.107224","http://dx.doi.org/10.1016/j.quascirev.2021.107224")</f>
        <v>http://dx.doi.org/10.1016/j.quascirev.2021.107224</v>
      </c>
      <c r="BG426" t="s">
        <v>74</v>
      </c>
      <c r="BH426" t="s">
        <v>5766</v>
      </c>
      <c r="BI426">
        <v>13</v>
      </c>
      <c r="BJ426" t="s">
        <v>340</v>
      </c>
      <c r="BK426" t="s">
        <v>101</v>
      </c>
      <c r="BL426" t="s">
        <v>341</v>
      </c>
      <c r="BM426" t="s">
        <v>7456</v>
      </c>
      <c r="BN426" t="s">
        <v>74</v>
      </c>
      <c r="BO426" t="s">
        <v>1614</v>
      </c>
      <c r="BP426" t="s">
        <v>74</v>
      </c>
      <c r="BQ426" t="s">
        <v>74</v>
      </c>
      <c r="BR426" t="s">
        <v>105</v>
      </c>
      <c r="BS426" t="s">
        <v>8648</v>
      </c>
      <c r="BT426" t="str">
        <f>HYPERLINK("https%3A%2F%2Fwww.webofscience.com%2Fwos%2Fwoscc%2Ffull-record%2FWOS:000708698300012","View Full Record in Web of Science")</f>
        <v>View Full Record in Web of Science</v>
      </c>
    </row>
    <row r="427" spans="1:72" x14ac:dyDescent="0.15">
      <c r="A427" t="s">
        <v>72</v>
      </c>
      <c r="B427" t="s">
        <v>8649</v>
      </c>
      <c r="C427" t="s">
        <v>74</v>
      </c>
      <c r="D427" t="s">
        <v>74</v>
      </c>
      <c r="E427" t="s">
        <v>74</v>
      </c>
      <c r="F427" t="s">
        <v>8650</v>
      </c>
      <c r="G427" t="s">
        <v>74</v>
      </c>
      <c r="H427" t="s">
        <v>74</v>
      </c>
      <c r="I427" t="s">
        <v>8651</v>
      </c>
      <c r="J427" t="s">
        <v>8652</v>
      </c>
      <c r="K427" t="s">
        <v>74</v>
      </c>
      <c r="L427" t="s">
        <v>74</v>
      </c>
      <c r="M427" t="s">
        <v>78</v>
      </c>
      <c r="N427" t="s">
        <v>79</v>
      </c>
      <c r="O427" t="s">
        <v>74</v>
      </c>
      <c r="P427" t="s">
        <v>74</v>
      </c>
      <c r="Q427" t="s">
        <v>74</v>
      </c>
      <c r="R427" t="s">
        <v>74</v>
      </c>
      <c r="S427" t="s">
        <v>74</v>
      </c>
      <c r="T427" t="s">
        <v>8653</v>
      </c>
      <c r="U427" t="s">
        <v>8654</v>
      </c>
      <c r="V427" t="s">
        <v>8655</v>
      </c>
      <c r="W427" t="s">
        <v>8656</v>
      </c>
      <c r="X427" t="s">
        <v>8657</v>
      </c>
      <c r="Y427" t="s">
        <v>8658</v>
      </c>
      <c r="Z427" t="s">
        <v>8659</v>
      </c>
      <c r="AA427" t="s">
        <v>74</v>
      </c>
      <c r="AB427" t="s">
        <v>8660</v>
      </c>
      <c r="AC427" t="s">
        <v>8661</v>
      </c>
      <c r="AD427" t="s">
        <v>8662</v>
      </c>
      <c r="AE427" t="s">
        <v>8663</v>
      </c>
      <c r="AF427" t="s">
        <v>74</v>
      </c>
      <c r="AG427">
        <v>94</v>
      </c>
      <c r="AH427">
        <v>4</v>
      </c>
      <c r="AI427">
        <v>4</v>
      </c>
      <c r="AJ427">
        <v>3</v>
      </c>
      <c r="AK427">
        <v>15</v>
      </c>
      <c r="AL427" t="s">
        <v>169</v>
      </c>
      <c r="AM427" t="s">
        <v>170</v>
      </c>
      <c r="AN427" t="s">
        <v>171</v>
      </c>
      <c r="AO427" t="s">
        <v>8664</v>
      </c>
      <c r="AP427" t="s">
        <v>8665</v>
      </c>
      <c r="AQ427" t="s">
        <v>74</v>
      </c>
      <c r="AR427" t="s">
        <v>8652</v>
      </c>
      <c r="AS427" t="s">
        <v>8666</v>
      </c>
      <c r="AT427" t="s">
        <v>310</v>
      </c>
      <c r="AU427">
        <v>2021</v>
      </c>
      <c r="AV427">
        <v>197</v>
      </c>
      <c r="AW427">
        <v>3</v>
      </c>
      <c r="AX427" t="s">
        <v>74</v>
      </c>
      <c r="AY427" t="s">
        <v>74</v>
      </c>
      <c r="AZ427" t="s">
        <v>74</v>
      </c>
      <c r="BA427" t="s">
        <v>74</v>
      </c>
      <c r="BB427">
        <v>729</v>
      </c>
      <c r="BC427">
        <v>742</v>
      </c>
      <c r="BD427" t="s">
        <v>74</v>
      </c>
      <c r="BE427" t="s">
        <v>8667</v>
      </c>
      <c r="BF427" t="str">
        <f>HYPERLINK("http://dx.doi.org/10.1007/s00442-021-05045-z","http://dx.doi.org/10.1007/s00442-021-05045-z")</f>
        <v>http://dx.doi.org/10.1007/s00442-021-05045-z</v>
      </c>
      <c r="BG427" t="s">
        <v>74</v>
      </c>
      <c r="BH427" t="s">
        <v>5766</v>
      </c>
      <c r="BI427">
        <v>14</v>
      </c>
      <c r="BJ427" t="s">
        <v>629</v>
      </c>
      <c r="BK427" t="s">
        <v>101</v>
      </c>
      <c r="BL427" t="s">
        <v>630</v>
      </c>
      <c r="BM427" t="s">
        <v>8668</v>
      </c>
      <c r="BN427">
        <v>34626270</v>
      </c>
      <c r="BO427" t="s">
        <v>180</v>
      </c>
      <c r="BP427" t="s">
        <v>74</v>
      </c>
      <c r="BQ427" t="s">
        <v>74</v>
      </c>
      <c r="BR427" t="s">
        <v>105</v>
      </c>
      <c r="BS427" t="s">
        <v>8669</v>
      </c>
      <c r="BT427" t="str">
        <f>HYPERLINK("https%3A%2F%2Fwww.webofscience.com%2Fwos%2Fwoscc%2Ffull-record%2FWOS:000705695500003","View Full Record in Web of Science")</f>
        <v>View Full Record in Web of Science</v>
      </c>
    </row>
    <row r="428" spans="1:72" x14ac:dyDescent="0.15">
      <c r="A428" t="s">
        <v>72</v>
      </c>
      <c r="B428" t="s">
        <v>8670</v>
      </c>
      <c r="C428" t="s">
        <v>74</v>
      </c>
      <c r="D428" t="s">
        <v>74</v>
      </c>
      <c r="E428" t="s">
        <v>74</v>
      </c>
      <c r="F428" t="s">
        <v>8671</v>
      </c>
      <c r="G428" t="s">
        <v>74</v>
      </c>
      <c r="H428" t="s">
        <v>74</v>
      </c>
      <c r="I428" t="s">
        <v>8672</v>
      </c>
      <c r="J428" t="s">
        <v>507</v>
      </c>
      <c r="K428" t="s">
        <v>74</v>
      </c>
      <c r="L428" t="s">
        <v>74</v>
      </c>
      <c r="M428" t="s">
        <v>78</v>
      </c>
      <c r="N428" t="s">
        <v>79</v>
      </c>
      <c r="O428" t="s">
        <v>74</v>
      </c>
      <c r="P428" t="s">
        <v>74</v>
      </c>
      <c r="Q428" t="s">
        <v>74</v>
      </c>
      <c r="R428" t="s">
        <v>74</v>
      </c>
      <c r="S428" t="s">
        <v>74</v>
      </c>
      <c r="T428" t="s">
        <v>8673</v>
      </c>
      <c r="U428" t="s">
        <v>8674</v>
      </c>
      <c r="V428" t="s">
        <v>8675</v>
      </c>
      <c r="W428" t="s">
        <v>8676</v>
      </c>
      <c r="X428" t="s">
        <v>8677</v>
      </c>
      <c r="Y428" t="s">
        <v>8678</v>
      </c>
      <c r="Z428" t="s">
        <v>8679</v>
      </c>
      <c r="AA428" t="s">
        <v>8680</v>
      </c>
      <c r="AB428" t="s">
        <v>8681</v>
      </c>
      <c r="AC428" t="s">
        <v>8682</v>
      </c>
      <c r="AD428" t="s">
        <v>8683</v>
      </c>
      <c r="AE428" t="s">
        <v>8684</v>
      </c>
      <c r="AF428" t="s">
        <v>74</v>
      </c>
      <c r="AG428">
        <v>72</v>
      </c>
      <c r="AH428">
        <v>6</v>
      </c>
      <c r="AI428">
        <v>6</v>
      </c>
      <c r="AJ428">
        <v>1</v>
      </c>
      <c r="AK428">
        <v>9</v>
      </c>
      <c r="AL428" t="s">
        <v>169</v>
      </c>
      <c r="AM428" t="s">
        <v>520</v>
      </c>
      <c r="AN428" t="s">
        <v>521</v>
      </c>
      <c r="AO428" t="s">
        <v>522</v>
      </c>
      <c r="AP428" t="s">
        <v>523</v>
      </c>
      <c r="AQ428" t="s">
        <v>74</v>
      </c>
      <c r="AR428" t="s">
        <v>507</v>
      </c>
      <c r="AS428" t="s">
        <v>524</v>
      </c>
      <c r="AT428" t="s">
        <v>525</v>
      </c>
      <c r="AU428">
        <v>2022</v>
      </c>
      <c r="AV428">
        <v>51</v>
      </c>
      <c r="AW428">
        <v>2</v>
      </c>
      <c r="AX428" t="s">
        <v>74</v>
      </c>
      <c r="AY428" t="s">
        <v>74</v>
      </c>
      <c r="AZ428" t="s">
        <v>526</v>
      </c>
      <c r="BA428" t="s">
        <v>74</v>
      </c>
      <c r="BB428">
        <v>370</v>
      </c>
      <c r="BC428">
        <v>382</v>
      </c>
      <c r="BD428" t="s">
        <v>74</v>
      </c>
      <c r="BE428" t="s">
        <v>8685</v>
      </c>
      <c r="BF428" t="str">
        <f>HYPERLINK("http://dx.doi.org/10.1007/s13280-021-01638-3","http://dx.doi.org/10.1007/s13280-021-01638-3")</f>
        <v>http://dx.doi.org/10.1007/s13280-021-01638-3</v>
      </c>
      <c r="BG428" t="s">
        <v>74</v>
      </c>
      <c r="BH428" t="s">
        <v>5766</v>
      </c>
      <c r="BI428">
        <v>13</v>
      </c>
      <c r="BJ428" t="s">
        <v>528</v>
      </c>
      <c r="BK428" t="s">
        <v>101</v>
      </c>
      <c r="BL428" t="s">
        <v>529</v>
      </c>
      <c r="BM428" t="s">
        <v>530</v>
      </c>
      <c r="BN428">
        <v>34628602</v>
      </c>
      <c r="BO428" t="s">
        <v>531</v>
      </c>
      <c r="BP428" t="s">
        <v>74</v>
      </c>
      <c r="BQ428" t="s">
        <v>74</v>
      </c>
      <c r="BR428" t="s">
        <v>105</v>
      </c>
      <c r="BS428" t="s">
        <v>8686</v>
      </c>
      <c r="BT428" t="str">
        <f>HYPERLINK("https%3A%2F%2Fwww.webofscience.com%2Fwos%2Fwoscc%2Ffull-record%2FWOS:000705768900002","View Full Record in Web of Science")</f>
        <v>View Full Record in Web of Science</v>
      </c>
    </row>
    <row r="429" spans="1:72" x14ac:dyDescent="0.15">
      <c r="A429" t="s">
        <v>72</v>
      </c>
      <c r="B429" t="s">
        <v>8687</v>
      </c>
      <c r="C429" t="s">
        <v>74</v>
      </c>
      <c r="D429" t="s">
        <v>74</v>
      </c>
      <c r="E429" t="s">
        <v>74</v>
      </c>
      <c r="F429" t="s">
        <v>8688</v>
      </c>
      <c r="G429" t="s">
        <v>74</v>
      </c>
      <c r="H429" t="s">
        <v>74</v>
      </c>
      <c r="I429" t="s">
        <v>8689</v>
      </c>
      <c r="J429" t="s">
        <v>8690</v>
      </c>
      <c r="K429" t="s">
        <v>74</v>
      </c>
      <c r="L429" t="s">
        <v>74</v>
      </c>
      <c r="M429" t="s">
        <v>78</v>
      </c>
      <c r="N429" t="s">
        <v>79</v>
      </c>
      <c r="O429" t="s">
        <v>74</v>
      </c>
      <c r="P429" t="s">
        <v>74</v>
      </c>
      <c r="Q429" t="s">
        <v>74</v>
      </c>
      <c r="R429" t="s">
        <v>74</v>
      </c>
      <c r="S429" t="s">
        <v>74</v>
      </c>
      <c r="T429" t="s">
        <v>8691</v>
      </c>
      <c r="U429" t="s">
        <v>8692</v>
      </c>
      <c r="V429" t="s">
        <v>8693</v>
      </c>
      <c r="W429" t="s">
        <v>8694</v>
      </c>
      <c r="X429" t="s">
        <v>8695</v>
      </c>
      <c r="Y429" t="s">
        <v>8696</v>
      </c>
      <c r="Z429" t="s">
        <v>8697</v>
      </c>
      <c r="AA429" t="s">
        <v>8698</v>
      </c>
      <c r="AB429" t="s">
        <v>8699</v>
      </c>
      <c r="AC429" t="s">
        <v>8700</v>
      </c>
      <c r="AD429" t="s">
        <v>8700</v>
      </c>
      <c r="AE429" t="s">
        <v>8701</v>
      </c>
      <c r="AF429" t="s">
        <v>74</v>
      </c>
      <c r="AG429">
        <v>92</v>
      </c>
      <c r="AH429">
        <v>2</v>
      </c>
      <c r="AI429">
        <v>2</v>
      </c>
      <c r="AJ429">
        <v>1</v>
      </c>
      <c r="AK429">
        <v>21</v>
      </c>
      <c r="AL429" t="s">
        <v>1714</v>
      </c>
      <c r="AM429" t="s">
        <v>256</v>
      </c>
      <c r="AN429" t="s">
        <v>1715</v>
      </c>
      <c r="AO429" t="s">
        <v>8702</v>
      </c>
      <c r="AP429" t="s">
        <v>8703</v>
      </c>
      <c r="AQ429" t="s">
        <v>74</v>
      </c>
      <c r="AR429" t="s">
        <v>8704</v>
      </c>
      <c r="AS429" t="s">
        <v>8705</v>
      </c>
      <c r="AT429" t="s">
        <v>4429</v>
      </c>
      <c r="AU429">
        <v>2021</v>
      </c>
      <c r="AV429">
        <v>43</v>
      </c>
      <c r="AW429">
        <v>6</v>
      </c>
      <c r="AX429" t="s">
        <v>74</v>
      </c>
      <c r="AY429" t="s">
        <v>74</v>
      </c>
      <c r="AZ429" t="s">
        <v>74</v>
      </c>
      <c r="BA429" t="s">
        <v>74</v>
      </c>
      <c r="BB429">
        <v>927</v>
      </c>
      <c r="BC429">
        <v>944</v>
      </c>
      <c r="BD429" t="s">
        <v>74</v>
      </c>
      <c r="BE429" t="s">
        <v>8706</v>
      </c>
      <c r="BF429" t="str">
        <f>HYPERLINK("http://dx.doi.org/10.1093/plankt/fbab068","http://dx.doi.org/10.1093/plankt/fbab068")</f>
        <v>http://dx.doi.org/10.1093/plankt/fbab068</v>
      </c>
      <c r="BG429" t="s">
        <v>74</v>
      </c>
      <c r="BH429" t="s">
        <v>5766</v>
      </c>
      <c r="BI429">
        <v>18</v>
      </c>
      <c r="BJ429" t="s">
        <v>3136</v>
      </c>
      <c r="BK429" t="s">
        <v>101</v>
      </c>
      <c r="BL429" t="s">
        <v>3136</v>
      </c>
      <c r="BM429" t="s">
        <v>8707</v>
      </c>
      <c r="BN429" t="s">
        <v>74</v>
      </c>
      <c r="BO429" t="s">
        <v>74</v>
      </c>
      <c r="BP429" t="s">
        <v>74</v>
      </c>
      <c r="BQ429" t="s">
        <v>74</v>
      </c>
      <c r="BR429" t="s">
        <v>105</v>
      </c>
      <c r="BS429" t="s">
        <v>8708</v>
      </c>
      <c r="BT429" t="str">
        <f>HYPERLINK("https%3A%2F%2Fwww.webofscience.com%2Fwos%2Fwoscc%2Ffull-record%2FWOS:000729961900014","View Full Record in Web of Science")</f>
        <v>View Full Record in Web of Science</v>
      </c>
    </row>
    <row r="430" spans="1:72" x14ac:dyDescent="0.15">
      <c r="A430" t="s">
        <v>72</v>
      </c>
      <c r="B430" t="s">
        <v>8709</v>
      </c>
      <c r="C430" t="s">
        <v>74</v>
      </c>
      <c r="D430" t="s">
        <v>74</v>
      </c>
      <c r="E430" t="s">
        <v>74</v>
      </c>
      <c r="F430" t="s">
        <v>8710</v>
      </c>
      <c r="G430" t="s">
        <v>74</v>
      </c>
      <c r="H430" t="s">
        <v>74</v>
      </c>
      <c r="I430" t="s">
        <v>8711</v>
      </c>
      <c r="J430" t="s">
        <v>1234</v>
      </c>
      <c r="K430" t="s">
        <v>74</v>
      </c>
      <c r="L430" t="s">
        <v>74</v>
      </c>
      <c r="M430" t="s">
        <v>78</v>
      </c>
      <c r="N430" t="s">
        <v>79</v>
      </c>
      <c r="O430" t="s">
        <v>74</v>
      </c>
      <c r="P430" t="s">
        <v>74</v>
      </c>
      <c r="Q430" t="s">
        <v>74</v>
      </c>
      <c r="R430" t="s">
        <v>74</v>
      </c>
      <c r="S430" t="s">
        <v>74</v>
      </c>
      <c r="T430" t="s">
        <v>8712</v>
      </c>
      <c r="U430" t="s">
        <v>8713</v>
      </c>
      <c r="V430" t="s">
        <v>8714</v>
      </c>
      <c r="W430" t="s">
        <v>8715</v>
      </c>
      <c r="X430" t="s">
        <v>8716</v>
      </c>
      <c r="Y430" t="s">
        <v>8717</v>
      </c>
      <c r="Z430" t="s">
        <v>8718</v>
      </c>
      <c r="AA430" t="s">
        <v>8719</v>
      </c>
      <c r="AB430" t="s">
        <v>8720</v>
      </c>
      <c r="AC430" t="s">
        <v>8721</v>
      </c>
      <c r="AD430" t="s">
        <v>8722</v>
      </c>
      <c r="AE430" t="s">
        <v>8723</v>
      </c>
      <c r="AF430" t="s">
        <v>74</v>
      </c>
      <c r="AG430">
        <v>79</v>
      </c>
      <c r="AH430">
        <v>13</v>
      </c>
      <c r="AI430">
        <v>13</v>
      </c>
      <c r="AJ430">
        <v>1</v>
      </c>
      <c r="AK430">
        <v>11</v>
      </c>
      <c r="AL430" t="s">
        <v>383</v>
      </c>
      <c r="AM430" t="s">
        <v>384</v>
      </c>
      <c r="AN430" t="s">
        <v>385</v>
      </c>
      <c r="AO430" t="s">
        <v>74</v>
      </c>
      <c r="AP430" t="s">
        <v>1243</v>
      </c>
      <c r="AQ430" t="s">
        <v>74</v>
      </c>
      <c r="AR430" t="s">
        <v>1244</v>
      </c>
      <c r="AS430" t="s">
        <v>1245</v>
      </c>
      <c r="AT430" t="s">
        <v>8724</v>
      </c>
      <c r="AU430">
        <v>2021</v>
      </c>
      <c r="AV430">
        <v>12</v>
      </c>
      <c r="AW430" t="s">
        <v>74</v>
      </c>
      <c r="AX430" t="s">
        <v>74</v>
      </c>
      <c r="AY430" t="s">
        <v>74</v>
      </c>
      <c r="AZ430" t="s">
        <v>74</v>
      </c>
      <c r="BA430" t="s">
        <v>74</v>
      </c>
      <c r="BB430" t="s">
        <v>74</v>
      </c>
      <c r="BC430" t="s">
        <v>74</v>
      </c>
      <c r="BD430">
        <v>713669</v>
      </c>
      <c r="BE430" t="s">
        <v>8725</v>
      </c>
      <c r="BF430" t="str">
        <f>HYPERLINK("http://dx.doi.org/10.3389/fmicb.2021.713669","http://dx.doi.org/10.3389/fmicb.2021.713669")</f>
        <v>http://dx.doi.org/10.3389/fmicb.2021.713669</v>
      </c>
      <c r="BG430" t="s">
        <v>74</v>
      </c>
      <c r="BH430" t="s">
        <v>74</v>
      </c>
      <c r="BI430">
        <v>16</v>
      </c>
      <c r="BJ430" t="s">
        <v>975</v>
      </c>
      <c r="BK430" t="s">
        <v>101</v>
      </c>
      <c r="BL430" t="s">
        <v>975</v>
      </c>
      <c r="BM430" t="s">
        <v>8726</v>
      </c>
      <c r="BN430">
        <v>34690958</v>
      </c>
      <c r="BO430" t="s">
        <v>1094</v>
      </c>
      <c r="BP430" t="s">
        <v>74</v>
      </c>
      <c r="BQ430" t="s">
        <v>74</v>
      </c>
      <c r="BR430" t="s">
        <v>105</v>
      </c>
      <c r="BS430" t="s">
        <v>8727</v>
      </c>
      <c r="BT430" t="str">
        <f>HYPERLINK("https%3A%2F%2Fwww.webofscience.com%2Fwos%2Fwoscc%2Ffull-record%2FWOS:000710797600001","View Full Record in Web of Science")</f>
        <v>View Full Record in Web of Science</v>
      </c>
    </row>
    <row r="431" spans="1:72" x14ac:dyDescent="0.15">
      <c r="A431" t="s">
        <v>72</v>
      </c>
      <c r="B431" t="s">
        <v>8728</v>
      </c>
      <c r="C431" t="s">
        <v>74</v>
      </c>
      <c r="D431" t="s">
        <v>74</v>
      </c>
      <c r="E431" t="s">
        <v>74</v>
      </c>
      <c r="F431" t="s">
        <v>8729</v>
      </c>
      <c r="G431" t="s">
        <v>74</v>
      </c>
      <c r="H431" t="s">
        <v>74</v>
      </c>
      <c r="I431" t="s">
        <v>8730</v>
      </c>
      <c r="J431" t="s">
        <v>1234</v>
      </c>
      <c r="K431" t="s">
        <v>74</v>
      </c>
      <c r="L431" t="s">
        <v>74</v>
      </c>
      <c r="M431" t="s">
        <v>78</v>
      </c>
      <c r="N431" t="s">
        <v>79</v>
      </c>
      <c r="O431" t="s">
        <v>74</v>
      </c>
      <c r="P431" t="s">
        <v>74</v>
      </c>
      <c r="Q431" t="s">
        <v>74</v>
      </c>
      <c r="R431" t="s">
        <v>74</v>
      </c>
      <c r="S431" t="s">
        <v>74</v>
      </c>
      <c r="T431" t="s">
        <v>8731</v>
      </c>
      <c r="U431" t="s">
        <v>8732</v>
      </c>
      <c r="V431" t="s">
        <v>8733</v>
      </c>
      <c r="W431" t="s">
        <v>8734</v>
      </c>
      <c r="X431" t="s">
        <v>8735</v>
      </c>
      <c r="Y431" t="s">
        <v>8736</v>
      </c>
      <c r="Z431" t="s">
        <v>8737</v>
      </c>
      <c r="AA431" t="s">
        <v>74</v>
      </c>
      <c r="AB431" t="s">
        <v>8738</v>
      </c>
      <c r="AC431" t="s">
        <v>8739</v>
      </c>
      <c r="AD431" t="s">
        <v>8740</v>
      </c>
      <c r="AE431" t="s">
        <v>8741</v>
      </c>
      <c r="AF431" t="s">
        <v>74</v>
      </c>
      <c r="AG431">
        <v>99</v>
      </c>
      <c r="AH431">
        <v>2</v>
      </c>
      <c r="AI431">
        <v>3</v>
      </c>
      <c r="AJ431">
        <v>1</v>
      </c>
      <c r="AK431">
        <v>6</v>
      </c>
      <c r="AL431" t="s">
        <v>383</v>
      </c>
      <c r="AM431" t="s">
        <v>384</v>
      </c>
      <c r="AN431" t="s">
        <v>385</v>
      </c>
      <c r="AO431" t="s">
        <v>74</v>
      </c>
      <c r="AP431" t="s">
        <v>1243</v>
      </c>
      <c r="AQ431" t="s">
        <v>74</v>
      </c>
      <c r="AR431" t="s">
        <v>1244</v>
      </c>
      <c r="AS431" t="s">
        <v>1245</v>
      </c>
      <c r="AT431" t="s">
        <v>8724</v>
      </c>
      <c r="AU431">
        <v>2021</v>
      </c>
      <c r="AV431">
        <v>12</v>
      </c>
      <c r="AW431" t="s">
        <v>74</v>
      </c>
      <c r="AX431" t="s">
        <v>74</v>
      </c>
      <c r="AY431" t="s">
        <v>74</v>
      </c>
      <c r="AZ431" t="s">
        <v>74</v>
      </c>
      <c r="BA431" t="s">
        <v>74</v>
      </c>
      <c r="BB431" t="s">
        <v>74</v>
      </c>
      <c r="BC431" t="s">
        <v>74</v>
      </c>
      <c r="BD431">
        <v>708607</v>
      </c>
      <c r="BE431" t="s">
        <v>8742</v>
      </c>
      <c r="BF431" t="str">
        <f>HYPERLINK("http://dx.doi.org/10.3389/fmicb.2021.708607","http://dx.doi.org/10.3389/fmicb.2021.708607")</f>
        <v>http://dx.doi.org/10.3389/fmicb.2021.708607</v>
      </c>
      <c r="BG431" t="s">
        <v>74</v>
      </c>
      <c r="BH431" t="s">
        <v>74</v>
      </c>
      <c r="BI431">
        <v>16</v>
      </c>
      <c r="BJ431" t="s">
        <v>975</v>
      </c>
      <c r="BK431" t="s">
        <v>101</v>
      </c>
      <c r="BL431" t="s">
        <v>975</v>
      </c>
      <c r="BM431" t="s">
        <v>8743</v>
      </c>
      <c r="BN431">
        <v>34690951</v>
      </c>
      <c r="BO431" t="s">
        <v>1094</v>
      </c>
      <c r="BP431" t="s">
        <v>74</v>
      </c>
      <c r="BQ431" t="s">
        <v>74</v>
      </c>
      <c r="BR431" t="s">
        <v>105</v>
      </c>
      <c r="BS431" t="s">
        <v>8744</v>
      </c>
      <c r="BT431" t="str">
        <f>HYPERLINK("https%3A%2F%2Fwww.webofscience.com%2Fwos%2Fwoscc%2Ffull-record%2FWOS:000710946200001","View Full Record in Web of Science")</f>
        <v>View Full Record in Web of Science</v>
      </c>
    </row>
    <row r="432" spans="1:72" x14ac:dyDescent="0.15">
      <c r="A432" t="s">
        <v>72</v>
      </c>
      <c r="B432" t="s">
        <v>8745</v>
      </c>
      <c r="C432" t="s">
        <v>74</v>
      </c>
      <c r="D432" t="s">
        <v>74</v>
      </c>
      <c r="E432" t="s">
        <v>74</v>
      </c>
      <c r="F432" t="s">
        <v>8746</v>
      </c>
      <c r="G432" t="s">
        <v>74</v>
      </c>
      <c r="H432" t="s">
        <v>74</v>
      </c>
      <c r="I432" t="s">
        <v>8747</v>
      </c>
      <c r="J432" t="s">
        <v>8748</v>
      </c>
      <c r="K432" t="s">
        <v>74</v>
      </c>
      <c r="L432" t="s">
        <v>74</v>
      </c>
      <c r="M432" t="s">
        <v>78</v>
      </c>
      <c r="N432" t="s">
        <v>79</v>
      </c>
      <c r="O432" t="s">
        <v>74</v>
      </c>
      <c r="P432" t="s">
        <v>74</v>
      </c>
      <c r="Q432" t="s">
        <v>74</v>
      </c>
      <c r="R432" t="s">
        <v>74</v>
      </c>
      <c r="S432" t="s">
        <v>74</v>
      </c>
      <c r="T432" t="s">
        <v>8749</v>
      </c>
      <c r="U432" t="s">
        <v>8750</v>
      </c>
      <c r="V432" t="s">
        <v>8751</v>
      </c>
      <c r="W432" t="s">
        <v>8752</v>
      </c>
      <c r="X432" t="s">
        <v>8753</v>
      </c>
      <c r="Y432" t="s">
        <v>8754</v>
      </c>
      <c r="Z432" t="s">
        <v>8755</v>
      </c>
      <c r="AA432" t="s">
        <v>8756</v>
      </c>
      <c r="AB432" t="s">
        <v>8757</v>
      </c>
      <c r="AC432" t="s">
        <v>8758</v>
      </c>
      <c r="AD432" t="s">
        <v>8759</v>
      </c>
      <c r="AE432" t="s">
        <v>8760</v>
      </c>
      <c r="AF432" t="s">
        <v>74</v>
      </c>
      <c r="AG432">
        <v>110</v>
      </c>
      <c r="AH432">
        <v>5</v>
      </c>
      <c r="AI432">
        <v>5</v>
      </c>
      <c r="AJ432">
        <v>0</v>
      </c>
      <c r="AK432">
        <v>18</v>
      </c>
      <c r="AL432" t="s">
        <v>383</v>
      </c>
      <c r="AM432" t="s">
        <v>384</v>
      </c>
      <c r="AN432" t="s">
        <v>385</v>
      </c>
      <c r="AO432" t="s">
        <v>74</v>
      </c>
      <c r="AP432" t="s">
        <v>8761</v>
      </c>
      <c r="AQ432" t="s">
        <v>74</v>
      </c>
      <c r="AR432" t="s">
        <v>8762</v>
      </c>
      <c r="AS432" t="s">
        <v>8763</v>
      </c>
      <c r="AT432" t="s">
        <v>8724</v>
      </c>
      <c r="AU432">
        <v>2021</v>
      </c>
      <c r="AV432">
        <v>12</v>
      </c>
      <c r="AW432" t="s">
        <v>74</v>
      </c>
      <c r="AX432" t="s">
        <v>74</v>
      </c>
      <c r="AY432" t="s">
        <v>74</v>
      </c>
      <c r="AZ432" t="s">
        <v>74</v>
      </c>
      <c r="BA432" t="s">
        <v>74</v>
      </c>
      <c r="BB432" t="s">
        <v>74</v>
      </c>
      <c r="BC432" t="s">
        <v>74</v>
      </c>
      <c r="BD432">
        <v>726440</v>
      </c>
      <c r="BE432" t="s">
        <v>8764</v>
      </c>
      <c r="BF432" t="str">
        <f>HYPERLINK("http://dx.doi.org/10.3389/fphys.2021.726440","http://dx.doi.org/10.3389/fphys.2021.726440")</f>
        <v>http://dx.doi.org/10.3389/fphys.2021.726440</v>
      </c>
      <c r="BG432" t="s">
        <v>74</v>
      </c>
      <c r="BH432" t="s">
        <v>74</v>
      </c>
      <c r="BI432">
        <v>15</v>
      </c>
      <c r="BJ432" t="s">
        <v>8765</v>
      </c>
      <c r="BK432" t="s">
        <v>101</v>
      </c>
      <c r="BL432" t="s">
        <v>8765</v>
      </c>
      <c r="BM432" t="s">
        <v>8766</v>
      </c>
      <c r="BN432">
        <v>34690802</v>
      </c>
      <c r="BO432" t="s">
        <v>394</v>
      </c>
      <c r="BP432" t="s">
        <v>74</v>
      </c>
      <c r="BQ432" t="s">
        <v>74</v>
      </c>
      <c r="BR432" t="s">
        <v>105</v>
      </c>
      <c r="BS432" t="s">
        <v>8767</v>
      </c>
      <c r="BT432" t="str">
        <f>HYPERLINK("https%3A%2F%2Fwww.webofscience.com%2Fwos%2Fwoscc%2Ffull-record%2FWOS:000710442200001","View Full Record in Web of Science")</f>
        <v>View Full Record in Web of Science</v>
      </c>
    </row>
    <row r="433" spans="1:72" x14ac:dyDescent="0.15">
      <c r="A433" t="s">
        <v>72</v>
      </c>
      <c r="B433" t="s">
        <v>8768</v>
      </c>
      <c r="C433" t="s">
        <v>74</v>
      </c>
      <c r="D433" t="s">
        <v>74</v>
      </c>
      <c r="E433" t="s">
        <v>74</v>
      </c>
      <c r="F433" t="s">
        <v>8769</v>
      </c>
      <c r="G433" t="s">
        <v>74</v>
      </c>
      <c r="H433" t="s">
        <v>74</v>
      </c>
      <c r="I433" t="s">
        <v>8770</v>
      </c>
      <c r="J433" t="s">
        <v>8771</v>
      </c>
      <c r="K433" t="s">
        <v>74</v>
      </c>
      <c r="L433" t="s">
        <v>74</v>
      </c>
      <c r="M433" t="s">
        <v>78</v>
      </c>
      <c r="N433" t="s">
        <v>79</v>
      </c>
      <c r="O433" t="s">
        <v>74</v>
      </c>
      <c r="P433" t="s">
        <v>74</v>
      </c>
      <c r="Q433" t="s">
        <v>74</v>
      </c>
      <c r="R433" t="s">
        <v>74</v>
      </c>
      <c r="S433" t="s">
        <v>74</v>
      </c>
      <c r="T433" t="s">
        <v>8772</v>
      </c>
      <c r="U433" t="s">
        <v>8773</v>
      </c>
      <c r="V433" t="s">
        <v>8774</v>
      </c>
      <c r="W433" t="s">
        <v>8775</v>
      </c>
      <c r="X433" t="s">
        <v>8776</v>
      </c>
      <c r="Y433" t="s">
        <v>8777</v>
      </c>
      <c r="Z433" t="s">
        <v>8778</v>
      </c>
      <c r="AA433" t="s">
        <v>8779</v>
      </c>
      <c r="AB433" t="s">
        <v>8780</v>
      </c>
      <c r="AC433" t="s">
        <v>8781</v>
      </c>
      <c r="AD433" t="s">
        <v>8782</v>
      </c>
      <c r="AE433" t="s">
        <v>8783</v>
      </c>
      <c r="AF433" t="s">
        <v>74</v>
      </c>
      <c r="AG433">
        <v>39</v>
      </c>
      <c r="AH433">
        <v>1</v>
      </c>
      <c r="AI433">
        <v>1</v>
      </c>
      <c r="AJ433">
        <v>0</v>
      </c>
      <c r="AK433">
        <v>1</v>
      </c>
      <c r="AL433" t="s">
        <v>1326</v>
      </c>
      <c r="AM433" t="s">
        <v>256</v>
      </c>
      <c r="AN433" t="s">
        <v>1327</v>
      </c>
      <c r="AO433" t="s">
        <v>8784</v>
      </c>
      <c r="AP433" t="s">
        <v>8785</v>
      </c>
      <c r="AQ433" t="s">
        <v>74</v>
      </c>
      <c r="AR433" t="s">
        <v>8786</v>
      </c>
      <c r="AS433" t="s">
        <v>8787</v>
      </c>
      <c r="AT433" t="s">
        <v>2435</v>
      </c>
      <c r="AU433">
        <v>2021</v>
      </c>
      <c r="AV433">
        <v>68</v>
      </c>
      <c r="AW433">
        <v>10</v>
      </c>
      <c r="AX433" t="s">
        <v>74</v>
      </c>
      <c r="AY433" t="s">
        <v>74</v>
      </c>
      <c r="AZ433" t="s">
        <v>74</v>
      </c>
      <c r="BA433" t="s">
        <v>74</v>
      </c>
      <c r="BB433">
        <v>4205</v>
      </c>
      <c r="BC433">
        <v>4216</v>
      </c>
      <c r="BD433" t="s">
        <v>74</v>
      </c>
      <c r="BE433" t="s">
        <v>8788</v>
      </c>
      <c r="BF433" t="str">
        <f>HYPERLINK("http://dx.doi.org/10.1016/j.asr.2021.08.008","http://dx.doi.org/10.1016/j.asr.2021.08.008")</f>
        <v>http://dx.doi.org/10.1016/j.asr.2021.08.008</v>
      </c>
      <c r="BG433" t="s">
        <v>74</v>
      </c>
      <c r="BH433" t="s">
        <v>5766</v>
      </c>
      <c r="BI433">
        <v>12</v>
      </c>
      <c r="BJ433" t="s">
        <v>8789</v>
      </c>
      <c r="BK433" t="s">
        <v>101</v>
      </c>
      <c r="BL433" t="s">
        <v>8790</v>
      </c>
      <c r="BM433" t="s">
        <v>8791</v>
      </c>
      <c r="BN433" t="s">
        <v>74</v>
      </c>
      <c r="BO433" t="s">
        <v>74</v>
      </c>
      <c r="BP433" t="s">
        <v>74</v>
      </c>
      <c r="BQ433" t="s">
        <v>74</v>
      </c>
      <c r="BR433" t="s">
        <v>105</v>
      </c>
      <c r="BS433" t="s">
        <v>8792</v>
      </c>
      <c r="BT433" t="str">
        <f>HYPERLINK("https%3A%2F%2Fwww.webofscience.com%2Fwos%2Fwoscc%2Ffull-record%2FWOS:000706665000001","View Full Record in Web of Science")</f>
        <v>View Full Record in Web of Science</v>
      </c>
    </row>
    <row r="434" spans="1:72" x14ac:dyDescent="0.15">
      <c r="A434" t="s">
        <v>72</v>
      </c>
      <c r="B434" t="s">
        <v>8793</v>
      </c>
      <c r="C434" t="s">
        <v>74</v>
      </c>
      <c r="D434" t="s">
        <v>74</v>
      </c>
      <c r="E434" t="s">
        <v>74</v>
      </c>
      <c r="F434" t="s">
        <v>8794</v>
      </c>
      <c r="G434" t="s">
        <v>74</v>
      </c>
      <c r="H434" t="s">
        <v>74</v>
      </c>
      <c r="I434" t="s">
        <v>8795</v>
      </c>
      <c r="J434" t="s">
        <v>8796</v>
      </c>
      <c r="K434" t="s">
        <v>74</v>
      </c>
      <c r="L434" t="s">
        <v>74</v>
      </c>
      <c r="M434" t="s">
        <v>78</v>
      </c>
      <c r="N434" t="s">
        <v>79</v>
      </c>
      <c r="O434" t="s">
        <v>74</v>
      </c>
      <c r="P434" t="s">
        <v>74</v>
      </c>
      <c r="Q434" t="s">
        <v>74</v>
      </c>
      <c r="R434" t="s">
        <v>74</v>
      </c>
      <c r="S434" t="s">
        <v>74</v>
      </c>
      <c r="T434" t="s">
        <v>74</v>
      </c>
      <c r="U434" t="s">
        <v>8797</v>
      </c>
      <c r="V434" t="s">
        <v>8798</v>
      </c>
      <c r="W434" t="s">
        <v>8799</v>
      </c>
      <c r="X434" t="s">
        <v>8800</v>
      </c>
      <c r="Y434" t="s">
        <v>8801</v>
      </c>
      <c r="Z434" t="s">
        <v>8802</v>
      </c>
      <c r="AA434" t="s">
        <v>8803</v>
      </c>
      <c r="AB434" t="s">
        <v>8804</v>
      </c>
      <c r="AC434" t="s">
        <v>8805</v>
      </c>
      <c r="AD434" t="s">
        <v>8806</v>
      </c>
      <c r="AE434" t="s">
        <v>8807</v>
      </c>
      <c r="AF434" t="s">
        <v>74</v>
      </c>
      <c r="AG434">
        <v>94</v>
      </c>
      <c r="AH434">
        <v>10</v>
      </c>
      <c r="AI434">
        <v>10</v>
      </c>
      <c r="AJ434">
        <v>0</v>
      </c>
      <c r="AK434">
        <v>10</v>
      </c>
      <c r="AL434" t="s">
        <v>227</v>
      </c>
      <c r="AM434" t="s">
        <v>228</v>
      </c>
      <c r="AN434" t="s">
        <v>229</v>
      </c>
      <c r="AO434" t="s">
        <v>8808</v>
      </c>
      <c r="AP434" t="s">
        <v>8809</v>
      </c>
      <c r="AQ434" t="s">
        <v>74</v>
      </c>
      <c r="AR434" t="s">
        <v>8810</v>
      </c>
      <c r="AS434" t="s">
        <v>8811</v>
      </c>
      <c r="AT434" t="s">
        <v>8724</v>
      </c>
      <c r="AU434">
        <v>2021</v>
      </c>
      <c r="AV434">
        <v>14</v>
      </c>
      <c r="AW434">
        <v>10</v>
      </c>
      <c r="AX434" t="s">
        <v>74</v>
      </c>
      <c r="AY434" t="s">
        <v>74</v>
      </c>
      <c r="AZ434" t="s">
        <v>74</v>
      </c>
      <c r="BA434" t="s">
        <v>74</v>
      </c>
      <c r="BB434">
        <v>6509</v>
      </c>
      <c r="BC434">
        <v>6532</v>
      </c>
      <c r="BD434" t="s">
        <v>74</v>
      </c>
      <c r="BE434" t="s">
        <v>8812</v>
      </c>
      <c r="BF434" t="str">
        <f>HYPERLINK("http://dx.doi.org/10.5194/amt-14-6509-2021","http://dx.doi.org/10.5194/amt-14-6509-2021")</f>
        <v>http://dx.doi.org/10.5194/amt-14-6509-2021</v>
      </c>
      <c r="BG434" t="s">
        <v>74</v>
      </c>
      <c r="BH434" t="s">
        <v>74</v>
      </c>
      <c r="BI434">
        <v>24</v>
      </c>
      <c r="BJ434" t="s">
        <v>829</v>
      </c>
      <c r="BK434" t="s">
        <v>101</v>
      </c>
      <c r="BL434" t="s">
        <v>829</v>
      </c>
      <c r="BM434" t="s">
        <v>8813</v>
      </c>
      <c r="BN434" t="s">
        <v>74</v>
      </c>
      <c r="BO434" t="s">
        <v>8814</v>
      </c>
      <c r="BP434" t="s">
        <v>74</v>
      </c>
      <c r="BQ434" t="s">
        <v>74</v>
      </c>
      <c r="BR434" t="s">
        <v>105</v>
      </c>
      <c r="BS434" t="s">
        <v>8815</v>
      </c>
      <c r="BT434" t="str">
        <f>HYPERLINK("https%3A%2F%2Fwww.webofscience.com%2Fwos%2Fwoscc%2Ffull-record%2FWOS:000706155600001","View Full Record in Web of Science")</f>
        <v>View Full Record in Web of Science</v>
      </c>
    </row>
    <row r="435" spans="1:72" x14ac:dyDescent="0.15">
      <c r="A435" t="s">
        <v>72</v>
      </c>
      <c r="B435" t="s">
        <v>8816</v>
      </c>
      <c r="C435" t="s">
        <v>74</v>
      </c>
      <c r="D435" t="s">
        <v>74</v>
      </c>
      <c r="E435" t="s">
        <v>74</v>
      </c>
      <c r="F435" t="s">
        <v>8817</v>
      </c>
      <c r="G435" t="s">
        <v>74</v>
      </c>
      <c r="H435" t="s">
        <v>74</v>
      </c>
      <c r="I435" t="s">
        <v>8818</v>
      </c>
      <c r="J435" t="s">
        <v>3894</v>
      </c>
      <c r="K435" t="s">
        <v>74</v>
      </c>
      <c r="L435" t="s">
        <v>74</v>
      </c>
      <c r="M435" t="s">
        <v>78</v>
      </c>
      <c r="N435" t="s">
        <v>79</v>
      </c>
      <c r="O435" t="s">
        <v>74</v>
      </c>
      <c r="P435" t="s">
        <v>74</v>
      </c>
      <c r="Q435" t="s">
        <v>74</v>
      </c>
      <c r="R435" t="s">
        <v>74</v>
      </c>
      <c r="S435" t="s">
        <v>74</v>
      </c>
      <c r="T435" t="s">
        <v>74</v>
      </c>
      <c r="U435" t="s">
        <v>8819</v>
      </c>
      <c r="V435" t="s">
        <v>8820</v>
      </c>
      <c r="W435" t="s">
        <v>8821</v>
      </c>
      <c r="X435" t="s">
        <v>8822</v>
      </c>
      <c r="Y435" t="s">
        <v>8823</v>
      </c>
      <c r="Z435" t="s">
        <v>8824</v>
      </c>
      <c r="AA435" t="s">
        <v>8825</v>
      </c>
      <c r="AB435" t="s">
        <v>8826</v>
      </c>
      <c r="AC435" t="s">
        <v>8827</v>
      </c>
      <c r="AD435" t="s">
        <v>8828</v>
      </c>
      <c r="AE435" t="s">
        <v>8829</v>
      </c>
      <c r="AF435" t="s">
        <v>74</v>
      </c>
      <c r="AG435">
        <v>51</v>
      </c>
      <c r="AH435">
        <v>17</v>
      </c>
      <c r="AI435">
        <v>17</v>
      </c>
      <c r="AJ435">
        <v>5</v>
      </c>
      <c r="AK435">
        <v>55</v>
      </c>
      <c r="AL435" t="s">
        <v>492</v>
      </c>
      <c r="AM435" t="s">
        <v>493</v>
      </c>
      <c r="AN435" t="s">
        <v>494</v>
      </c>
      <c r="AO435" t="s">
        <v>3903</v>
      </c>
      <c r="AP435" t="s">
        <v>3904</v>
      </c>
      <c r="AQ435" t="s">
        <v>74</v>
      </c>
      <c r="AR435" t="s">
        <v>3894</v>
      </c>
      <c r="AS435" t="s">
        <v>3905</v>
      </c>
      <c r="AT435" t="s">
        <v>8830</v>
      </c>
      <c r="AU435">
        <v>2021</v>
      </c>
      <c r="AV435">
        <v>598</v>
      </c>
      <c r="AW435">
        <v>7879</v>
      </c>
      <c r="AX435" t="s">
        <v>74</v>
      </c>
      <c r="AY435" t="s">
        <v>74</v>
      </c>
      <c r="AZ435" t="s">
        <v>74</v>
      </c>
      <c r="BA435" t="s">
        <v>74</v>
      </c>
      <c r="BB435">
        <v>82</v>
      </c>
      <c r="BC435" t="s">
        <v>499</v>
      </c>
      <c r="BD435" t="s">
        <v>74</v>
      </c>
      <c r="BE435" t="s">
        <v>8831</v>
      </c>
      <c r="BF435" t="str">
        <f>HYPERLINK("http://dx.doi.org/10.1038/s41586-021-03858-9","http://dx.doi.org/10.1038/s41586-021-03858-9")</f>
        <v>http://dx.doi.org/10.1038/s41586-021-03858-9</v>
      </c>
      <c r="BG435" t="s">
        <v>74</v>
      </c>
      <c r="BH435" t="s">
        <v>74</v>
      </c>
      <c r="BI435">
        <v>16</v>
      </c>
      <c r="BJ435" t="s">
        <v>126</v>
      </c>
      <c r="BK435" t="s">
        <v>101</v>
      </c>
      <c r="BL435" t="s">
        <v>127</v>
      </c>
      <c r="BM435" t="s">
        <v>8832</v>
      </c>
      <c r="BN435">
        <v>34616056</v>
      </c>
      <c r="BO435" t="s">
        <v>314</v>
      </c>
      <c r="BP435" t="s">
        <v>74</v>
      </c>
      <c r="BQ435" t="s">
        <v>74</v>
      </c>
      <c r="BR435" t="s">
        <v>105</v>
      </c>
      <c r="BS435" t="s">
        <v>8833</v>
      </c>
      <c r="BT435" t="str">
        <f>HYPERLINK("https%3A%2F%2Fwww.webofscience.com%2Fwos%2Fwoscc%2Ffull-record%2FWOS:000733963000010","View Full Record in Web of Science")</f>
        <v>View Full Record in Web of Science</v>
      </c>
    </row>
    <row r="436" spans="1:72" x14ac:dyDescent="0.15">
      <c r="A436" t="s">
        <v>72</v>
      </c>
      <c r="B436" t="s">
        <v>8834</v>
      </c>
      <c r="C436" t="s">
        <v>74</v>
      </c>
      <c r="D436" t="s">
        <v>74</v>
      </c>
      <c r="E436" t="s">
        <v>74</v>
      </c>
      <c r="F436" t="s">
        <v>8835</v>
      </c>
      <c r="G436" t="s">
        <v>74</v>
      </c>
      <c r="H436" t="s">
        <v>74</v>
      </c>
      <c r="I436" t="s">
        <v>8836</v>
      </c>
      <c r="J436" t="s">
        <v>1058</v>
      </c>
      <c r="K436" t="s">
        <v>74</v>
      </c>
      <c r="L436" t="s">
        <v>74</v>
      </c>
      <c r="M436" t="s">
        <v>78</v>
      </c>
      <c r="N436" t="s">
        <v>79</v>
      </c>
      <c r="O436" t="s">
        <v>74</v>
      </c>
      <c r="P436" t="s">
        <v>74</v>
      </c>
      <c r="Q436" t="s">
        <v>74</v>
      </c>
      <c r="R436" t="s">
        <v>74</v>
      </c>
      <c r="S436" t="s">
        <v>74</v>
      </c>
      <c r="T436" t="s">
        <v>74</v>
      </c>
      <c r="U436" t="s">
        <v>8837</v>
      </c>
      <c r="V436" t="s">
        <v>8838</v>
      </c>
      <c r="W436" t="s">
        <v>8839</v>
      </c>
      <c r="X436" t="s">
        <v>8840</v>
      </c>
      <c r="Y436" t="s">
        <v>8841</v>
      </c>
      <c r="Z436" t="s">
        <v>8842</v>
      </c>
      <c r="AA436" t="s">
        <v>8843</v>
      </c>
      <c r="AB436" t="s">
        <v>8844</v>
      </c>
      <c r="AC436" t="s">
        <v>8845</v>
      </c>
      <c r="AD436" t="s">
        <v>8846</v>
      </c>
      <c r="AE436" t="s">
        <v>8847</v>
      </c>
      <c r="AF436" t="s">
        <v>74</v>
      </c>
      <c r="AG436">
        <v>83</v>
      </c>
      <c r="AH436">
        <v>10</v>
      </c>
      <c r="AI436">
        <v>11</v>
      </c>
      <c r="AJ436">
        <v>3</v>
      </c>
      <c r="AK436">
        <v>29</v>
      </c>
      <c r="AL436" t="s">
        <v>227</v>
      </c>
      <c r="AM436" t="s">
        <v>228</v>
      </c>
      <c r="AN436" t="s">
        <v>229</v>
      </c>
      <c r="AO436" t="s">
        <v>1065</v>
      </c>
      <c r="AP436" t="s">
        <v>1066</v>
      </c>
      <c r="AQ436" t="s">
        <v>74</v>
      </c>
      <c r="AR436" t="s">
        <v>1058</v>
      </c>
      <c r="AS436" t="s">
        <v>1067</v>
      </c>
      <c r="AT436" t="s">
        <v>8830</v>
      </c>
      <c r="AU436">
        <v>2021</v>
      </c>
      <c r="AV436">
        <v>15</v>
      </c>
      <c r="AW436">
        <v>10</v>
      </c>
      <c r="AX436" t="s">
        <v>74</v>
      </c>
      <c r="AY436" t="s">
        <v>74</v>
      </c>
      <c r="AZ436" t="s">
        <v>74</v>
      </c>
      <c r="BA436" t="s">
        <v>74</v>
      </c>
      <c r="BB436">
        <v>4727</v>
      </c>
      <c r="BC436">
        <v>4744</v>
      </c>
      <c r="BD436" t="s">
        <v>74</v>
      </c>
      <c r="BE436" t="s">
        <v>8848</v>
      </c>
      <c r="BF436" t="str">
        <f>HYPERLINK("http://dx.doi.org/10.5194/tc-15-4727-2021","http://dx.doi.org/10.5194/tc-15-4727-2021")</f>
        <v>http://dx.doi.org/10.5194/tc-15-4727-2021</v>
      </c>
      <c r="BG436" t="s">
        <v>74</v>
      </c>
      <c r="BH436" t="s">
        <v>74</v>
      </c>
      <c r="BI436">
        <v>18</v>
      </c>
      <c r="BJ436" t="s">
        <v>340</v>
      </c>
      <c r="BK436" t="s">
        <v>101</v>
      </c>
      <c r="BL436" t="s">
        <v>341</v>
      </c>
      <c r="BM436" t="s">
        <v>8849</v>
      </c>
      <c r="BN436" t="s">
        <v>74</v>
      </c>
      <c r="BO436" t="s">
        <v>239</v>
      </c>
      <c r="BP436" t="s">
        <v>74</v>
      </c>
      <c r="BQ436" t="s">
        <v>74</v>
      </c>
      <c r="BR436" t="s">
        <v>105</v>
      </c>
      <c r="BS436" t="s">
        <v>8850</v>
      </c>
      <c r="BT436" t="str">
        <f>HYPERLINK("https%3A%2F%2Fwww.webofscience.com%2Fwos%2Fwoscc%2Ffull-record%2FWOS:000705941200001","View Full Record in Web of Science")</f>
        <v>View Full Record in Web of Science</v>
      </c>
    </row>
    <row r="437" spans="1:72" x14ac:dyDescent="0.15">
      <c r="A437" t="s">
        <v>72</v>
      </c>
      <c r="B437" t="s">
        <v>8851</v>
      </c>
      <c r="C437" t="s">
        <v>74</v>
      </c>
      <c r="D437" t="s">
        <v>74</v>
      </c>
      <c r="E437" t="s">
        <v>74</v>
      </c>
      <c r="F437" t="s">
        <v>8852</v>
      </c>
      <c r="G437" t="s">
        <v>74</v>
      </c>
      <c r="H437" t="s">
        <v>74</v>
      </c>
      <c r="I437" t="s">
        <v>8853</v>
      </c>
      <c r="J437" t="s">
        <v>8854</v>
      </c>
      <c r="K437" t="s">
        <v>74</v>
      </c>
      <c r="L437" t="s">
        <v>74</v>
      </c>
      <c r="M437" t="s">
        <v>78</v>
      </c>
      <c r="N437" t="s">
        <v>79</v>
      </c>
      <c r="O437" t="s">
        <v>74</v>
      </c>
      <c r="P437" t="s">
        <v>74</v>
      </c>
      <c r="Q437" t="s">
        <v>74</v>
      </c>
      <c r="R437" t="s">
        <v>74</v>
      </c>
      <c r="S437" t="s">
        <v>74</v>
      </c>
      <c r="T437" t="s">
        <v>8855</v>
      </c>
      <c r="U437" t="s">
        <v>8856</v>
      </c>
      <c r="V437" t="s">
        <v>8857</v>
      </c>
      <c r="W437" t="s">
        <v>8858</v>
      </c>
      <c r="X437" t="s">
        <v>8859</v>
      </c>
      <c r="Y437" t="s">
        <v>8860</v>
      </c>
      <c r="Z437" t="s">
        <v>8861</v>
      </c>
      <c r="AA437" t="s">
        <v>8862</v>
      </c>
      <c r="AB437" t="s">
        <v>8863</v>
      </c>
      <c r="AC437" t="s">
        <v>8864</v>
      </c>
      <c r="AD437" t="s">
        <v>8865</v>
      </c>
      <c r="AE437" t="s">
        <v>8866</v>
      </c>
      <c r="AF437" t="s">
        <v>74</v>
      </c>
      <c r="AG437">
        <v>46</v>
      </c>
      <c r="AH437">
        <v>3</v>
      </c>
      <c r="AI437">
        <v>3</v>
      </c>
      <c r="AJ437">
        <v>3</v>
      </c>
      <c r="AK437">
        <v>12</v>
      </c>
      <c r="AL437" t="s">
        <v>1347</v>
      </c>
      <c r="AM437" t="s">
        <v>333</v>
      </c>
      <c r="AN437" t="s">
        <v>1348</v>
      </c>
      <c r="AO437" t="s">
        <v>8867</v>
      </c>
      <c r="AP437" t="s">
        <v>8868</v>
      </c>
      <c r="AQ437" t="s">
        <v>74</v>
      </c>
      <c r="AR437" t="s">
        <v>8869</v>
      </c>
      <c r="AS437" t="s">
        <v>8870</v>
      </c>
      <c r="AT437" t="s">
        <v>3636</v>
      </c>
      <c r="AU437">
        <v>2022</v>
      </c>
      <c r="AV437">
        <v>200</v>
      </c>
      <c r="AW437">
        <v>8</v>
      </c>
      <c r="AX437" t="s">
        <v>74</v>
      </c>
      <c r="AY437" t="s">
        <v>74</v>
      </c>
      <c r="AZ437" t="s">
        <v>74</v>
      </c>
      <c r="BA437" t="s">
        <v>74</v>
      </c>
      <c r="BB437">
        <v>3819</v>
      </c>
      <c r="BC437">
        <v>3828</v>
      </c>
      <c r="BD437" t="s">
        <v>74</v>
      </c>
      <c r="BE437" t="s">
        <v>8871</v>
      </c>
      <c r="BF437" t="str">
        <f>HYPERLINK("http://dx.doi.org/10.1007/s12011-021-02949-y","http://dx.doi.org/10.1007/s12011-021-02949-y")</f>
        <v>http://dx.doi.org/10.1007/s12011-021-02949-y</v>
      </c>
      <c r="BG437" t="s">
        <v>74</v>
      </c>
      <c r="BH437" t="s">
        <v>5766</v>
      </c>
      <c r="BI437">
        <v>10</v>
      </c>
      <c r="BJ437" t="s">
        <v>8872</v>
      </c>
      <c r="BK437" t="s">
        <v>101</v>
      </c>
      <c r="BL437" t="s">
        <v>8872</v>
      </c>
      <c r="BM437" t="s">
        <v>8873</v>
      </c>
      <c r="BN437">
        <v>34618314</v>
      </c>
      <c r="BO437" t="s">
        <v>74</v>
      </c>
      <c r="BP437" t="s">
        <v>74</v>
      </c>
      <c r="BQ437" t="s">
        <v>74</v>
      </c>
      <c r="BR437" t="s">
        <v>105</v>
      </c>
      <c r="BS437" t="s">
        <v>8874</v>
      </c>
      <c r="BT437" t="str">
        <f>HYPERLINK("https%3A%2F%2Fwww.webofscience.com%2Fwos%2Fwoscc%2Ffull-record%2FWOS:000705767900001","View Full Record in Web of Science")</f>
        <v>View Full Record in Web of Science</v>
      </c>
    </row>
    <row r="438" spans="1:72" x14ac:dyDescent="0.15">
      <c r="A438" t="s">
        <v>72</v>
      </c>
      <c r="B438" t="s">
        <v>8875</v>
      </c>
      <c r="C438" t="s">
        <v>74</v>
      </c>
      <c r="D438" t="s">
        <v>74</v>
      </c>
      <c r="E438" t="s">
        <v>74</v>
      </c>
      <c r="F438" t="s">
        <v>8876</v>
      </c>
      <c r="G438" t="s">
        <v>74</v>
      </c>
      <c r="H438" t="s">
        <v>74</v>
      </c>
      <c r="I438" t="s">
        <v>8877</v>
      </c>
      <c r="J438" t="s">
        <v>6365</v>
      </c>
      <c r="K438" t="s">
        <v>74</v>
      </c>
      <c r="L438" t="s">
        <v>74</v>
      </c>
      <c r="M438" t="s">
        <v>78</v>
      </c>
      <c r="N438" t="s">
        <v>79</v>
      </c>
      <c r="O438" t="s">
        <v>74</v>
      </c>
      <c r="P438" t="s">
        <v>74</v>
      </c>
      <c r="Q438" t="s">
        <v>74</v>
      </c>
      <c r="R438" t="s">
        <v>74</v>
      </c>
      <c r="S438" t="s">
        <v>74</v>
      </c>
      <c r="T438" t="s">
        <v>74</v>
      </c>
      <c r="U438" t="s">
        <v>8878</v>
      </c>
      <c r="V438" t="s">
        <v>8879</v>
      </c>
      <c r="W438" t="s">
        <v>8880</v>
      </c>
      <c r="X438" t="s">
        <v>8881</v>
      </c>
      <c r="Y438" t="s">
        <v>8882</v>
      </c>
      <c r="Z438" t="s">
        <v>8883</v>
      </c>
      <c r="AA438" t="s">
        <v>8884</v>
      </c>
      <c r="AB438" t="s">
        <v>8885</v>
      </c>
      <c r="AC438" t="s">
        <v>8886</v>
      </c>
      <c r="AD438" t="s">
        <v>8887</v>
      </c>
      <c r="AE438" t="s">
        <v>8888</v>
      </c>
      <c r="AF438" t="s">
        <v>74</v>
      </c>
      <c r="AG438">
        <v>77</v>
      </c>
      <c r="AH438">
        <v>10</v>
      </c>
      <c r="AI438">
        <v>10</v>
      </c>
      <c r="AJ438">
        <v>1</v>
      </c>
      <c r="AK438">
        <v>15</v>
      </c>
      <c r="AL438" t="s">
        <v>492</v>
      </c>
      <c r="AM438" t="s">
        <v>493</v>
      </c>
      <c r="AN438" t="s">
        <v>494</v>
      </c>
      <c r="AO438" t="s">
        <v>74</v>
      </c>
      <c r="AP438" t="s">
        <v>6376</v>
      </c>
      <c r="AQ438" t="s">
        <v>74</v>
      </c>
      <c r="AR438" t="s">
        <v>6377</v>
      </c>
      <c r="AS438" t="s">
        <v>6378</v>
      </c>
      <c r="AT438" t="s">
        <v>8830</v>
      </c>
      <c r="AU438">
        <v>2021</v>
      </c>
      <c r="AV438">
        <v>4</v>
      </c>
      <c r="AW438">
        <v>1</v>
      </c>
      <c r="AX438" t="s">
        <v>74</v>
      </c>
      <c r="AY438" t="s">
        <v>74</v>
      </c>
      <c r="AZ438" t="s">
        <v>74</v>
      </c>
      <c r="BA438" t="s">
        <v>74</v>
      </c>
      <c r="BB438" t="s">
        <v>74</v>
      </c>
      <c r="BC438" t="s">
        <v>74</v>
      </c>
      <c r="BD438">
        <v>1172</v>
      </c>
      <c r="BE438" t="s">
        <v>8889</v>
      </c>
      <c r="BF438" t="str">
        <f>HYPERLINK("http://dx.doi.org/10.1038/s42003-021-02707-9","http://dx.doi.org/10.1038/s42003-021-02707-9")</f>
        <v>http://dx.doi.org/10.1038/s42003-021-02707-9</v>
      </c>
      <c r="BG438" t="s">
        <v>74</v>
      </c>
      <c r="BH438" t="s">
        <v>74</v>
      </c>
      <c r="BI438">
        <v>9</v>
      </c>
      <c r="BJ438" t="s">
        <v>6380</v>
      </c>
      <c r="BK438" t="s">
        <v>207</v>
      </c>
      <c r="BL438" t="s">
        <v>6381</v>
      </c>
      <c r="BM438" t="s">
        <v>8890</v>
      </c>
      <c r="BN438">
        <v>34621013</v>
      </c>
      <c r="BO438" t="s">
        <v>1094</v>
      </c>
      <c r="BP438" t="s">
        <v>74</v>
      </c>
      <c r="BQ438" t="s">
        <v>74</v>
      </c>
      <c r="BR438" t="s">
        <v>105</v>
      </c>
      <c r="BS438" t="s">
        <v>8891</v>
      </c>
      <c r="BT438" t="str">
        <f>HYPERLINK("https%3A%2F%2Fwww.webofscience.com%2Fwos%2Fwoscc%2Ffull-record%2FWOS:000704983200016","View Full Record in Web of Science")</f>
        <v>View Full Record in Web of Science</v>
      </c>
    </row>
    <row r="439" spans="1:72" x14ac:dyDescent="0.15">
      <c r="A439" t="s">
        <v>72</v>
      </c>
      <c r="B439" t="s">
        <v>8892</v>
      </c>
      <c r="C439" t="s">
        <v>74</v>
      </c>
      <c r="D439" t="s">
        <v>74</v>
      </c>
      <c r="E439" t="s">
        <v>74</v>
      </c>
      <c r="F439" t="s">
        <v>8893</v>
      </c>
      <c r="G439" t="s">
        <v>74</v>
      </c>
      <c r="H439" t="s">
        <v>74</v>
      </c>
      <c r="I439" t="s">
        <v>8894</v>
      </c>
      <c r="J439" t="s">
        <v>935</v>
      </c>
      <c r="K439" t="s">
        <v>74</v>
      </c>
      <c r="L439" t="s">
        <v>74</v>
      </c>
      <c r="M439" t="s">
        <v>78</v>
      </c>
      <c r="N439" t="s">
        <v>79</v>
      </c>
      <c r="O439" t="s">
        <v>74</v>
      </c>
      <c r="P439" t="s">
        <v>74</v>
      </c>
      <c r="Q439" t="s">
        <v>74</v>
      </c>
      <c r="R439" t="s">
        <v>74</v>
      </c>
      <c r="S439" t="s">
        <v>74</v>
      </c>
      <c r="T439" t="s">
        <v>8895</v>
      </c>
      <c r="U439" t="s">
        <v>8896</v>
      </c>
      <c r="V439" t="s">
        <v>8897</v>
      </c>
      <c r="W439" t="s">
        <v>8898</v>
      </c>
      <c r="X439" t="s">
        <v>8899</v>
      </c>
      <c r="Y439" t="s">
        <v>8900</v>
      </c>
      <c r="Z439" t="s">
        <v>8901</v>
      </c>
      <c r="AA439" t="s">
        <v>8902</v>
      </c>
      <c r="AB439" t="s">
        <v>8903</v>
      </c>
      <c r="AC439" t="s">
        <v>8904</v>
      </c>
      <c r="AD439" t="s">
        <v>8905</v>
      </c>
      <c r="AE439" t="s">
        <v>8906</v>
      </c>
      <c r="AF439" t="s">
        <v>74</v>
      </c>
      <c r="AG439">
        <v>100</v>
      </c>
      <c r="AH439">
        <v>8</v>
      </c>
      <c r="AI439">
        <v>8</v>
      </c>
      <c r="AJ439">
        <v>3</v>
      </c>
      <c r="AK439">
        <v>16</v>
      </c>
      <c r="AL439" t="s">
        <v>169</v>
      </c>
      <c r="AM439" t="s">
        <v>170</v>
      </c>
      <c r="AN439" t="s">
        <v>171</v>
      </c>
      <c r="AO439" t="s">
        <v>948</v>
      </c>
      <c r="AP439" t="s">
        <v>949</v>
      </c>
      <c r="AQ439" t="s">
        <v>74</v>
      </c>
      <c r="AR439" t="s">
        <v>950</v>
      </c>
      <c r="AS439" t="s">
        <v>951</v>
      </c>
      <c r="AT439" t="s">
        <v>310</v>
      </c>
      <c r="AU439">
        <v>2021</v>
      </c>
      <c r="AV439">
        <v>44</v>
      </c>
      <c r="AW439">
        <v>11</v>
      </c>
      <c r="AX439" t="s">
        <v>74</v>
      </c>
      <c r="AY439" t="s">
        <v>74</v>
      </c>
      <c r="AZ439" t="s">
        <v>74</v>
      </c>
      <c r="BA439" t="s">
        <v>74</v>
      </c>
      <c r="BB439">
        <v>2151</v>
      </c>
      <c r="BC439">
        <v>2164</v>
      </c>
      <c r="BD439" t="s">
        <v>74</v>
      </c>
      <c r="BE439" t="s">
        <v>8907</v>
      </c>
      <c r="BF439" t="str">
        <f>HYPERLINK("http://dx.doi.org/10.1007/s00300-021-02949-7","http://dx.doi.org/10.1007/s00300-021-02949-7")</f>
        <v>http://dx.doi.org/10.1007/s00300-021-02949-7</v>
      </c>
      <c r="BG439" t="s">
        <v>74</v>
      </c>
      <c r="BH439" t="s">
        <v>5766</v>
      </c>
      <c r="BI439">
        <v>14</v>
      </c>
      <c r="BJ439" t="s">
        <v>605</v>
      </c>
      <c r="BK439" t="s">
        <v>101</v>
      </c>
      <c r="BL439" t="s">
        <v>606</v>
      </c>
      <c r="BM439" t="s">
        <v>8594</v>
      </c>
      <c r="BN439" t="s">
        <v>74</v>
      </c>
      <c r="BO439" t="s">
        <v>74</v>
      </c>
      <c r="BP439" t="s">
        <v>74</v>
      </c>
      <c r="BQ439" t="s">
        <v>74</v>
      </c>
      <c r="BR439" t="s">
        <v>105</v>
      </c>
      <c r="BS439" t="s">
        <v>8908</v>
      </c>
      <c r="BT439" t="str">
        <f>HYPERLINK("https%3A%2F%2Fwww.webofscience.com%2Fwos%2Fwoscc%2Ffull-record%2FWOS:000704935900001","View Full Record in Web of Science")</f>
        <v>View Full Record in Web of Science</v>
      </c>
    </row>
    <row r="440" spans="1:72" x14ac:dyDescent="0.15">
      <c r="A440" t="s">
        <v>72</v>
      </c>
      <c r="B440" t="s">
        <v>8909</v>
      </c>
      <c r="C440" t="s">
        <v>74</v>
      </c>
      <c r="D440" t="s">
        <v>74</v>
      </c>
      <c r="E440" t="s">
        <v>74</v>
      </c>
      <c r="F440" t="s">
        <v>8910</v>
      </c>
      <c r="G440" t="s">
        <v>74</v>
      </c>
      <c r="H440" t="s">
        <v>74</v>
      </c>
      <c r="I440" t="s">
        <v>8911</v>
      </c>
      <c r="J440" t="s">
        <v>981</v>
      </c>
      <c r="K440" t="s">
        <v>74</v>
      </c>
      <c r="L440" t="s">
        <v>74</v>
      </c>
      <c r="M440" t="s">
        <v>78</v>
      </c>
      <c r="N440" t="s">
        <v>79</v>
      </c>
      <c r="O440" t="s">
        <v>74</v>
      </c>
      <c r="P440" t="s">
        <v>74</v>
      </c>
      <c r="Q440" t="s">
        <v>74</v>
      </c>
      <c r="R440" t="s">
        <v>74</v>
      </c>
      <c r="S440" t="s">
        <v>74</v>
      </c>
      <c r="T440" t="s">
        <v>8912</v>
      </c>
      <c r="U440" t="s">
        <v>8913</v>
      </c>
      <c r="V440" t="s">
        <v>8914</v>
      </c>
      <c r="W440" t="s">
        <v>8915</v>
      </c>
      <c r="X440" t="s">
        <v>8916</v>
      </c>
      <c r="Y440" t="s">
        <v>8917</v>
      </c>
      <c r="Z440" t="s">
        <v>8918</v>
      </c>
      <c r="AA440" t="s">
        <v>8919</v>
      </c>
      <c r="AB440" t="s">
        <v>8920</v>
      </c>
      <c r="AC440" t="s">
        <v>8921</v>
      </c>
      <c r="AD440" t="s">
        <v>946</v>
      </c>
      <c r="AE440" t="s">
        <v>8922</v>
      </c>
      <c r="AF440" t="s">
        <v>74</v>
      </c>
      <c r="AG440">
        <v>38</v>
      </c>
      <c r="AH440">
        <v>2</v>
      </c>
      <c r="AI440">
        <v>2</v>
      </c>
      <c r="AJ440">
        <v>0</v>
      </c>
      <c r="AK440">
        <v>1</v>
      </c>
      <c r="AL440" t="s">
        <v>666</v>
      </c>
      <c r="AM440" t="s">
        <v>994</v>
      </c>
      <c r="AN440" t="s">
        <v>995</v>
      </c>
      <c r="AO440" t="s">
        <v>996</v>
      </c>
      <c r="AP440" t="s">
        <v>997</v>
      </c>
      <c r="AQ440" t="s">
        <v>74</v>
      </c>
      <c r="AR440" t="s">
        <v>998</v>
      </c>
      <c r="AS440" t="s">
        <v>999</v>
      </c>
      <c r="AT440" t="s">
        <v>1978</v>
      </c>
      <c r="AU440">
        <v>2022</v>
      </c>
      <c r="AV440">
        <v>68</v>
      </c>
      <c r="AW440">
        <v>269</v>
      </c>
      <c r="AX440" t="s">
        <v>74</v>
      </c>
      <c r="AY440" t="s">
        <v>74</v>
      </c>
      <c r="AZ440" t="s">
        <v>74</v>
      </c>
      <c r="BA440" t="s">
        <v>74</v>
      </c>
      <c r="BB440">
        <v>473</v>
      </c>
      <c r="BC440">
        <v>485</v>
      </c>
      <c r="BD440" t="s">
        <v>74</v>
      </c>
      <c r="BE440" t="s">
        <v>8923</v>
      </c>
      <c r="BF440" t="str">
        <f>HYPERLINK("http://dx.doi.org/10.1017/jog.2021.106","http://dx.doi.org/10.1017/jog.2021.106")</f>
        <v>http://dx.doi.org/10.1017/jog.2021.106</v>
      </c>
      <c r="BG440" t="s">
        <v>74</v>
      </c>
      <c r="BH440" t="s">
        <v>5766</v>
      </c>
      <c r="BI440">
        <v>13</v>
      </c>
      <c r="BJ440" t="s">
        <v>340</v>
      </c>
      <c r="BK440" t="s">
        <v>101</v>
      </c>
      <c r="BL440" t="s">
        <v>341</v>
      </c>
      <c r="BM440" t="s">
        <v>1981</v>
      </c>
      <c r="BN440" t="s">
        <v>74</v>
      </c>
      <c r="BO440" t="s">
        <v>104</v>
      </c>
      <c r="BP440" t="s">
        <v>74</v>
      </c>
      <c r="BQ440" t="s">
        <v>74</v>
      </c>
      <c r="BR440" t="s">
        <v>105</v>
      </c>
      <c r="BS440" t="s">
        <v>8924</v>
      </c>
      <c r="BT440" t="str">
        <f>HYPERLINK("https%3A%2F%2Fwww.webofscience.com%2Fwos%2Fwoscc%2Ffull-record%2FWOS:000774567700001","View Full Record in Web of Science")</f>
        <v>View Full Record in Web of Science</v>
      </c>
    </row>
    <row r="441" spans="1:72" x14ac:dyDescent="0.15">
      <c r="A441" t="s">
        <v>72</v>
      </c>
      <c r="B441" t="s">
        <v>8925</v>
      </c>
      <c r="C441" t="s">
        <v>74</v>
      </c>
      <c r="D441" t="s">
        <v>74</v>
      </c>
      <c r="E441" t="s">
        <v>74</v>
      </c>
      <c r="F441" t="s">
        <v>8926</v>
      </c>
      <c r="G441" t="s">
        <v>74</v>
      </c>
      <c r="H441" t="s">
        <v>74</v>
      </c>
      <c r="I441" t="s">
        <v>8927</v>
      </c>
      <c r="J441" t="s">
        <v>8928</v>
      </c>
      <c r="K441" t="s">
        <v>74</v>
      </c>
      <c r="L441" t="s">
        <v>74</v>
      </c>
      <c r="M441" t="s">
        <v>78</v>
      </c>
      <c r="N441" t="s">
        <v>79</v>
      </c>
      <c r="O441" t="s">
        <v>74</v>
      </c>
      <c r="P441" t="s">
        <v>74</v>
      </c>
      <c r="Q441" t="s">
        <v>74</v>
      </c>
      <c r="R441" t="s">
        <v>74</v>
      </c>
      <c r="S441" t="s">
        <v>74</v>
      </c>
      <c r="T441" t="s">
        <v>8929</v>
      </c>
      <c r="U441" t="s">
        <v>8930</v>
      </c>
      <c r="V441" t="s">
        <v>8931</v>
      </c>
      <c r="W441" t="s">
        <v>8932</v>
      </c>
      <c r="X441" t="s">
        <v>8933</v>
      </c>
      <c r="Y441" t="s">
        <v>8934</v>
      </c>
      <c r="Z441" t="s">
        <v>8935</v>
      </c>
      <c r="AA441" t="s">
        <v>8936</v>
      </c>
      <c r="AB441" t="s">
        <v>8937</v>
      </c>
      <c r="AC441" t="s">
        <v>8938</v>
      </c>
      <c r="AD441" t="s">
        <v>8939</v>
      </c>
      <c r="AE441" t="s">
        <v>8940</v>
      </c>
      <c r="AF441" t="s">
        <v>74</v>
      </c>
      <c r="AG441">
        <v>61</v>
      </c>
      <c r="AH441">
        <v>19</v>
      </c>
      <c r="AI441">
        <v>21</v>
      </c>
      <c r="AJ441">
        <v>18</v>
      </c>
      <c r="AK441">
        <v>114</v>
      </c>
      <c r="AL441" t="s">
        <v>255</v>
      </c>
      <c r="AM441" t="s">
        <v>256</v>
      </c>
      <c r="AN441" t="s">
        <v>257</v>
      </c>
      <c r="AO441" t="s">
        <v>8941</v>
      </c>
      <c r="AP441" t="s">
        <v>8942</v>
      </c>
      <c r="AQ441" t="s">
        <v>74</v>
      </c>
      <c r="AR441" t="s">
        <v>8943</v>
      </c>
      <c r="AS441" t="s">
        <v>8944</v>
      </c>
      <c r="AT441" t="s">
        <v>8945</v>
      </c>
      <c r="AU441">
        <v>2022</v>
      </c>
      <c r="AV441">
        <v>266</v>
      </c>
      <c r="AW441" t="s">
        <v>74</v>
      </c>
      <c r="AX441" t="s">
        <v>74</v>
      </c>
      <c r="AY441" t="s">
        <v>74</v>
      </c>
      <c r="AZ441" t="s">
        <v>74</v>
      </c>
      <c r="BA441" t="s">
        <v>74</v>
      </c>
      <c r="BB441" t="s">
        <v>74</v>
      </c>
      <c r="BC441" t="s">
        <v>74</v>
      </c>
      <c r="BD441">
        <v>120452</v>
      </c>
      <c r="BE441" t="s">
        <v>8946</v>
      </c>
      <c r="BF441" t="str">
        <f>HYPERLINK("http://dx.doi.org/10.1016/j.saa.2021.120452","http://dx.doi.org/10.1016/j.saa.2021.120452")</f>
        <v>http://dx.doi.org/10.1016/j.saa.2021.120452</v>
      </c>
      <c r="BG441" t="s">
        <v>74</v>
      </c>
      <c r="BH441" t="s">
        <v>5766</v>
      </c>
      <c r="BI441">
        <v>9</v>
      </c>
      <c r="BJ441" t="s">
        <v>8947</v>
      </c>
      <c r="BK441" t="s">
        <v>101</v>
      </c>
      <c r="BL441" t="s">
        <v>8947</v>
      </c>
      <c r="BM441" t="s">
        <v>8948</v>
      </c>
      <c r="BN441">
        <v>34624816</v>
      </c>
      <c r="BO441" t="s">
        <v>74</v>
      </c>
      <c r="BP441" t="s">
        <v>74</v>
      </c>
      <c r="BQ441" t="s">
        <v>74</v>
      </c>
      <c r="BR441" t="s">
        <v>105</v>
      </c>
      <c r="BS441" t="s">
        <v>8949</v>
      </c>
      <c r="BT441" t="str">
        <f>HYPERLINK("https%3A%2F%2Fwww.webofscience.com%2Fwos%2Fwoscc%2Ffull-record%2FWOS:000709714100011","View Full Record in Web of Science")</f>
        <v>View Full Record in Web of Science</v>
      </c>
    </row>
    <row r="442" spans="1:72" x14ac:dyDescent="0.15">
      <c r="A442" t="s">
        <v>72</v>
      </c>
      <c r="B442" t="s">
        <v>8950</v>
      </c>
      <c r="C442" t="s">
        <v>74</v>
      </c>
      <c r="D442" t="s">
        <v>74</v>
      </c>
      <c r="E442" t="s">
        <v>74</v>
      </c>
      <c r="F442" t="s">
        <v>8951</v>
      </c>
      <c r="G442" t="s">
        <v>74</v>
      </c>
      <c r="H442" t="s">
        <v>74</v>
      </c>
      <c r="I442" t="s">
        <v>8952</v>
      </c>
      <c r="J442" t="s">
        <v>8953</v>
      </c>
      <c r="K442" t="s">
        <v>74</v>
      </c>
      <c r="L442" t="s">
        <v>74</v>
      </c>
      <c r="M442" t="s">
        <v>78</v>
      </c>
      <c r="N442" t="s">
        <v>79</v>
      </c>
      <c r="O442" t="s">
        <v>74</v>
      </c>
      <c r="P442" t="s">
        <v>74</v>
      </c>
      <c r="Q442" t="s">
        <v>74</v>
      </c>
      <c r="R442" t="s">
        <v>74</v>
      </c>
      <c r="S442" t="s">
        <v>74</v>
      </c>
      <c r="T442" t="s">
        <v>8954</v>
      </c>
      <c r="U442" t="s">
        <v>74</v>
      </c>
      <c r="V442" t="s">
        <v>8955</v>
      </c>
      <c r="W442" t="s">
        <v>8956</v>
      </c>
      <c r="X442" t="s">
        <v>8957</v>
      </c>
      <c r="Y442" t="s">
        <v>8958</v>
      </c>
      <c r="Z442" t="s">
        <v>8959</v>
      </c>
      <c r="AA442" t="s">
        <v>8960</v>
      </c>
      <c r="AB442" t="s">
        <v>8961</v>
      </c>
      <c r="AC442" t="s">
        <v>8962</v>
      </c>
      <c r="AD442" t="s">
        <v>8963</v>
      </c>
      <c r="AE442" t="s">
        <v>8964</v>
      </c>
      <c r="AF442" t="s">
        <v>74</v>
      </c>
      <c r="AG442">
        <v>25</v>
      </c>
      <c r="AH442">
        <v>3</v>
      </c>
      <c r="AI442">
        <v>3</v>
      </c>
      <c r="AJ442">
        <v>0</v>
      </c>
      <c r="AK442">
        <v>11</v>
      </c>
      <c r="AL442" t="s">
        <v>847</v>
      </c>
      <c r="AM442" t="s">
        <v>848</v>
      </c>
      <c r="AN442" t="s">
        <v>849</v>
      </c>
      <c r="AO442" t="s">
        <v>8965</v>
      </c>
      <c r="AP442" t="s">
        <v>8966</v>
      </c>
      <c r="AQ442" t="s">
        <v>74</v>
      </c>
      <c r="AR442" t="s">
        <v>8967</v>
      </c>
      <c r="AS442" t="s">
        <v>8968</v>
      </c>
      <c r="AT442" t="s">
        <v>98</v>
      </c>
      <c r="AU442">
        <v>2021</v>
      </c>
      <c r="AV442">
        <v>60</v>
      </c>
      <c r="AW442" t="s">
        <v>74</v>
      </c>
      <c r="AX442" t="s">
        <v>74</v>
      </c>
      <c r="AY442" t="s">
        <v>74</v>
      </c>
      <c r="AZ442" t="s">
        <v>74</v>
      </c>
      <c r="BA442" t="s">
        <v>74</v>
      </c>
      <c r="BB442" t="s">
        <v>74</v>
      </c>
      <c r="BC442" t="s">
        <v>74</v>
      </c>
      <c r="BD442">
        <v>100887</v>
      </c>
      <c r="BE442" t="s">
        <v>8969</v>
      </c>
      <c r="BF442" t="str">
        <f>HYPERLINK("http://dx.doi.org/10.1016/j.margen.2021.100887","http://dx.doi.org/10.1016/j.margen.2021.100887")</f>
        <v>http://dx.doi.org/10.1016/j.margen.2021.100887</v>
      </c>
      <c r="BG442" t="s">
        <v>74</v>
      </c>
      <c r="BH442" t="s">
        <v>5766</v>
      </c>
      <c r="BI442">
        <v>5</v>
      </c>
      <c r="BJ442" t="s">
        <v>8970</v>
      </c>
      <c r="BK442" t="s">
        <v>101</v>
      </c>
      <c r="BL442" t="s">
        <v>8970</v>
      </c>
      <c r="BM442" t="s">
        <v>8971</v>
      </c>
      <c r="BN442">
        <v>34627549</v>
      </c>
      <c r="BO442" t="s">
        <v>74</v>
      </c>
      <c r="BP442" t="s">
        <v>74</v>
      </c>
      <c r="BQ442" t="s">
        <v>74</v>
      </c>
      <c r="BR442" t="s">
        <v>105</v>
      </c>
      <c r="BS442" t="s">
        <v>8972</v>
      </c>
      <c r="BT442" t="str">
        <f>HYPERLINK("https%3A%2F%2Fwww.webofscience.com%2Fwos%2Fwoscc%2Ffull-record%2FWOS:000707929000004","View Full Record in Web of Science")</f>
        <v>View Full Record in Web of Science</v>
      </c>
    </row>
    <row r="443" spans="1:72" x14ac:dyDescent="0.15">
      <c r="A443" t="s">
        <v>72</v>
      </c>
      <c r="B443" t="s">
        <v>8973</v>
      </c>
      <c r="C443" t="s">
        <v>74</v>
      </c>
      <c r="D443" t="s">
        <v>74</v>
      </c>
      <c r="E443" t="s">
        <v>74</v>
      </c>
      <c r="F443" t="s">
        <v>8974</v>
      </c>
      <c r="G443" t="s">
        <v>74</v>
      </c>
      <c r="H443" t="s">
        <v>74</v>
      </c>
      <c r="I443" t="s">
        <v>8975</v>
      </c>
      <c r="J443" t="s">
        <v>1212</v>
      </c>
      <c r="K443" t="s">
        <v>74</v>
      </c>
      <c r="L443" t="s">
        <v>74</v>
      </c>
      <c r="M443" t="s">
        <v>78</v>
      </c>
      <c r="N443" t="s">
        <v>79</v>
      </c>
      <c r="O443" t="s">
        <v>74</v>
      </c>
      <c r="P443" t="s">
        <v>74</v>
      </c>
      <c r="Q443" t="s">
        <v>74</v>
      </c>
      <c r="R443" t="s">
        <v>74</v>
      </c>
      <c r="S443" t="s">
        <v>74</v>
      </c>
      <c r="T443" t="s">
        <v>74</v>
      </c>
      <c r="U443" t="s">
        <v>8976</v>
      </c>
      <c r="V443" t="s">
        <v>8977</v>
      </c>
      <c r="W443" t="s">
        <v>8978</v>
      </c>
      <c r="X443" t="s">
        <v>8979</v>
      </c>
      <c r="Y443" t="s">
        <v>8980</v>
      </c>
      <c r="Z443" t="s">
        <v>8981</v>
      </c>
      <c r="AA443" t="s">
        <v>8982</v>
      </c>
      <c r="AB443" t="s">
        <v>8983</v>
      </c>
      <c r="AC443" t="s">
        <v>8984</v>
      </c>
      <c r="AD443" t="s">
        <v>8985</v>
      </c>
      <c r="AE443" t="s">
        <v>8986</v>
      </c>
      <c r="AF443" t="s">
        <v>74</v>
      </c>
      <c r="AG443">
        <v>151</v>
      </c>
      <c r="AH443">
        <v>7</v>
      </c>
      <c r="AI443">
        <v>7</v>
      </c>
      <c r="AJ443">
        <v>2</v>
      </c>
      <c r="AK443">
        <v>9</v>
      </c>
      <c r="AL443" t="s">
        <v>492</v>
      </c>
      <c r="AM443" t="s">
        <v>493</v>
      </c>
      <c r="AN443" t="s">
        <v>494</v>
      </c>
      <c r="AO443" t="s">
        <v>1224</v>
      </c>
      <c r="AP443" t="s">
        <v>74</v>
      </c>
      <c r="AQ443" t="s">
        <v>74</v>
      </c>
      <c r="AR443" t="s">
        <v>1225</v>
      </c>
      <c r="AS443" t="s">
        <v>1226</v>
      </c>
      <c r="AT443" t="s">
        <v>8987</v>
      </c>
      <c r="AU443">
        <v>2021</v>
      </c>
      <c r="AV443">
        <v>11</v>
      </c>
      <c r="AW443">
        <v>1</v>
      </c>
      <c r="AX443" t="s">
        <v>74</v>
      </c>
      <c r="AY443" t="s">
        <v>74</v>
      </c>
      <c r="AZ443" t="s">
        <v>74</v>
      </c>
      <c r="BA443" t="s">
        <v>74</v>
      </c>
      <c r="BB443" t="s">
        <v>74</v>
      </c>
      <c r="BC443" t="s">
        <v>74</v>
      </c>
      <c r="BD443">
        <v>19869</v>
      </c>
      <c r="BE443" t="s">
        <v>8988</v>
      </c>
      <c r="BF443" t="str">
        <f>HYPERLINK("http://dx.doi.org/10.1038/s41598-021-99155-6","http://dx.doi.org/10.1038/s41598-021-99155-6")</f>
        <v>http://dx.doi.org/10.1038/s41598-021-99155-6</v>
      </c>
      <c r="BG443" t="s">
        <v>74</v>
      </c>
      <c r="BH443" t="s">
        <v>74</v>
      </c>
      <c r="BI443">
        <v>18</v>
      </c>
      <c r="BJ443" t="s">
        <v>126</v>
      </c>
      <c r="BK443" t="s">
        <v>101</v>
      </c>
      <c r="BL443" t="s">
        <v>127</v>
      </c>
      <c r="BM443" t="s">
        <v>8989</v>
      </c>
      <c r="BN443">
        <v>34615927</v>
      </c>
      <c r="BO443" t="s">
        <v>394</v>
      </c>
      <c r="BP443" t="s">
        <v>74</v>
      </c>
      <c r="BQ443" t="s">
        <v>74</v>
      </c>
      <c r="BR443" t="s">
        <v>105</v>
      </c>
      <c r="BS443" t="s">
        <v>8990</v>
      </c>
      <c r="BT443" t="str">
        <f>HYPERLINK("https%3A%2F%2Fwww.webofscience.com%2Fwos%2Fwoscc%2Ffull-record%2FWOS:000706380800035","View Full Record in Web of Science")</f>
        <v>View Full Record in Web of Science</v>
      </c>
    </row>
    <row r="444" spans="1:72" x14ac:dyDescent="0.15">
      <c r="A444" t="s">
        <v>72</v>
      </c>
      <c r="B444" t="s">
        <v>8991</v>
      </c>
      <c r="C444" t="s">
        <v>74</v>
      </c>
      <c r="D444" t="s">
        <v>74</v>
      </c>
      <c r="E444" t="s">
        <v>74</v>
      </c>
      <c r="F444" t="s">
        <v>8992</v>
      </c>
      <c r="G444" t="s">
        <v>74</v>
      </c>
      <c r="H444" t="s">
        <v>74</v>
      </c>
      <c r="I444" t="s">
        <v>8993</v>
      </c>
      <c r="J444" t="s">
        <v>8994</v>
      </c>
      <c r="K444" t="s">
        <v>74</v>
      </c>
      <c r="L444" t="s">
        <v>74</v>
      </c>
      <c r="M444" t="s">
        <v>78</v>
      </c>
      <c r="N444" t="s">
        <v>79</v>
      </c>
      <c r="O444" t="s">
        <v>74</v>
      </c>
      <c r="P444" t="s">
        <v>74</v>
      </c>
      <c r="Q444" t="s">
        <v>74</v>
      </c>
      <c r="R444" t="s">
        <v>74</v>
      </c>
      <c r="S444" t="s">
        <v>74</v>
      </c>
      <c r="T444" t="s">
        <v>8995</v>
      </c>
      <c r="U444" t="s">
        <v>8996</v>
      </c>
      <c r="V444" t="s">
        <v>8997</v>
      </c>
      <c r="W444" t="s">
        <v>8998</v>
      </c>
      <c r="X444" t="s">
        <v>8999</v>
      </c>
      <c r="Y444" t="s">
        <v>9000</v>
      </c>
      <c r="Z444" t="s">
        <v>9001</v>
      </c>
      <c r="AA444" t="s">
        <v>9002</v>
      </c>
      <c r="AB444" t="s">
        <v>9003</v>
      </c>
      <c r="AC444" t="s">
        <v>9004</v>
      </c>
      <c r="AD444" t="s">
        <v>9005</v>
      </c>
      <c r="AE444" t="s">
        <v>9006</v>
      </c>
      <c r="AF444" t="s">
        <v>74</v>
      </c>
      <c r="AG444">
        <v>97</v>
      </c>
      <c r="AH444">
        <v>5</v>
      </c>
      <c r="AI444">
        <v>5</v>
      </c>
      <c r="AJ444">
        <v>2</v>
      </c>
      <c r="AK444">
        <v>10</v>
      </c>
      <c r="AL444" t="s">
        <v>1687</v>
      </c>
      <c r="AM444" t="s">
        <v>333</v>
      </c>
      <c r="AN444" t="s">
        <v>1688</v>
      </c>
      <c r="AO444" t="s">
        <v>9007</v>
      </c>
      <c r="AP444" t="s">
        <v>74</v>
      </c>
      <c r="AQ444" t="s">
        <v>74</v>
      </c>
      <c r="AR444" t="s">
        <v>9008</v>
      </c>
      <c r="AS444" t="s">
        <v>9009</v>
      </c>
      <c r="AT444" t="s">
        <v>8987</v>
      </c>
      <c r="AU444">
        <v>2021</v>
      </c>
      <c r="AV444">
        <v>8</v>
      </c>
      <c r="AW444">
        <v>10</v>
      </c>
      <c r="AX444" t="s">
        <v>74</v>
      </c>
      <c r="AY444" t="s">
        <v>74</v>
      </c>
      <c r="AZ444" t="s">
        <v>74</v>
      </c>
      <c r="BA444" t="s">
        <v>74</v>
      </c>
      <c r="BB444" t="s">
        <v>74</v>
      </c>
      <c r="BC444" t="s">
        <v>74</v>
      </c>
      <c r="BD444">
        <v>211052</v>
      </c>
      <c r="BE444" t="s">
        <v>9010</v>
      </c>
      <c r="BF444" t="str">
        <f>HYPERLINK("http://dx.doi.org/10.1098/rsos.211052","http://dx.doi.org/10.1098/rsos.211052")</f>
        <v>http://dx.doi.org/10.1098/rsos.211052</v>
      </c>
      <c r="BG444" t="s">
        <v>74</v>
      </c>
      <c r="BH444" t="s">
        <v>74</v>
      </c>
      <c r="BI444">
        <v>14</v>
      </c>
      <c r="BJ444" t="s">
        <v>126</v>
      </c>
      <c r="BK444" t="s">
        <v>101</v>
      </c>
      <c r="BL444" t="s">
        <v>127</v>
      </c>
      <c r="BM444" t="s">
        <v>9011</v>
      </c>
      <c r="BN444">
        <v>34754503</v>
      </c>
      <c r="BO444" t="s">
        <v>394</v>
      </c>
      <c r="BP444" t="s">
        <v>74</v>
      </c>
      <c r="BQ444" t="s">
        <v>74</v>
      </c>
      <c r="BR444" t="s">
        <v>105</v>
      </c>
      <c r="BS444" t="s">
        <v>9012</v>
      </c>
      <c r="BT444" t="str">
        <f>HYPERLINK("https%3A%2F%2Fwww.webofscience.com%2Fwos%2Fwoscc%2Ffull-record%2FWOS:000703888100005","View Full Record in Web of Science")</f>
        <v>View Full Record in Web of Science</v>
      </c>
    </row>
    <row r="445" spans="1:72" x14ac:dyDescent="0.15">
      <c r="A445" t="s">
        <v>72</v>
      </c>
      <c r="B445" t="s">
        <v>9013</v>
      </c>
      <c r="C445" t="s">
        <v>74</v>
      </c>
      <c r="D445" t="s">
        <v>74</v>
      </c>
      <c r="E445" t="s">
        <v>74</v>
      </c>
      <c r="F445" t="s">
        <v>9014</v>
      </c>
      <c r="G445" t="s">
        <v>74</v>
      </c>
      <c r="H445" t="s">
        <v>74</v>
      </c>
      <c r="I445" t="s">
        <v>9015</v>
      </c>
      <c r="J445" t="s">
        <v>1058</v>
      </c>
      <c r="K445" t="s">
        <v>74</v>
      </c>
      <c r="L445" t="s">
        <v>74</v>
      </c>
      <c r="M445" t="s">
        <v>78</v>
      </c>
      <c r="N445" t="s">
        <v>79</v>
      </c>
      <c r="O445" t="s">
        <v>74</v>
      </c>
      <c r="P445" t="s">
        <v>74</v>
      </c>
      <c r="Q445" t="s">
        <v>74</v>
      </c>
      <c r="R445" t="s">
        <v>74</v>
      </c>
      <c r="S445" t="s">
        <v>74</v>
      </c>
      <c r="T445" t="s">
        <v>74</v>
      </c>
      <c r="U445" t="s">
        <v>9016</v>
      </c>
      <c r="V445" t="s">
        <v>9017</v>
      </c>
      <c r="W445" t="s">
        <v>9018</v>
      </c>
      <c r="X445" t="s">
        <v>9019</v>
      </c>
      <c r="Y445" t="s">
        <v>9020</v>
      </c>
      <c r="Z445" t="s">
        <v>9021</v>
      </c>
      <c r="AA445" t="s">
        <v>9022</v>
      </c>
      <c r="AB445" t="s">
        <v>9023</v>
      </c>
      <c r="AC445" t="s">
        <v>9024</v>
      </c>
      <c r="AD445" t="s">
        <v>9025</v>
      </c>
      <c r="AE445" t="s">
        <v>9026</v>
      </c>
      <c r="AF445" t="s">
        <v>74</v>
      </c>
      <c r="AG445">
        <v>110</v>
      </c>
      <c r="AH445">
        <v>10</v>
      </c>
      <c r="AI445">
        <v>10</v>
      </c>
      <c r="AJ445">
        <v>0</v>
      </c>
      <c r="AK445">
        <v>5</v>
      </c>
      <c r="AL445" t="s">
        <v>227</v>
      </c>
      <c r="AM445" t="s">
        <v>228</v>
      </c>
      <c r="AN445" t="s">
        <v>229</v>
      </c>
      <c r="AO445" t="s">
        <v>1065</v>
      </c>
      <c r="AP445" t="s">
        <v>1066</v>
      </c>
      <c r="AQ445" t="s">
        <v>74</v>
      </c>
      <c r="AR445" t="s">
        <v>1058</v>
      </c>
      <c r="AS445" t="s">
        <v>1067</v>
      </c>
      <c r="AT445" t="s">
        <v>8987</v>
      </c>
      <c r="AU445">
        <v>2021</v>
      </c>
      <c r="AV445">
        <v>15</v>
      </c>
      <c r="AW445">
        <v>10</v>
      </c>
      <c r="AX445" t="s">
        <v>74</v>
      </c>
      <c r="AY445" t="s">
        <v>74</v>
      </c>
      <c r="AZ445" t="s">
        <v>74</v>
      </c>
      <c r="BA445" t="s">
        <v>74</v>
      </c>
      <c r="BB445">
        <v>4675</v>
      </c>
      <c r="BC445">
        <v>4702</v>
      </c>
      <c r="BD445" t="s">
        <v>74</v>
      </c>
      <c r="BE445" t="s">
        <v>9027</v>
      </c>
      <c r="BF445" t="str">
        <f>HYPERLINK("http://dx.doi.org/10.5194/tc-15-4675-2021","http://dx.doi.org/10.5194/tc-15-4675-2021")</f>
        <v>http://dx.doi.org/10.5194/tc-15-4675-2021</v>
      </c>
      <c r="BG445" t="s">
        <v>74</v>
      </c>
      <c r="BH445" t="s">
        <v>74</v>
      </c>
      <c r="BI445">
        <v>28</v>
      </c>
      <c r="BJ445" t="s">
        <v>340</v>
      </c>
      <c r="BK445" t="s">
        <v>101</v>
      </c>
      <c r="BL445" t="s">
        <v>341</v>
      </c>
      <c r="BM445" t="s">
        <v>9028</v>
      </c>
      <c r="BN445" t="s">
        <v>74</v>
      </c>
      <c r="BO445" t="s">
        <v>1117</v>
      </c>
      <c r="BP445" t="s">
        <v>74</v>
      </c>
      <c r="BQ445" t="s">
        <v>74</v>
      </c>
      <c r="BR445" t="s">
        <v>105</v>
      </c>
      <c r="BS445" t="s">
        <v>9029</v>
      </c>
      <c r="BT445" t="str">
        <f>HYPERLINK("https%3A%2F%2Fwww.webofscience.com%2Fwos%2Fwoscc%2Ffull-record%2FWOS:000705938300001","View Full Record in Web of Science")</f>
        <v>View Full Record in Web of Science</v>
      </c>
    </row>
    <row r="446" spans="1:72" x14ac:dyDescent="0.15">
      <c r="A446" t="s">
        <v>72</v>
      </c>
      <c r="B446" t="s">
        <v>9030</v>
      </c>
      <c r="C446" t="s">
        <v>74</v>
      </c>
      <c r="D446" t="s">
        <v>74</v>
      </c>
      <c r="E446" t="s">
        <v>74</v>
      </c>
      <c r="F446" t="s">
        <v>9031</v>
      </c>
      <c r="G446" t="s">
        <v>74</v>
      </c>
      <c r="H446" t="s">
        <v>74</v>
      </c>
      <c r="I446" t="s">
        <v>9032</v>
      </c>
      <c r="J446" t="s">
        <v>9033</v>
      </c>
      <c r="K446" t="s">
        <v>74</v>
      </c>
      <c r="L446" t="s">
        <v>74</v>
      </c>
      <c r="M446" t="s">
        <v>78</v>
      </c>
      <c r="N446" t="s">
        <v>79</v>
      </c>
      <c r="O446" t="s">
        <v>74</v>
      </c>
      <c r="P446" t="s">
        <v>74</v>
      </c>
      <c r="Q446" t="s">
        <v>74</v>
      </c>
      <c r="R446" t="s">
        <v>74</v>
      </c>
      <c r="S446" t="s">
        <v>74</v>
      </c>
      <c r="T446" t="s">
        <v>9034</v>
      </c>
      <c r="U446" t="s">
        <v>9035</v>
      </c>
      <c r="V446" t="s">
        <v>9036</v>
      </c>
      <c r="W446" t="s">
        <v>9037</v>
      </c>
      <c r="X446" t="s">
        <v>5890</v>
      </c>
      <c r="Y446" t="s">
        <v>9038</v>
      </c>
      <c r="Z446" t="s">
        <v>9039</v>
      </c>
      <c r="AA446" t="s">
        <v>9040</v>
      </c>
      <c r="AB446" t="s">
        <v>9041</v>
      </c>
      <c r="AC446" t="s">
        <v>9042</v>
      </c>
      <c r="AD446" t="s">
        <v>9042</v>
      </c>
      <c r="AE446" t="s">
        <v>9043</v>
      </c>
      <c r="AF446" t="s">
        <v>74</v>
      </c>
      <c r="AG446">
        <v>82</v>
      </c>
      <c r="AH446">
        <v>6</v>
      </c>
      <c r="AI446">
        <v>6</v>
      </c>
      <c r="AJ446">
        <v>1</v>
      </c>
      <c r="AK446">
        <v>8</v>
      </c>
      <c r="AL446" t="s">
        <v>1326</v>
      </c>
      <c r="AM446" t="s">
        <v>256</v>
      </c>
      <c r="AN446" t="s">
        <v>1327</v>
      </c>
      <c r="AO446" t="s">
        <v>9044</v>
      </c>
      <c r="AP446" t="s">
        <v>9045</v>
      </c>
      <c r="AQ446" t="s">
        <v>74</v>
      </c>
      <c r="AR446" t="s">
        <v>9046</v>
      </c>
      <c r="AS446" t="s">
        <v>9047</v>
      </c>
      <c r="AT446" t="s">
        <v>98</v>
      </c>
      <c r="AU446">
        <v>2021</v>
      </c>
      <c r="AV446">
        <v>126</v>
      </c>
      <c r="AW446" t="s">
        <v>74</v>
      </c>
      <c r="AX446" t="s">
        <v>74</v>
      </c>
      <c r="AY446" t="s">
        <v>74</v>
      </c>
      <c r="AZ446" t="s">
        <v>74</v>
      </c>
      <c r="BA446" t="s">
        <v>74</v>
      </c>
      <c r="BB446">
        <v>31</v>
      </c>
      <c r="BC446">
        <v>38</v>
      </c>
      <c r="BD446" t="s">
        <v>74</v>
      </c>
      <c r="BE446" t="s">
        <v>9048</v>
      </c>
      <c r="BF446" t="str">
        <f>HYPERLINK("http://dx.doi.org/10.1016/j.envsci.2021.09.015","http://dx.doi.org/10.1016/j.envsci.2021.09.015")</f>
        <v>http://dx.doi.org/10.1016/j.envsci.2021.09.015</v>
      </c>
      <c r="BG446" t="s">
        <v>74</v>
      </c>
      <c r="BH446" t="s">
        <v>5766</v>
      </c>
      <c r="BI446">
        <v>8</v>
      </c>
      <c r="BJ446" t="s">
        <v>856</v>
      </c>
      <c r="BK446" t="s">
        <v>207</v>
      </c>
      <c r="BL446" t="s">
        <v>630</v>
      </c>
      <c r="BM446" t="s">
        <v>9049</v>
      </c>
      <c r="BN446" t="s">
        <v>74</v>
      </c>
      <c r="BO446" t="s">
        <v>74</v>
      </c>
      <c r="BP446" t="s">
        <v>74</v>
      </c>
      <c r="BQ446" t="s">
        <v>74</v>
      </c>
      <c r="BR446" t="s">
        <v>105</v>
      </c>
      <c r="BS446" t="s">
        <v>9050</v>
      </c>
      <c r="BT446" t="str">
        <f>HYPERLINK("https%3A%2F%2Fwww.webofscience.com%2Fwos%2Fwoscc%2Ffull-record%2FWOS:000708822900001","View Full Record in Web of Science")</f>
        <v>View Full Record in Web of Science</v>
      </c>
    </row>
    <row r="447" spans="1:72" x14ac:dyDescent="0.15">
      <c r="A447" t="s">
        <v>72</v>
      </c>
      <c r="B447" t="s">
        <v>9051</v>
      </c>
      <c r="C447" t="s">
        <v>74</v>
      </c>
      <c r="D447" t="s">
        <v>74</v>
      </c>
      <c r="E447" t="s">
        <v>74</v>
      </c>
      <c r="F447" t="s">
        <v>9052</v>
      </c>
      <c r="G447" t="s">
        <v>74</v>
      </c>
      <c r="H447" t="s">
        <v>74</v>
      </c>
      <c r="I447" t="s">
        <v>9053</v>
      </c>
      <c r="J447" t="s">
        <v>372</v>
      </c>
      <c r="K447" t="s">
        <v>74</v>
      </c>
      <c r="L447" t="s">
        <v>74</v>
      </c>
      <c r="M447" t="s">
        <v>78</v>
      </c>
      <c r="N447" t="s">
        <v>79</v>
      </c>
      <c r="O447" t="s">
        <v>74</v>
      </c>
      <c r="P447" t="s">
        <v>74</v>
      </c>
      <c r="Q447" t="s">
        <v>74</v>
      </c>
      <c r="R447" t="s">
        <v>74</v>
      </c>
      <c r="S447" t="s">
        <v>74</v>
      </c>
      <c r="T447" t="s">
        <v>9054</v>
      </c>
      <c r="U447" t="s">
        <v>9055</v>
      </c>
      <c r="V447" t="s">
        <v>9056</v>
      </c>
      <c r="W447" t="s">
        <v>9057</v>
      </c>
      <c r="X447" t="s">
        <v>9058</v>
      </c>
      <c r="Y447" t="s">
        <v>9059</v>
      </c>
      <c r="Z447" t="s">
        <v>9060</v>
      </c>
      <c r="AA447" t="s">
        <v>9061</v>
      </c>
      <c r="AB447" t="s">
        <v>9062</v>
      </c>
      <c r="AC447" t="s">
        <v>9063</v>
      </c>
      <c r="AD447" t="s">
        <v>9064</v>
      </c>
      <c r="AE447" t="s">
        <v>9065</v>
      </c>
      <c r="AF447" t="s">
        <v>74</v>
      </c>
      <c r="AG447">
        <v>101</v>
      </c>
      <c r="AH447">
        <v>6</v>
      </c>
      <c r="AI447">
        <v>6</v>
      </c>
      <c r="AJ447">
        <v>1</v>
      </c>
      <c r="AK447">
        <v>15</v>
      </c>
      <c r="AL447" t="s">
        <v>383</v>
      </c>
      <c r="AM447" t="s">
        <v>384</v>
      </c>
      <c r="AN447" t="s">
        <v>385</v>
      </c>
      <c r="AO447" t="s">
        <v>74</v>
      </c>
      <c r="AP447" t="s">
        <v>386</v>
      </c>
      <c r="AQ447" t="s">
        <v>74</v>
      </c>
      <c r="AR447" t="s">
        <v>387</v>
      </c>
      <c r="AS447" t="s">
        <v>388</v>
      </c>
      <c r="AT447" t="s">
        <v>9066</v>
      </c>
      <c r="AU447">
        <v>2021</v>
      </c>
      <c r="AV447">
        <v>8</v>
      </c>
      <c r="AW447" t="s">
        <v>74</v>
      </c>
      <c r="AX447" t="s">
        <v>74</v>
      </c>
      <c r="AY447" t="s">
        <v>74</v>
      </c>
      <c r="AZ447" t="s">
        <v>74</v>
      </c>
      <c r="BA447" t="s">
        <v>74</v>
      </c>
      <c r="BB447" t="s">
        <v>74</v>
      </c>
      <c r="BC447" t="s">
        <v>74</v>
      </c>
      <c r="BD447">
        <v>520713</v>
      </c>
      <c r="BE447" t="s">
        <v>9067</v>
      </c>
      <c r="BF447" t="str">
        <f>HYPERLINK("http://dx.doi.org/10.3389/fmars.2021.520713","http://dx.doi.org/10.3389/fmars.2021.520713")</f>
        <v>http://dx.doi.org/10.3389/fmars.2021.520713</v>
      </c>
      <c r="BG447" t="s">
        <v>74</v>
      </c>
      <c r="BH447" t="s">
        <v>74</v>
      </c>
      <c r="BI447">
        <v>20</v>
      </c>
      <c r="BJ447" t="s">
        <v>391</v>
      </c>
      <c r="BK447" t="s">
        <v>101</v>
      </c>
      <c r="BL447" t="s">
        <v>392</v>
      </c>
      <c r="BM447" t="s">
        <v>9068</v>
      </c>
      <c r="BN447" t="s">
        <v>74</v>
      </c>
      <c r="BO447" t="s">
        <v>7854</v>
      </c>
      <c r="BP447" t="s">
        <v>74</v>
      </c>
      <c r="BQ447" t="s">
        <v>74</v>
      </c>
      <c r="BR447" t="s">
        <v>105</v>
      </c>
      <c r="BS447" t="s">
        <v>9069</v>
      </c>
      <c r="BT447" t="str">
        <f>HYPERLINK("https%3A%2F%2Fwww.webofscience.com%2Fwos%2Fwoscc%2Ffull-record%2FWOS:000710970700001","View Full Record in Web of Science")</f>
        <v>View Full Record in Web of Science</v>
      </c>
    </row>
    <row r="448" spans="1:72" x14ac:dyDescent="0.15">
      <c r="A448" t="s">
        <v>72</v>
      </c>
      <c r="B448" t="s">
        <v>9070</v>
      </c>
      <c r="C448" t="s">
        <v>74</v>
      </c>
      <c r="D448" t="s">
        <v>74</v>
      </c>
      <c r="E448" t="s">
        <v>74</v>
      </c>
      <c r="F448" t="s">
        <v>9071</v>
      </c>
      <c r="G448" t="s">
        <v>74</v>
      </c>
      <c r="H448" t="s">
        <v>74</v>
      </c>
      <c r="I448" t="s">
        <v>9072</v>
      </c>
      <c r="J448" t="s">
        <v>372</v>
      </c>
      <c r="K448" t="s">
        <v>74</v>
      </c>
      <c r="L448" t="s">
        <v>74</v>
      </c>
      <c r="M448" t="s">
        <v>78</v>
      </c>
      <c r="N448" t="s">
        <v>373</v>
      </c>
      <c r="O448" t="s">
        <v>74</v>
      </c>
      <c r="P448" t="s">
        <v>74</v>
      </c>
      <c r="Q448" t="s">
        <v>74</v>
      </c>
      <c r="R448" t="s">
        <v>74</v>
      </c>
      <c r="S448" t="s">
        <v>74</v>
      </c>
      <c r="T448" t="s">
        <v>9073</v>
      </c>
      <c r="U448" t="s">
        <v>9074</v>
      </c>
      <c r="V448" t="s">
        <v>9075</v>
      </c>
      <c r="W448" t="s">
        <v>9076</v>
      </c>
      <c r="X448" t="s">
        <v>9077</v>
      </c>
      <c r="Y448" t="s">
        <v>9078</v>
      </c>
      <c r="Z448" t="s">
        <v>9079</v>
      </c>
      <c r="AA448" t="s">
        <v>9080</v>
      </c>
      <c r="AB448" t="s">
        <v>9081</v>
      </c>
      <c r="AC448" t="s">
        <v>9082</v>
      </c>
      <c r="AD448" t="s">
        <v>9083</v>
      </c>
      <c r="AE448" t="s">
        <v>9084</v>
      </c>
      <c r="AF448" t="s">
        <v>74</v>
      </c>
      <c r="AG448">
        <v>81</v>
      </c>
      <c r="AH448">
        <v>7</v>
      </c>
      <c r="AI448">
        <v>7</v>
      </c>
      <c r="AJ448">
        <v>2</v>
      </c>
      <c r="AK448">
        <v>11</v>
      </c>
      <c r="AL448" t="s">
        <v>383</v>
      </c>
      <c r="AM448" t="s">
        <v>384</v>
      </c>
      <c r="AN448" t="s">
        <v>385</v>
      </c>
      <c r="AO448" t="s">
        <v>74</v>
      </c>
      <c r="AP448" t="s">
        <v>386</v>
      </c>
      <c r="AQ448" t="s">
        <v>74</v>
      </c>
      <c r="AR448" t="s">
        <v>387</v>
      </c>
      <c r="AS448" t="s">
        <v>388</v>
      </c>
      <c r="AT448" t="s">
        <v>9066</v>
      </c>
      <c r="AU448">
        <v>2021</v>
      </c>
      <c r="AV448">
        <v>8</v>
      </c>
      <c r="AW448" t="s">
        <v>74</v>
      </c>
      <c r="AX448" t="s">
        <v>74</v>
      </c>
      <c r="AY448" t="s">
        <v>74</v>
      </c>
      <c r="AZ448" t="s">
        <v>74</v>
      </c>
      <c r="BA448" t="s">
        <v>74</v>
      </c>
      <c r="BB448" t="s">
        <v>74</v>
      </c>
      <c r="BC448" t="s">
        <v>74</v>
      </c>
      <c r="BD448">
        <v>637063</v>
      </c>
      <c r="BE448" t="s">
        <v>9085</v>
      </c>
      <c r="BF448" t="str">
        <f>HYPERLINK("http://dx.doi.org/10.3389/fmars.2021.637063","http://dx.doi.org/10.3389/fmars.2021.637063")</f>
        <v>http://dx.doi.org/10.3389/fmars.2021.637063</v>
      </c>
      <c r="BG448" t="s">
        <v>74</v>
      </c>
      <c r="BH448" t="s">
        <v>74</v>
      </c>
      <c r="BI448">
        <v>15</v>
      </c>
      <c r="BJ448" t="s">
        <v>391</v>
      </c>
      <c r="BK448" t="s">
        <v>101</v>
      </c>
      <c r="BL448" t="s">
        <v>392</v>
      </c>
      <c r="BM448" t="s">
        <v>9086</v>
      </c>
      <c r="BN448" t="s">
        <v>74</v>
      </c>
      <c r="BO448" t="s">
        <v>104</v>
      </c>
      <c r="BP448" t="s">
        <v>74</v>
      </c>
      <c r="BQ448" t="s">
        <v>74</v>
      </c>
      <c r="BR448" t="s">
        <v>105</v>
      </c>
      <c r="BS448" t="s">
        <v>9087</v>
      </c>
      <c r="BT448" t="str">
        <f>HYPERLINK("https%3A%2F%2Fwww.webofscience.com%2Fwos%2Fwoscc%2Ffull-record%2FWOS:000709754500001","View Full Record in Web of Science")</f>
        <v>View Full Record in Web of Science</v>
      </c>
    </row>
    <row r="449" spans="1:72" x14ac:dyDescent="0.15">
      <c r="A449" t="s">
        <v>72</v>
      </c>
      <c r="B449" t="s">
        <v>9088</v>
      </c>
      <c r="C449" t="s">
        <v>74</v>
      </c>
      <c r="D449" t="s">
        <v>74</v>
      </c>
      <c r="E449" t="s">
        <v>74</v>
      </c>
      <c r="F449" t="s">
        <v>9089</v>
      </c>
      <c r="G449" t="s">
        <v>74</v>
      </c>
      <c r="H449" t="s">
        <v>74</v>
      </c>
      <c r="I449" t="s">
        <v>9090</v>
      </c>
      <c r="J449" t="s">
        <v>348</v>
      </c>
      <c r="K449" t="s">
        <v>74</v>
      </c>
      <c r="L449" t="s">
        <v>74</v>
      </c>
      <c r="M449" t="s">
        <v>78</v>
      </c>
      <c r="N449" t="s">
        <v>79</v>
      </c>
      <c r="O449" t="s">
        <v>74</v>
      </c>
      <c r="P449" t="s">
        <v>74</v>
      </c>
      <c r="Q449" t="s">
        <v>74</v>
      </c>
      <c r="R449" t="s">
        <v>74</v>
      </c>
      <c r="S449" t="s">
        <v>74</v>
      </c>
      <c r="T449" t="s">
        <v>9091</v>
      </c>
      <c r="U449" t="s">
        <v>9092</v>
      </c>
      <c r="V449" t="s">
        <v>9093</v>
      </c>
      <c r="W449" t="s">
        <v>9094</v>
      </c>
      <c r="X449" t="s">
        <v>9095</v>
      </c>
      <c r="Y449" t="s">
        <v>9096</v>
      </c>
      <c r="Z449" t="s">
        <v>9097</v>
      </c>
      <c r="AA449" t="s">
        <v>9098</v>
      </c>
      <c r="AB449" t="s">
        <v>9099</v>
      </c>
      <c r="AC449" t="s">
        <v>9100</v>
      </c>
      <c r="AD449" t="s">
        <v>9101</v>
      </c>
      <c r="AE449" t="s">
        <v>9102</v>
      </c>
      <c r="AF449" t="s">
        <v>74</v>
      </c>
      <c r="AG449">
        <v>76</v>
      </c>
      <c r="AH449">
        <v>7</v>
      </c>
      <c r="AI449">
        <v>7</v>
      </c>
      <c r="AJ449">
        <v>2</v>
      </c>
      <c r="AK449">
        <v>12</v>
      </c>
      <c r="AL449" t="s">
        <v>255</v>
      </c>
      <c r="AM449" t="s">
        <v>256</v>
      </c>
      <c r="AN449" t="s">
        <v>257</v>
      </c>
      <c r="AO449" t="s">
        <v>359</v>
      </c>
      <c r="AP449" t="s">
        <v>360</v>
      </c>
      <c r="AQ449" t="s">
        <v>74</v>
      </c>
      <c r="AR449" t="s">
        <v>361</v>
      </c>
      <c r="AS449" t="s">
        <v>362</v>
      </c>
      <c r="AT449" t="s">
        <v>204</v>
      </c>
      <c r="AU449">
        <v>2021</v>
      </c>
      <c r="AV449">
        <v>314</v>
      </c>
      <c r="AW449" t="s">
        <v>74</v>
      </c>
      <c r="AX449" t="s">
        <v>74</v>
      </c>
      <c r="AY449" t="s">
        <v>74</v>
      </c>
      <c r="AZ449" t="s">
        <v>74</v>
      </c>
      <c r="BA449" t="s">
        <v>74</v>
      </c>
      <c r="BB449">
        <v>121</v>
      </c>
      <c r="BC449">
        <v>139</v>
      </c>
      <c r="BD449" t="s">
        <v>74</v>
      </c>
      <c r="BE449" t="s">
        <v>9103</v>
      </c>
      <c r="BF449" t="str">
        <f>HYPERLINK("http://dx.doi.org/10.1016/j.gca.2021.09.015","http://dx.doi.org/10.1016/j.gca.2021.09.015")</f>
        <v>http://dx.doi.org/10.1016/j.gca.2021.09.015</v>
      </c>
      <c r="BG449" t="s">
        <v>74</v>
      </c>
      <c r="BH449" t="s">
        <v>5766</v>
      </c>
      <c r="BI449">
        <v>19</v>
      </c>
      <c r="BJ449" t="s">
        <v>365</v>
      </c>
      <c r="BK449" t="s">
        <v>101</v>
      </c>
      <c r="BL449" t="s">
        <v>365</v>
      </c>
      <c r="BM449" t="s">
        <v>9104</v>
      </c>
      <c r="BN449" t="s">
        <v>74</v>
      </c>
      <c r="BO449" t="s">
        <v>314</v>
      </c>
      <c r="BP449" t="s">
        <v>74</v>
      </c>
      <c r="BQ449" t="s">
        <v>74</v>
      </c>
      <c r="BR449" t="s">
        <v>105</v>
      </c>
      <c r="BS449" t="s">
        <v>9105</v>
      </c>
      <c r="BT449" t="str">
        <f>HYPERLINK("https%3A%2F%2Fwww.webofscience.com%2Fwos%2Fwoscc%2Ffull-record%2FWOS:000706883100001","View Full Record in Web of Science")</f>
        <v>View Full Record in Web of Science</v>
      </c>
    </row>
    <row r="450" spans="1:72" x14ac:dyDescent="0.15">
      <c r="A450" t="s">
        <v>72</v>
      </c>
      <c r="B450" t="s">
        <v>9106</v>
      </c>
      <c r="C450" t="s">
        <v>74</v>
      </c>
      <c r="D450" t="s">
        <v>74</v>
      </c>
      <c r="E450" t="s">
        <v>74</v>
      </c>
      <c r="F450" t="s">
        <v>9107</v>
      </c>
      <c r="G450" t="s">
        <v>74</v>
      </c>
      <c r="H450" t="s">
        <v>74</v>
      </c>
      <c r="I450" t="s">
        <v>9108</v>
      </c>
      <c r="J450" t="s">
        <v>3248</v>
      </c>
      <c r="K450" t="s">
        <v>74</v>
      </c>
      <c r="L450" t="s">
        <v>74</v>
      </c>
      <c r="M450" t="s">
        <v>78</v>
      </c>
      <c r="N450" t="s">
        <v>79</v>
      </c>
      <c r="O450" t="s">
        <v>74</v>
      </c>
      <c r="P450" t="s">
        <v>74</v>
      </c>
      <c r="Q450" t="s">
        <v>74</v>
      </c>
      <c r="R450" t="s">
        <v>74</v>
      </c>
      <c r="S450" t="s">
        <v>74</v>
      </c>
      <c r="T450" t="s">
        <v>9109</v>
      </c>
      <c r="U450" t="s">
        <v>9110</v>
      </c>
      <c r="V450" t="s">
        <v>9111</v>
      </c>
      <c r="W450" t="s">
        <v>9112</v>
      </c>
      <c r="X450" t="s">
        <v>1768</v>
      </c>
      <c r="Y450" t="s">
        <v>9113</v>
      </c>
      <c r="Z450" t="s">
        <v>9114</v>
      </c>
      <c r="AA450" t="s">
        <v>2166</v>
      </c>
      <c r="AB450" t="s">
        <v>9115</v>
      </c>
      <c r="AC450" t="s">
        <v>9116</v>
      </c>
      <c r="AD450" t="s">
        <v>1173</v>
      </c>
      <c r="AE450" t="s">
        <v>9117</v>
      </c>
      <c r="AF450" t="s">
        <v>74</v>
      </c>
      <c r="AG450">
        <v>73</v>
      </c>
      <c r="AH450">
        <v>10</v>
      </c>
      <c r="AI450">
        <v>12</v>
      </c>
      <c r="AJ450">
        <v>9</v>
      </c>
      <c r="AK450">
        <v>50</v>
      </c>
      <c r="AL450" t="s">
        <v>3261</v>
      </c>
      <c r="AM450" t="s">
        <v>438</v>
      </c>
      <c r="AN450" t="s">
        <v>3262</v>
      </c>
      <c r="AO450" t="s">
        <v>3263</v>
      </c>
      <c r="AP450" t="s">
        <v>9118</v>
      </c>
      <c r="AQ450" t="s">
        <v>74</v>
      </c>
      <c r="AR450" t="s">
        <v>3264</v>
      </c>
      <c r="AS450" t="s">
        <v>3265</v>
      </c>
      <c r="AT450" t="s">
        <v>9066</v>
      </c>
      <c r="AU450">
        <v>2021</v>
      </c>
      <c r="AV450">
        <v>118</v>
      </c>
      <c r="AW450">
        <v>40</v>
      </c>
      <c r="AX450" t="s">
        <v>74</v>
      </c>
      <c r="AY450" t="s">
        <v>74</v>
      </c>
      <c r="AZ450" t="s">
        <v>74</v>
      </c>
      <c r="BA450" t="s">
        <v>74</v>
      </c>
      <c r="BB450" t="s">
        <v>74</v>
      </c>
      <c r="BC450" t="s">
        <v>74</v>
      </c>
      <c r="BD450" t="s">
        <v>9119</v>
      </c>
      <c r="BE450" t="s">
        <v>9120</v>
      </c>
      <c r="BF450" t="str">
        <f>HYPERLINK("http://dx.doi.org/10.1073/pnas.2106147118","http://dx.doi.org/10.1073/pnas.2106147118")</f>
        <v>http://dx.doi.org/10.1073/pnas.2106147118</v>
      </c>
      <c r="BG450" t="s">
        <v>74</v>
      </c>
      <c r="BH450" t="s">
        <v>74</v>
      </c>
      <c r="BI450">
        <v>8</v>
      </c>
      <c r="BJ450" t="s">
        <v>126</v>
      </c>
      <c r="BK450" t="s">
        <v>101</v>
      </c>
      <c r="BL450" t="s">
        <v>127</v>
      </c>
      <c r="BM450" t="s">
        <v>9121</v>
      </c>
      <c r="BN450">
        <v>34544897</v>
      </c>
      <c r="BO450" t="s">
        <v>9122</v>
      </c>
      <c r="BP450" t="s">
        <v>74</v>
      </c>
      <c r="BQ450" t="s">
        <v>74</v>
      </c>
      <c r="BR450" t="s">
        <v>105</v>
      </c>
      <c r="BS450" t="s">
        <v>9123</v>
      </c>
      <c r="BT450" t="str">
        <f>HYPERLINK("https%3A%2F%2Fwww.webofscience.com%2Fwos%2Fwoscc%2Ffull-record%2FWOS:000705930300008","View Full Record in Web of Science")</f>
        <v>View Full Record in Web of Science</v>
      </c>
    </row>
    <row r="451" spans="1:72" x14ac:dyDescent="0.15">
      <c r="A451" t="s">
        <v>72</v>
      </c>
      <c r="B451" t="s">
        <v>9124</v>
      </c>
      <c r="C451" t="s">
        <v>74</v>
      </c>
      <c r="D451" t="s">
        <v>74</v>
      </c>
      <c r="E451" t="s">
        <v>74</v>
      </c>
      <c r="F451" t="s">
        <v>9125</v>
      </c>
      <c r="G451" t="s">
        <v>74</v>
      </c>
      <c r="H451" t="s">
        <v>74</v>
      </c>
      <c r="I451" t="s">
        <v>9126</v>
      </c>
      <c r="J451" t="s">
        <v>1279</v>
      </c>
      <c r="K451" t="s">
        <v>74</v>
      </c>
      <c r="L451" t="s">
        <v>74</v>
      </c>
      <c r="M451" t="s">
        <v>78</v>
      </c>
      <c r="N451" t="s">
        <v>79</v>
      </c>
      <c r="O451" t="s">
        <v>74</v>
      </c>
      <c r="P451" t="s">
        <v>74</v>
      </c>
      <c r="Q451" t="s">
        <v>74</v>
      </c>
      <c r="R451" t="s">
        <v>74</v>
      </c>
      <c r="S451" t="s">
        <v>74</v>
      </c>
      <c r="T451" t="s">
        <v>74</v>
      </c>
      <c r="U451" t="s">
        <v>9127</v>
      </c>
      <c r="V451" t="s">
        <v>9128</v>
      </c>
      <c r="W451" t="s">
        <v>9129</v>
      </c>
      <c r="X451" t="s">
        <v>9130</v>
      </c>
      <c r="Y451" t="s">
        <v>9131</v>
      </c>
      <c r="Z451" t="s">
        <v>9132</v>
      </c>
      <c r="AA451" t="s">
        <v>9133</v>
      </c>
      <c r="AB451" t="s">
        <v>9134</v>
      </c>
      <c r="AC451" t="s">
        <v>9135</v>
      </c>
      <c r="AD451" t="s">
        <v>9136</v>
      </c>
      <c r="AE451" t="s">
        <v>9137</v>
      </c>
      <c r="AF451" t="s">
        <v>74</v>
      </c>
      <c r="AG451">
        <v>66</v>
      </c>
      <c r="AH451">
        <v>6</v>
      </c>
      <c r="AI451">
        <v>6</v>
      </c>
      <c r="AJ451">
        <v>6</v>
      </c>
      <c r="AK451">
        <v>47</v>
      </c>
      <c r="AL451" t="s">
        <v>492</v>
      </c>
      <c r="AM451" t="s">
        <v>493</v>
      </c>
      <c r="AN451" t="s">
        <v>494</v>
      </c>
      <c r="AO451" t="s">
        <v>74</v>
      </c>
      <c r="AP451" t="s">
        <v>1291</v>
      </c>
      <c r="AQ451" t="s">
        <v>74</v>
      </c>
      <c r="AR451" t="s">
        <v>1292</v>
      </c>
      <c r="AS451" t="s">
        <v>1293</v>
      </c>
      <c r="AT451" t="s">
        <v>9066</v>
      </c>
      <c r="AU451">
        <v>2021</v>
      </c>
      <c r="AV451">
        <v>12</v>
      </c>
      <c r="AW451">
        <v>1</v>
      </c>
      <c r="AX451" t="s">
        <v>74</v>
      </c>
      <c r="AY451" t="s">
        <v>74</v>
      </c>
      <c r="AZ451" t="s">
        <v>74</v>
      </c>
      <c r="BA451" t="s">
        <v>74</v>
      </c>
      <c r="BB451" t="s">
        <v>74</v>
      </c>
      <c r="BC451" t="s">
        <v>74</v>
      </c>
      <c r="BD451">
        <v>5836</v>
      </c>
      <c r="BE451" t="s">
        <v>9138</v>
      </c>
      <c r="BF451" t="str">
        <f>HYPERLINK("http://dx.doi.org/10.1038/s41467-021-26109-x","http://dx.doi.org/10.1038/s41467-021-26109-x")</f>
        <v>http://dx.doi.org/10.1038/s41467-021-26109-x</v>
      </c>
      <c r="BG451" t="s">
        <v>74</v>
      </c>
      <c r="BH451" t="s">
        <v>74</v>
      </c>
      <c r="BI451">
        <v>9</v>
      </c>
      <c r="BJ451" t="s">
        <v>126</v>
      </c>
      <c r="BK451" t="s">
        <v>101</v>
      </c>
      <c r="BL451" t="s">
        <v>127</v>
      </c>
      <c r="BM451" t="s">
        <v>9139</v>
      </c>
      <c r="BN451">
        <v>34611165</v>
      </c>
      <c r="BO451" t="s">
        <v>1094</v>
      </c>
      <c r="BP451" t="s">
        <v>74</v>
      </c>
      <c r="BQ451" t="s">
        <v>74</v>
      </c>
      <c r="BR451" t="s">
        <v>105</v>
      </c>
      <c r="BS451" t="s">
        <v>9140</v>
      </c>
      <c r="BT451" t="str">
        <f>HYPERLINK("https%3A%2F%2Fwww.webofscience.com%2Fwos%2Fwoscc%2Ffull-record%2FWOS:000704007700009","View Full Record in Web of Science")</f>
        <v>View Full Record in Web of Science</v>
      </c>
    </row>
    <row r="452" spans="1:72" x14ac:dyDescent="0.15">
      <c r="A452" t="s">
        <v>72</v>
      </c>
      <c r="B452" t="s">
        <v>9141</v>
      </c>
      <c r="C452" t="s">
        <v>74</v>
      </c>
      <c r="D452" t="s">
        <v>74</v>
      </c>
      <c r="E452" t="s">
        <v>74</v>
      </c>
      <c r="F452" t="s">
        <v>9142</v>
      </c>
      <c r="G452" t="s">
        <v>74</v>
      </c>
      <c r="H452" t="s">
        <v>74</v>
      </c>
      <c r="I452" t="s">
        <v>9143</v>
      </c>
      <c r="J452" t="s">
        <v>935</v>
      </c>
      <c r="K452" t="s">
        <v>74</v>
      </c>
      <c r="L452" t="s">
        <v>74</v>
      </c>
      <c r="M452" t="s">
        <v>78</v>
      </c>
      <c r="N452" t="s">
        <v>79</v>
      </c>
      <c r="O452" t="s">
        <v>74</v>
      </c>
      <c r="P452" t="s">
        <v>74</v>
      </c>
      <c r="Q452" t="s">
        <v>74</v>
      </c>
      <c r="R452" t="s">
        <v>74</v>
      </c>
      <c r="S452" t="s">
        <v>74</v>
      </c>
      <c r="T452" t="s">
        <v>9144</v>
      </c>
      <c r="U452" t="s">
        <v>9145</v>
      </c>
      <c r="V452" t="s">
        <v>9146</v>
      </c>
      <c r="W452" t="s">
        <v>9147</v>
      </c>
      <c r="X452" t="s">
        <v>9148</v>
      </c>
      <c r="Y452" t="s">
        <v>9149</v>
      </c>
      <c r="Z452" t="s">
        <v>9150</v>
      </c>
      <c r="AA452" t="s">
        <v>9151</v>
      </c>
      <c r="AB452" t="s">
        <v>9152</v>
      </c>
      <c r="AC452" t="s">
        <v>9153</v>
      </c>
      <c r="AD452" t="s">
        <v>9154</v>
      </c>
      <c r="AE452" t="s">
        <v>9155</v>
      </c>
      <c r="AF452" t="s">
        <v>74</v>
      </c>
      <c r="AG452">
        <v>58</v>
      </c>
      <c r="AH452">
        <v>7</v>
      </c>
      <c r="AI452">
        <v>7</v>
      </c>
      <c r="AJ452">
        <v>0</v>
      </c>
      <c r="AK452">
        <v>14</v>
      </c>
      <c r="AL452" t="s">
        <v>169</v>
      </c>
      <c r="AM452" t="s">
        <v>170</v>
      </c>
      <c r="AN452" t="s">
        <v>171</v>
      </c>
      <c r="AO452" t="s">
        <v>948</v>
      </c>
      <c r="AP452" t="s">
        <v>949</v>
      </c>
      <c r="AQ452" t="s">
        <v>74</v>
      </c>
      <c r="AR452" t="s">
        <v>950</v>
      </c>
      <c r="AS452" t="s">
        <v>951</v>
      </c>
      <c r="AT452" t="s">
        <v>310</v>
      </c>
      <c r="AU452">
        <v>2021</v>
      </c>
      <c r="AV452">
        <v>44</v>
      </c>
      <c r="AW452">
        <v>11</v>
      </c>
      <c r="AX452" t="s">
        <v>74</v>
      </c>
      <c r="AY452" t="s">
        <v>74</v>
      </c>
      <c r="AZ452" t="s">
        <v>74</v>
      </c>
      <c r="BA452" t="s">
        <v>74</v>
      </c>
      <c r="BB452">
        <v>2117</v>
      </c>
      <c r="BC452">
        <v>2137</v>
      </c>
      <c r="BD452" t="s">
        <v>74</v>
      </c>
      <c r="BE452" t="s">
        <v>9156</v>
      </c>
      <c r="BF452" t="str">
        <f>HYPERLINK("http://dx.doi.org/10.1007/s00300-021-02939-9","http://dx.doi.org/10.1007/s00300-021-02939-9")</f>
        <v>http://dx.doi.org/10.1007/s00300-021-02939-9</v>
      </c>
      <c r="BG452" t="s">
        <v>74</v>
      </c>
      <c r="BH452" t="s">
        <v>5766</v>
      </c>
      <c r="BI452">
        <v>21</v>
      </c>
      <c r="BJ452" t="s">
        <v>605</v>
      </c>
      <c r="BK452" t="s">
        <v>101</v>
      </c>
      <c r="BL452" t="s">
        <v>606</v>
      </c>
      <c r="BM452" t="s">
        <v>8594</v>
      </c>
      <c r="BN452" t="s">
        <v>74</v>
      </c>
      <c r="BO452" t="s">
        <v>858</v>
      </c>
      <c r="BP452" t="s">
        <v>74</v>
      </c>
      <c r="BQ452" t="s">
        <v>74</v>
      </c>
      <c r="BR452" t="s">
        <v>105</v>
      </c>
      <c r="BS452" t="s">
        <v>9157</v>
      </c>
      <c r="BT452" t="str">
        <f>HYPERLINK("https%3A%2F%2Fwww.webofscience.com%2Fwos%2Fwoscc%2Ffull-record%2FWOS:000703808500001","View Full Record in Web of Science")</f>
        <v>View Full Record in Web of Science</v>
      </c>
    </row>
    <row r="453" spans="1:72" x14ac:dyDescent="0.15">
      <c r="A453" t="s">
        <v>72</v>
      </c>
      <c r="B453" t="s">
        <v>9158</v>
      </c>
      <c r="C453" t="s">
        <v>74</v>
      </c>
      <c r="D453" t="s">
        <v>74</v>
      </c>
      <c r="E453" t="s">
        <v>74</v>
      </c>
      <c r="F453" t="s">
        <v>9159</v>
      </c>
      <c r="G453" t="s">
        <v>74</v>
      </c>
      <c r="H453" t="s">
        <v>74</v>
      </c>
      <c r="I453" t="s">
        <v>9160</v>
      </c>
      <c r="J453" t="s">
        <v>911</v>
      </c>
      <c r="K453" t="s">
        <v>74</v>
      </c>
      <c r="L453" t="s">
        <v>74</v>
      </c>
      <c r="M453" t="s">
        <v>78</v>
      </c>
      <c r="N453" t="s">
        <v>79</v>
      </c>
      <c r="O453" t="s">
        <v>74</v>
      </c>
      <c r="P453" t="s">
        <v>74</v>
      </c>
      <c r="Q453" t="s">
        <v>74</v>
      </c>
      <c r="R453" t="s">
        <v>74</v>
      </c>
      <c r="S453" t="s">
        <v>74</v>
      </c>
      <c r="T453" t="s">
        <v>9161</v>
      </c>
      <c r="U453" t="s">
        <v>9162</v>
      </c>
      <c r="V453" t="s">
        <v>9163</v>
      </c>
      <c r="W453" t="s">
        <v>9164</v>
      </c>
      <c r="X453" t="s">
        <v>9165</v>
      </c>
      <c r="Y453" t="s">
        <v>9166</v>
      </c>
      <c r="Z453" t="s">
        <v>9167</v>
      </c>
      <c r="AA453" t="s">
        <v>9168</v>
      </c>
      <c r="AB453" t="s">
        <v>74</v>
      </c>
      <c r="AC453" t="s">
        <v>2822</v>
      </c>
      <c r="AD453" t="s">
        <v>2822</v>
      </c>
      <c r="AE453" t="s">
        <v>2823</v>
      </c>
      <c r="AF453" t="s">
        <v>74</v>
      </c>
      <c r="AG453">
        <v>67</v>
      </c>
      <c r="AH453">
        <v>2</v>
      </c>
      <c r="AI453">
        <v>2</v>
      </c>
      <c r="AJ453">
        <v>0</v>
      </c>
      <c r="AK453">
        <v>14</v>
      </c>
      <c r="AL453" t="s">
        <v>169</v>
      </c>
      <c r="AM453" t="s">
        <v>170</v>
      </c>
      <c r="AN453" t="s">
        <v>171</v>
      </c>
      <c r="AO453" t="s">
        <v>924</v>
      </c>
      <c r="AP453" t="s">
        <v>925</v>
      </c>
      <c r="AQ453" t="s">
        <v>74</v>
      </c>
      <c r="AR453" t="s">
        <v>926</v>
      </c>
      <c r="AS453" t="s">
        <v>927</v>
      </c>
      <c r="AT453" t="s">
        <v>338</v>
      </c>
      <c r="AU453">
        <v>2022</v>
      </c>
      <c r="AV453">
        <v>58</v>
      </c>
      <c r="AW453" t="s">
        <v>928</v>
      </c>
      <c r="AX453" t="s">
        <v>74</v>
      </c>
      <c r="AY453" t="s">
        <v>74</v>
      </c>
      <c r="AZ453" t="s">
        <v>74</v>
      </c>
      <c r="BA453" t="s">
        <v>74</v>
      </c>
      <c r="BB453">
        <v>1349</v>
      </c>
      <c r="BC453">
        <v>1361</v>
      </c>
      <c r="BD453" t="s">
        <v>74</v>
      </c>
      <c r="BE453" t="s">
        <v>9169</v>
      </c>
      <c r="BF453" t="str">
        <f>HYPERLINK("http://dx.doi.org/10.1007/s00382-021-05974-8","http://dx.doi.org/10.1007/s00382-021-05974-8")</f>
        <v>http://dx.doi.org/10.1007/s00382-021-05974-8</v>
      </c>
      <c r="BG453" t="s">
        <v>74</v>
      </c>
      <c r="BH453" t="s">
        <v>5766</v>
      </c>
      <c r="BI453">
        <v>13</v>
      </c>
      <c r="BJ453" t="s">
        <v>829</v>
      </c>
      <c r="BK453" t="s">
        <v>101</v>
      </c>
      <c r="BL453" t="s">
        <v>829</v>
      </c>
      <c r="BM453" t="s">
        <v>9170</v>
      </c>
      <c r="BN453" t="s">
        <v>74</v>
      </c>
      <c r="BO453" t="s">
        <v>180</v>
      </c>
      <c r="BP453" t="s">
        <v>74</v>
      </c>
      <c r="BQ453" t="s">
        <v>74</v>
      </c>
      <c r="BR453" t="s">
        <v>105</v>
      </c>
      <c r="BS453" t="s">
        <v>9171</v>
      </c>
      <c r="BT453" t="str">
        <f>HYPERLINK("https%3A%2F%2Fwww.webofscience.com%2Fwos%2Fwoscc%2Ffull-record%2FWOS:000703818700002","View Full Record in Web of Science")</f>
        <v>View Full Record in Web of Science</v>
      </c>
    </row>
    <row r="454" spans="1:72" x14ac:dyDescent="0.15">
      <c r="A454" t="s">
        <v>72</v>
      </c>
      <c r="B454" t="s">
        <v>9172</v>
      </c>
      <c r="C454" t="s">
        <v>74</v>
      </c>
      <c r="D454" t="s">
        <v>74</v>
      </c>
      <c r="E454" t="s">
        <v>74</v>
      </c>
      <c r="F454" t="s">
        <v>9173</v>
      </c>
      <c r="G454" t="s">
        <v>74</v>
      </c>
      <c r="H454" t="s">
        <v>74</v>
      </c>
      <c r="I454" t="s">
        <v>9174</v>
      </c>
      <c r="J454" t="s">
        <v>1058</v>
      </c>
      <c r="K454" t="s">
        <v>74</v>
      </c>
      <c r="L454" t="s">
        <v>74</v>
      </c>
      <c r="M454" t="s">
        <v>78</v>
      </c>
      <c r="N454" t="s">
        <v>79</v>
      </c>
      <c r="O454" t="s">
        <v>74</v>
      </c>
      <c r="P454" t="s">
        <v>74</v>
      </c>
      <c r="Q454" t="s">
        <v>74</v>
      </c>
      <c r="R454" t="s">
        <v>74</v>
      </c>
      <c r="S454" t="s">
        <v>74</v>
      </c>
      <c r="T454" t="s">
        <v>74</v>
      </c>
      <c r="U454" t="s">
        <v>9175</v>
      </c>
      <c r="V454" t="s">
        <v>9176</v>
      </c>
      <c r="W454" t="s">
        <v>9177</v>
      </c>
      <c r="X454" t="s">
        <v>9178</v>
      </c>
      <c r="Y454" t="s">
        <v>9179</v>
      </c>
      <c r="Z454" t="s">
        <v>9180</v>
      </c>
      <c r="AA454" t="s">
        <v>9181</v>
      </c>
      <c r="AB454" t="s">
        <v>9182</v>
      </c>
      <c r="AC454" t="s">
        <v>9183</v>
      </c>
      <c r="AD454" t="s">
        <v>4310</v>
      </c>
      <c r="AE454" t="s">
        <v>9184</v>
      </c>
      <c r="AF454" t="s">
        <v>74</v>
      </c>
      <c r="AG454">
        <v>89</v>
      </c>
      <c r="AH454">
        <v>14</v>
      </c>
      <c r="AI454">
        <v>14</v>
      </c>
      <c r="AJ454">
        <v>6</v>
      </c>
      <c r="AK454">
        <v>10</v>
      </c>
      <c r="AL454" t="s">
        <v>227</v>
      </c>
      <c r="AM454" t="s">
        <v>228</v>
      </c>
      <c r="AN454" t="s">
        <v>229</v>
      </c>
      <c r="AO454" t="s">
        <v>1065</v>
      </c>
      <c r="AP454" t="s">
        <v>1066</v>
      </c>
      <c r="AQ454" t="s">
        <v>74</v>
      </c>
      <c r="AR454" t="s">
        <v>1058</v>
      </c>
      <c r="AS454" t="s">
        <v>1067</v>
      </c>
      <c r="AT454" t="s">
        <v>9066</v>
      </c>
      <c r="AU454">
        <v>2021</v>
      </c>
      <c r="AV454">
        <v>15</v>
      </c>
      <c r="AW454">
        <v>10</v>
      </c>
      <c r="AX454" t="s">
        <v>74</v>
      </c>
      <c r="AY454" t="s">
        <v>74</v>
      </c>
      <c r="AZ454" t="s">
        <v>74</v>
      </c>
      <c r="BA454" t="s">
        <v>74</v>
      </c>
      <c r="BB454">
        <v>4655</v>
      </c>
      <c r="BC454">
        <v>4673</v>
      </c>
      <c r="BD454" t="s">
        <v>74</v>
      </c>
      <c r="BE454" t="s">
        <v>9185</v>
      </c>
      <c r="BF454" t="str">
        <f>HYPERLINK("http://dx.doi.org/10.5194/tc-15-4655-2021","http://dx.doi.org/10.5194/tc-15-4655-2021")</f>
        <v>http://dx.doi.org/10.5194/tc-15-4655-2021</v>
      </c>
      <c r="BG454" t="s">
        <v>74</v>
      </c>
      <c r="BH454" t="s">
        <v>74</v>
      </c>
      <c r="BI454">
        <v>19</v>
      </c>
      <c r="BJ454" t="s">
        <v>340</v>
      </c>
      <c r="BK454" t="s">
        <v>101</v>
      </c>
      <c r="BL454" t="s">
        <v>341</v>
      </c>
      <c r="BM454" t="s">
        <v>9186</v>
      </c>
      <c r="BN454" t="s">
        <v>74</v>
      </c>
      <c r="BO454" t="s">
        <v>554</v>
      </c>
      <c r="BP454" t="s">
        <v>74</v>
      </c>
      <c r="BQ454" t="s">
        <v>74</v>
      </c>
      <c r="BR454" t="s">
        <v>105</v>
      </c>
      <c r="BS454" t="s">
        <v>9187</v>
      </c>
      <c r="BT454" t="str">
        <f>HYPERLINK("https%3A%2F%2Fwww.webofscience.com%2Fwos%2Fwoscc%2Ffull-record%2FWOS:000703904600001","View Full Record in Web of Science")</f>
        <v>View Full Record in Web of Science</v>
      </c>
    </row>
    <row r="455" spans="1:72" x14ac:dyDescent="0.15">
      <c r="A455" t="s">
        <v>72</v>
      </c>
      <c r="B455" t="s">
        <v>9188</v>
      </c>
      <c r="C455" t="s">
        <v>74</v>
      </c>
      <c r="D455" t="s">
        <v>74</v>
      </c>
      <c r="E455" t="s">
        <v>74</v>
      </c>
      <c r="F455" t="s">
        <v>9189</v>
      </c>
      <c r="G455" t="s">
        <v>74</v>
      </c>
      <c r="H455" t="s">
        <v>74</v>
      </c>
      <c r="I455" t="s">
        <v>9190</v>
      </c>
      <c r="J455" t="s">
        <v>9191</v>
      </c>
      <c r="K455" t="s">
        <v>74</v>
      </c>
      <c r="L455" t="s">
        <v>74</v>
      </c>
      <c r="M455" t="s">
        <v>78</v>
      </c>
      <c r="N455" t="s">
        <v>79</v>
      </c>
      <c r="O455" t="s">
        <v>74</v>
      </c>
      <c r="P455" t="s">
        <v>74</v>
      </c>
      <c r="Q455" t="s">
        <v>74</v>
      </c>
      <c r="R455" t="s">
        <v>74</v>
      </c>
      <c r="S455" t="s">
        <v>74</v>
      </c>
      <c r="T455" t="s">
        <v>9192</v>
      </c>
      <c r="U455" t="s">
        <v>9193</v>
      </c>
      <c r="V455" t="s">
        <v>9194</v>
      </c>
      <c r="W455" t="s">
        <v>9195</v>
      </c>
      <c r="X455" t="s">
        <v>9196</v>
      </c>
      <c r="Y455" t="s">
        <v>9197</v>
      </c>
      <c r="Z455" t="s">
        <v>9198</v>
      </c>
      <c r="AA455" t="s">
        <v>74</v>
      </c>
      <c r="AB455" t="s">
        <v>9199</v>
      </c>
      <c r="AC455" t="s">
        <v>9200</v>
      </c>
      <c r="AD455" t="s">
        <v>9201</v>
      </c>
      <c r="AE455" t="s">
        <v>9202</v>
      </c>
      <c r="AF455" t="s">
        <v>74</v>
      </c>
      <c r="AG455">
        <v>41</v>
      </c>
      <c r="AH455">
        <v>4</v>
      </c>
      <c r="AI455">
        <v>4</v>
      </c>
      <c r="AJ455">
        <v>3</v>
      </c>
      <c r="AK455">
        <v>8</v>
      </c>
      <c r="AL455" t="s">
        <v>572</v>
      </c>
      <c r="AM455" t="s">
        <v>573</v>
      </c>
      <c r="AN455" t="s">
        <v>9203</v>
      </c>
      <c r="AO455" t="s">
        <v>74</v>
      </c>
      <c r="AP455" t="s">
        <v>9204</v>
      </c>
      <c r="AQ455" t="s">
        <v>74</v>
      </c>
      <c r="AR455" t="s">
        <v>9205</v>
      </c>
      <c r="AS455" t="s">
        <v>9206</v>
      </c>
      <c r="AT455" t="s">
        <v>1000</v>
      </c>
      <c r="AU455">
        <v>2022</v>
      </c>
      <c r="AV455">
        <v>8</v>
      </c>
      <c r="AW455">
        <v>2</v>
      </c>
      <c r="AX455" t="s">
        <v>74</v>
      </c>
      <c r="AY455" t="s">
        <v>74</v>
      </c>
      <c r="AZ455" t="s">
        <v>74</v>
      </c>
      <c r="BA455" t="s">
        <v>74</v>
      </c>
      <c r="BB455">
        <v>251</v>
      </c>
      <c r="BC455">
        <v>262</v>
      </c>
      <c r="BD455" t="s">
        <v>74</v>
      </c>
      <c r="BE455" t="s">
        <v>9207</v>
      </c>
      <c r="BF455" t="str">
        <f>HYPERLINK("http://dx.doi.org/10.1002/rse2.240","http://dx.doi.org/10.1002/rse2.240")</f>
        <v>http://dx.doi.org/10.1002/rse2.240</v>
      </c>
      <c r="BG455" t="s">
        <v>74</v>
      </c>
      <c r="BH455" t="s">
        <v>5766</v>
      </c>
      <c r="BI455">
        <v>12</v>
      </c>
      <c r="BJ455" t="s">
        <v>9208</v>
      </c>
      <c r="BK455" t="s">
        <v>101</v>
      </c>
      <c r="BL455" t="s">
        <v>9209</v>
      </c>
      <c r="BM455" t="s">
        <v>9210</v>
      </c>
      <c r="BN455" t="s">
        <v>74</v>
      </c>
      <c r="BO455" t="s">
        <v>210</v>
      </c>
      <c r="BP455" t="s">
        <v>74</v>
      </c>
      <c r="BQ455" t="s">
        <v>74</v>
      </c>
      <c r="BR455" t="s">
        <v>105</v>
      </c>
      <c r="BS455" t="s">
        <v>9211</v>
      </c>
      <c r="BT455" t="str">
        <f>HYPERLINK("https%3A%2F%2Fwww.webofscience.com%2Fwos%2Fwoscc%2Ffull-record%2FWOS:000703505500001","View Full Record in Web of Science")</f>
        <v>View Full Record in Web of Science</v>
      </c>
    </row>
    <row r="456" spans="1:72" x14ac:dyDescent="0.15">
      <c r="A456" t="s">
        <v>72</v>
      </c>
      <c r="B456" t="s">
        <v>9212</v>
      </c>
      <c r="C456" t="s">
        <v>74</v>
      </c>
      <c r="D456" t="s">
        <v>74</v>
      </c>
      <c r="E456" t="s">
        <v>74</v>
      </c>
      <c r="F456" t="s">
        <v>9213</v>
      </c>
      <c r="G456" t="s">
        <v>74</v>
      </c>
      <c r="H456" t="s">
        <v>74</v>
      </c>
      <c r="I456" t="s">
        <v>9214</v>
      </c>
      <c r="J456" t="s">
        <v>1338</v>
      </c>
      <c r="K456" t="s">
        <v>74</v>
      </c>
      <c r="L456" t="s">
        <v>74</v>
      </c>
      <c r="M456" t="s">
        <v>78</v>
      </c>
      <c r="N456" t="s">
        <v>79</v>
      </c>
      <c r="O456" t="s">
        <v>74</v>
      </c>
      <c r="P456" t="s">
        <v>74</v>
      </c>
      <c r="Q456" t="s">
        <v>74</v>
      </c>
      <c r="R456" t="s">
        <v>74</v>
      </c>
      <c r="S456" t="s">
        <v>74</v>
      </c>
      <c r="T456" t="s">
        <v>74</v>
      </c>
      <c r="U456" t="s">
        <v>9215</v>
      </c>
      <c r="V456" t="s">
        <v>9216</v>
      </c>
      <c r="W456" t="s">
        <v>9217</v>
      </c>
      <c r="X456" t="s">
        <v>9218</v>
      </c>
      <c r="Y456" t="s">
        <v>9219</v>
      </c>
      <c r="Z456" t="s">
        <v>9220</v>
      </c>
      <c r="AA456" t="s">
        <v>9221</v>
      </c>
      <c r="AB456" t="s">
        <v>9222</v>
      </c>
      <c r="AC456" t="s">
        <v>9223</v>
      </c>
      <c r="AD456" t="s">
        <v>9224</v>
      </c>
      <c r="AE456" t="s">
        <v>9225</v>
      </c>
      <c r="AF456" t="s">
        <v>74</v>
      </c>
      <c r="AG456">
        <v>68</v>
      </c>
      <c r="AH456">
        <v>4</v>
      </c>
      <c r="AI456">
        <v>4</v>
      </c>
      <c r="AJ456">
        <v>6</v>
      </c>
      <c r="AK456">
        <v>17</v>
      </c>
      <c r="AL456" t="s">
        <v>1347</v>
      </c>
      <c r="AM456" t="s">
        <v>333</v>
      </c>
      <c r="AN456" t="s">
        <v>1348</v>
      </c>
      <c r="AO456" t="s">
        <v>74</v>
      </c>
      <c r="AP456" t="s">
        <v>1349</v>
      </c>
      <c r="AQ456" t="s">
        <v>74</v>
      </c>
      <c r="AR456" t="s">
        <v>1350</v>
      </c>
      <c r="AS456" t="s">
        <v>1351</v>
      </c>
      <c r="AT456" t="s">
        <v>9066</v>
      </c>
      <c r="AU456">
        <v>2021</v>
      </c>
      <c r="AV456">
        <v>2</v>
      </c>
      <c r="AW456">
        <v>1</v>
      </c>
      <c r="AX456" t="s">
        <v>74</v>
      </c>
      <c r="AY456" t="s">
        <v>74</v>
      </c>
      <c r="AZ456" t="s">
        <v>74</v>
      </c>
      <c r="BA456" t="s">
        <v>74</v>
      </c>
      <c r="BB456" t="s">
        <v>74</v>
      </c>
      <c r="BC456" t="s">
        <v>74</v>
      </c>
      <c r="BD456">
        <v>211</v>
      </c>
      <c r="BE456" t="s">
        <v>9226</v>
      </c>
      <c r="BF456" t="str">
        <f>HYPERLINK("http://dx.doi.org/10.1038/s43247-021-00280-x","http://dx.doi.org/10.1038/s43247-021-00280-x")</f>
        <v>http://dx.doi.org/10.1038/s43247-021-00280-x</v>
      </c>
      <c r="BG456" t="s">
        <v>74</v>
      </c>
      <c r="BH456" t="s">
        <v>74</v>
      </c>
      <c r="BI456">
        <v>12</v>
      </c>
      <c r="BJ456" t="s">
        <v>1353</v>
      </c>
      <c r="BK456" t="s">
        <v>101</v>
      </c>
      <c r="BL456" t="s">
        <v>1354</v>
      </c>
      <c r="BM456" t="s">
        <v>9227</v>
      </c>
      <c r="BN456" t="s">
        <v>74</v>
      </c>
      <c r="BO456" t="s">
        <v>210</v>
      </c>
      <c r="BP456" t="s">
        <v>74</v>
      </c>
      <c r="BQ456" t="s">
        <v>74</v>
      </c>
      <c r="BR456" t="s">
        <v>105</v>
      </c>
      <c r="BS456" t="s">
        <v>9228</v>
      </c>
      <c r="BT456" t="str">
        <f>HYPERLINK("https%3A%2F%2Fwww.webofscience.com%2Fwos%2Fwoscc%2Ffull-record%2FWOS:000703885100001","View Full Record in Web of Science")</f>
        <v>View Full Record in Web of Science</v>
      </c>
    </row>
    <row r="457" spans="1:72" x14ac:dyDescent="0.15">
      <c r="A457" t="s">
        <v>72</v>
      </c>
      <c r="B457" t="s">
        <v>9229</v>
      </c>
      <c r="C457" t="s">
        <v>74</v>
      </c>
      <c r="D457" t="s">
        <v>74</v>
      </c>
      <c r="E457" t="s">
        <v>74</v>
      </c>
      <c r="F457" t="s">
        <v>9230</v>
      </c>
      <c r="G457" t="s">
        <v>74</v>
      </c>
      <c r="H457" t="s">
        <v>74</v>
      </c>
      <c r="I457" t="s">
        <v>9231</v>
      </c>
      <c r="J457" t="s">
        <v>9232</v>
      </c>
      <c r="K457" t="s">
        <v>74</v>
      </c>
      <c r="L457" t="s">
        <v>74</v>
      </c>
      <c r="M457" t="s">
        <v>78</v>
      </c>
      <c r="N457" t="s">
        <v>79</v>
      </c>
      <c r="O457" t="s">
        <v>74</v>
      </c>
      <c r="P457" t="s">
        <v>74</v>
      </c>
      <c r="Q457" t="s">
        <v>74</v>
      </c>
      <c r="R457" t="s">
        <v>74</v>
      </c>
      <c r="S457" t="s">
        <v>74</v>
      </c>
      <c r="T457" t="s">
        <v>9233</v>
      </c>
      <c r="U457" t="s">
        <v>9234</v>
      </c>
      <c r="V457" t="s">
        <v>9235</v>
      </c>
      <c r="W457" t="s">
        <v>9236</v>
      </c>
      <c r="X457" t="s">
        <v>9237</v>
      </c>
      <c r="Y457" t="s">
        <v>9238</v>
      </c>
      <c r="Z457" t="s">
        <v>9239</v>
      </c>
      <c r="AA457" t="s">
        <v>74</v>
      </c>
      <c r="AB457" t="s">
        <v>9240</v>
      </c>
      <c r="AC457" t="s">
        <v>9241</v>
      </c>
      <c r="AD457" t="s">
        <v>9242</v>
      </c>
      <c r="AE457" t="s">
        <v>9243</v>
      </c>
      <c r="AF457" t="s">
        <v>74</v>
      </c>
      <c r="AG457">
        <v>107</v>
      </c>
      <c r="AH457">
        <v>14</v>
      </c>
      <c r="AI457">
        <v>15</v>
      </c>
      <c r="AJ457">
        <v>1</v>
      </c>
      <c r="AK457">
        <v>12</v>
      </c>
      <c r="AL457" t="s">
        <v>169</v>
      </c>
      <c r="AM457" t="s">
        <v>520</v>
      </c>
      <c r="AN457" t="s">
        <v>521</v>
      </c>
      <c r="AO457" t="s">
        <v>9244</v>
      </c>
      <c r="AP457" t="s">
        <v>9245</v>
      </c>
      <c r="AQ457" t="s">
        <v>74</v>
      </c>
      <c r="AR457" t="s">
        <v>9246</v>
      </c>
      <c r="AS457" t="s">
        <v>9247</v>
      </c>
      <c r="AT457" t="s">
        <v>338</v>
      </c>
      <c r="AU457">
        <v>2022</v>
      </c>
      <c r="AV457">
        <v>151</v>
      </c>
      <c r="AW457">
        <v>3</v>
      </c>
      <c r="AX457" t="s">
        <v>74</v>
      </c>
      <c r="AY457" t="s">
        <v>74</v>
      </c>
      <c r="AZ457" t="s">
        <v>74</v>
      </c>
      <c r="BA457" t="s">
        <v>74</v>
      </c>
      <c r="BB457">
        <v>235</v>
      </c>
      <c r="BC457">
        <v>250</v>
      </c>
      <c r="BD457" t="s">
        <v>74</v>
      </c>
      <c r="BE457" t="s">
        <v>9248</v>
      </c>
      <c r="BF457" t="str">
        <f>HYPERLINK("http://dx.doi.org/10.1007/s11120-021-00877-5","http://dx.doi.org/10.1007/s11120-021-00877-5")</f>
        <v>http://dx.doi.org/10.1007/s11120-021-00877-5</v>
      </c>
      <c r="BG457" t="s">
        <v>74</v>
      </c>
      <c r="BH457" t="s">
        <v>5766</v>
      </c>
      <c r="BI457">
        <v>16</v>
      </c>
      <c r="BJ457" t="s">
        <v>4148</v>
      </c>
      <c r="BK457" t="s">
        <v>101</v>
      </c>
      <c r="BL457" t="s">
        <v>4148</v>
      </c>
      <c r="BM457" t="s">
        <v>9249</v>
      </c>
      <c r="BN457">
        <v>34609708</v>
      </c>
      <c r="BO457" t="s">
        <v>74</v>
      </c>
      <c r="BP457" t="s">
        <v>74</v>
      </c>
      <c r="BQ457" t="s">
        <v>74</v>
      </c>
      <c r="BR457" t="s">
        <v>105</v>
      </c>
      <c r="BS457" t="s">
        <v>9250</v>
      </c>
      <c r="BT457" t="str">
        <f>HYPERLINK("https%3A%2F%2Fwww.webofscience.com%2Fwos%2Fwoscc%2Ffull-record%2FWOS:000703952800001","View Full Record in Web of Science")</f>
        <v>View Full Record in Web of Science</v>
      </c>
    </row>
    <row r="458" spans="1:72" x14ac:dyDescent="0.15">
      <c r="A458" t="s">
        <v>72</v>
      </c>
      <c r="B458" t="s">
        <v>9251</v>
      </c>
      <c r="C458" t="s">
        <v>74</v>
      </c>
      <c r="D458" t="s">
        <v>74</v>
      </c>
      <c r="E458" t="s">
        <v>74</v>
      </c>
      <c r="F458" t="s">
        <v>9252</v>
      </c>
      <c r="G458" t="s">
        <v>74</v>
      </c>
      <c r="H458" t="s">
        <v>74</v>
      </c>
      <c r="I458" t="s">
        <v>9253</v>
      </c>
      <c r="J458" t="s">
        <v>9254</v>
      </c>
      <c r="K458" t="s">
        <v>74</v>
      </c>
      <c r="L458" t="s">
        <v>74</v>
      </c>
      <c r="M458" t="s">
        <v>78</v>
      </c>
      <c r="N458" t="s">
        <v>79</v>
      </c>
      <c r="O458" t="s">
        <v>74</v>
      </c>
      <c r="P458" t="s">
        <v>74</v>
      </c>
      <c r="Q458" t="s">
        <v>74</v>
      </c>
      <c r="R458" t="s">
        <v>74</v>
      </c>
      <c r="S458" t="s">
        <v>74</v>
      </c>
      <c r="T458" t="s">
        <v>9255</v>
      </c>
      <c r="U458" t="s">
        <v>9256</v>
      </c>
      <c r="V458" t="s">
        <v>9257</v>
      </c>
      <c r="W458" t="s">
        <v>9258</v>
      </c>
      <c r="X458" t="s">
        <v>9259</v>
      </c>
      <c r="Y458" t="s">
        <v>9260</v>
      </c>
      <c r="Z458" t="s">
        <v>9261</v>
      </c>
      <c r="AA458" t="s">
        <v>9262</v>
      </c>
      <c r="AB458" t="s">
        <v>74</v>
      </c>
      <c r="AC458" t="s">
        <v>967</v>
      </c>
      <c r="AD458" t="s">
        <v>968</v>
      </c>
      <c r="AE458" t="s">
        <v>9263</v>
      </c>
      <c r="AF458" t="s">
        <v>74</v>
      </c>
      <c r="AG458">
        <v>45</v>
      </c>
      <c r="AH458">
        <v>2</v>
      </c>
      <c r="AI458">
        <v>2</v>
      </c>
      <c r="AJ458">
        <v>0</v>
      </c>
      <c r="AK458">
        <v>4</v>
      </c>
      <c r="AL458" t="s">
        <v>9264</v>
      </c>
      <c r="AM458" t="s">
        <v>9265</v>
      </c>
      <c r="AN458" t="s">
        <v>9266</v>
      </c>
      <c r="AO458" t="s">
        <v>9267</v>
      </c>
      <c r="AP458" t="s">
        <v>9268</v>
      </c>
      <c r="AQ458" t="s">
        <v>74</v>
      </c>
      <c r="AR458" t="s">
        <v>9254</v>
      </c>
      <c r="AS458" t="s">
        <v>9269</v>
      </c>
      <c r="AT458" t="s">
        <v>9270</v>
      </c>
      <c r="AU458">
        <v>2021</v>
      </c>
      <c r="AV458" t="s">
        <v>74</v>
      </c>
      <c r="AW458">
        <v>1061</v>
      </c>
      <c r="AX458" t="s">
        <v>74</v>
      </c>
      <c r="AY458" t="s">
        <v>74</v>
      </c>
      <c r="AZ458" t="s">
        <v>74</v>
      </c>
      <c r="BA458" t="s">
        <v>74</v>
      </c>
      <c r="BB458">
        <v>109</v>
      </c>
      <c r="BC458">
        <v>130</v>
      </c>
      <c r="BD458" t="s">
        <v>74</v>
      </c>
      <c r="BE458" t="s">
        <v>9271</v>
      </c>
      <c r="BF458" t="str">
        <f>HYPERLINK("http://dx.doi.org/10.3897/zookeys.1061.71212","http://dx.doi.org/10.3897/zookeys.1061.71212")</f>
        <v>http://dx.doi.org/10.3897/zookeys.1061.71212</v>
      </c>
      <c r="BG458" t="s">
        <v>74</v>
      </c>
      <c r="BH458" t="s">
        <v>74</v>
      </c>
      <c r="BI458">
        <v>22</v>
      </c>
      <c r="BJ458" t="s">
        <v>1612</v>
      </c>
      <c r="BK458" t="s">
        <v>101</v>
      </c>
      <c r="BL458" t="s">
        <v>1612</v>
      </c>
      <c r="BM458" t="s">
        <v>9272</v>
      </c>
      <c r="BN458">
        <v>34707455</v>
      </c>
      <c r="BO458" t="s">
        <v>394</v>
      </c>
      <c r="BP458" t="s">
        <v>74</v>
      </c>
      <c r="BQ458" t="s">
        <v>74</v>
      </c>
      <c r="BR458" t="s">
        <v>105</v>
      </c>
      <c r="BS458" t="s">
        <v>9273</v>
      </c>
      <c r="BT458" t="str">
        <f>HYPERLINK("https%3A%2F%2Fwww.webofscience.com%2Fwos%2Fwoscc%2Ffull-record%2FWOS:000787713100002","View Full Record in Web of Science")</f>
        <v>View Full Record in Web of Science</v>
      </c>
    </row>
    <row r="459" spans="1:72" x14ac:dyDescent="0.15">
      <c r="A459" t="s">
        <v>72</v>
      </c>
      <c r="B459" t="s">
        <v>9274</v>
      </c>
      <c r="C459" t="s">
        <v>74</v>
      </c>
      <c r="D459" t="s">
        <v>74</v>
      </c>
      <c r="E459" t="s">
        <v>74</v>
      </c>
      <c r="F459" t="s">
        <v>9275</v>
      </c>
      <c r="G459" t="s">
        <v>74</v>
      </c>
      <c r="H459" t="s">
        <v>74</v>
      </c>
      <c r="I459" t="s">
        <v>9276</v>
      </c>
      <c r="J459" t="s">
        <v>9277</v>
      </c>
      <c r="K459" t="s">
        <v>74</v>
      </c>
      <c r="L459" t="s">
        <v>74</v>
      </c>
      <c r="M459" t="s">
        <v>78</v>
      </c>
      <c r="N459" t="s">
        <v>79</v>
      </c>
      <c r="O459" t="s">
        <v>74</v>
      </c>
      <c r="P459" t="s">
        <v>74</v>
      </c>
      <c r="Q459" t="s">
        <v>74</v>
      </c>
      <c r="R459" t="s">
        <v>74</v>
      </c>
      <c r="S459" t="s">
        <v>74</v>
      </c>
      <c r="T459" t="s">
        <v>9278</v>
      </c>
      <c r="U459" t="s">
        <v>9279</v>
      </c>
      <c r="V459" t="s">
        <v>9280</v>
      </c>
      <c r="W459" t="s">
        <v>9281</v>
      </c>
      <c r="X459" t="s">
        <v>9282</v>
      </c>
      <c r="Y459" t="s">
        <v>9283</v>
      </c>
      <c r="Z459" t="s">
        <v>9284</v>
      </c>
      <c r="AA459" t="s">
        <v>9285</v>
      </c>
      <c r="AB459" t="s">
        <v>9286</v>
      </c>
      <c r="AC459" t="s">
        <v>9287</v>
      </c>
      <c r="AD459" t="s">
        <v>9288</v>
      </c>
      <c r="AE459" t="s">
        <v>9289</v>
      </c>
      <c r="AF459" t="s">
        <v>74</v>
      </c>
      <c r="AG459">
        <v>79</v>
      </c>
      <c r="AH459">
        <v>15</v>
      </c>
      <c r="AI459">
        <v>17</v>
      </c>
      <c r="AJ459">
        <v>0</v>
      </c>
      <c r="AK459">
        <v>3</v>
      </c>
      <c r="AL459" t="s">
        <v>383</v>
      </c>
      <c r="AM459" t="s">
        <v>384</v>
      </c>
      <c r="AN459" t="s">
        <v>385</v>
      </c>
      <c r="AO459" t="s">
        <v>9290</v>
      </c>
      <c r="AP459" t="s">
        <v>74</v>
      </c>
      <c r="AQ459" t="s">
        <v>74</v>
      </c>
      <c r="AR459" t="s">
        <v>9291</v>
      </c>
      <c r="AS459" t="s">
        <v>9292</v>
      </c>
      <c r="AT459" t="s">
        <v>9270</v>
      </c>
      <c r="AU459">
        <v>2021</v>
      </c>
      <c r="AV459">
        <v>8</v>
      </c>
      <c r="AW459" t="s">
        <v>74</v>
      </c>
      <c r="AX459" t="s">
        <v>74</v>
      </c>
      <c r="AY459" t="s">
        <v>74</v>
      </c>
      <c r="AZ459" t="s">
        <v>74</v>
      </c>
      <c r="BA459" t="s">
        <v>74</v>
      </c>
      <c r="BB459" t="s">
        <v>74</v>
      </c>
      <c r="BC459" t="s">
        <v>74</v>
      </c>
      <c r="BD459">
        <v>745927</v>
      </c>
      <c r="BE459" t="s">
        <v>9293</v>
      </c>
      <c r="BF459" t="str">
        <f>HYPERLINK("http://dx.doi.org/10.3389/fspas.2021.745927","http://dx.doi.org/10.3389/fspas.2021.745927")</f>
        <v>http://dx.doi.org/10.3389/fspas.2021.745927</v>
      </c>
      <c r="BG459" t="s">
        <v>74</v>
      </c>
      <c r="BH459" t="s">
        <v>74</v>
      </c>
      <c r="BI459">
        <v>15</v>
      </c>
      <c r="BJ459" t="s">
        <v>1721</v>
      </c>
      <c r="BK459" t="s">
        <v>101</v>
      </c>
      <c r="BL459" t="s">
        <v>1721</v>
      </c>
      <c r="BM459" t="s">
        <v>9294</v>
      </c>
      <c r="BN459" t="s">
        <v>74</v>
      </c>
      <c r="BO459" t="s">
        <v>1117</v>
      </c>
      <c r="BP459" t="s">
        <v>74</v>
      </c>
      <c r="BQ459" t="s">
        <v>74</v>
      </c>
      <c r="BR459" t="s">
        <v>105</v>
      </c>
      <c r="BS459" t="s">
        <v>9295</v>
      </c>
      <c r="BT459" t="str">
        <f>HYPERLINK("https%3A%2F%2Fwww.webofscience.com%2Fwos%2Fwoscc%2Ffull-record%2FWOS:000717162700001","View Full Record in Web of Science")</f>
        <v>View Full Record in Web of Science</v>
      </c>
    </row>
    <row r="460" spans="1:72" x14ac:dyDescent="0.15">
      <c r="A460" t="s">
        <v>72</v>
      </c>
      <c r="B460" t="s">
        <v>9296</v>
      </c>
      <c r="C460" t="s">
        <v>74</v>
      </c>
      <c r="D460" t="s">
        <v>74</v>
      </c>
      <c r="E460" t="s">
        <v>74</v>
      </c>
      <c r="F460" t="s">
        <v>9297</v>
      </c>
      <c r="G460" t="s">
        <v>74</v>
      </c>
      <c r="H460" t="s">
        <v>9298</v>
      </c>
      <c r="I460" t="s">
        <v>9299</v>
      </c>
      <c r="J460" t="s">
        <v>9300</v>
      </c>
      <c r="K460" t="s">
        <v>74</v>
      </c>
      <c r="L460" t="s">
        <v>74</v>
      </c>
      <c r="M460" t="s">
        <v>78</v>
      </c>
      <c r="N460" t="s">
        <v>79</v>
      </c>
      <c r="O460" t="s">
        <v>74</v>
      </c>
      <c r="P460" t="s">
        <v>74</v>
      </c>
      <c r="Q460" t="s">
        <v>74</v>
      </c>
      <c r="R460" t="s">
        <v>74</v>
      </c>
      <c r="S460" t="s">
        <v>74</v>
      </c>
      <c r="T460" t="s">
        <v>74</v>
      </c>
      <c r="U460" t="s">
        <v>9301</v>
      </c>
      <c r="V460" t="s">
        <v>9302</v>
      </c>
      <c r="W460" t="s">
        <v>9303</v>
      </c>
      <c r="X460" t="s">
        <v>9304</v>
      </c>
      <c r="Y460" t="s">
        <v>9305</v>
      </c>
      <c r="Z460" t="s">
        <v>9306</v>
      </c>
      <c r="AA460" t="s">
        <v>9307</v>
      </c>
      <c r="AB460" t="s">
        <v>9308</v>
      </c>
      <c r="AC460" t="s">
        <v>9309</v>
      </c>
      <c r="AD460" t="s">
        <v>9310</v>
      </c>
      <c r="AE460" t="s">
        <v>9311</v>
      </c>
      <c r="AF460" t="s">
        <v>74</v>
      </c>
      <c r="AG460">
        <v>62</v>
      </c>
      <c r="AH460">
        <v>397</v>
      </c>
      <c r="AI460">
        <v>411</v>
      </c>
      <c r="AJ460">
        <v>2</v>
      </c>
      <c r="AK460">
        <v>19</v>
      </c>
      <c r="AL460" t="s">
        <v>464</v>
      </c>
      <c r="AM460" t="s">
        <v>465</v>
      </c>
      <c r="AN460" t="s">
        <v>466</v>
      </c>
      <c r="AO460" t="s">
        <v>9312</v>
      </c>
      <c r="AP460" t="s">
        <v>9313</v>
      </c>
      <c r="AQ460" t="s">
        <v>74</v>
      </c>
      <c r="AR460" t="s">
        <v>9314</v>
      </c>
      <c r="AS460" t="s">
        <v>9315</v>
      </c>
      <c r="AT460" t="s">
        <v>9270</v>
      </c>
      <c r="AU460">
        <v>2021</v>
      </c>
      <c r="AV460">
        <v>127</v>
      </c>
      <c r="AW460">
        <v>15</v>
      </c>
      <c r="AX460" t="s">
        <v>74</v>
      </c>
      <c r="AY460" t="s">
        <v>74</v>
      </c>
      <c r="AZ460" t="s">
        <v>74</v>
      </c>
      <c r="BA460" t="s">
        <v>74</v>
      </c>
      <c r="BB460" t="s">
        <v>74</v>
      </c>
      <c r="BC460" t="s">
        <v>74</v>
      </c>
      <c r="BD460">
        <v>151301</v>
      </c>
      <c r="BE460" t="s">
        <v>9316</v>
      </c>
      <c r="BF460" t="str">
        <f>HYPERLINK("http://dx.doi.org/10.1103/PhysRevLett.127.151301","http://dx.doi.org/10.1103/PhysRevLett.127.151301")</f>
        <v>http://dx.doi.org/10.1103/PhysRevLett.127.151301</v>
      </c>
      <c r="BG460" t="s">
        <v>74</v>
      </c>
      <c r="BH460" t="s">
        <v>74</v>
      </c>
      <c r="BI460">
        <v>10</v>
      </c>
      <c r="BJ460" t="s">
        <v>4431</v>
      </c>
      <c r="BK460" t="s">
        <v>101</v>
      </c>
      <c r="BL460" t="s">
        <v>3777</v>
      </c>
      <c r="BM460" t="s">
        <v>9317</v>
      </c>
      <c r="BN460">
        <v>34678017</v>
      </c>
      <c r="BO460" t="s">
        <v>8343</v>
      </c>
      <c r="BP460" t="s">
        <v>9318</v>
      </c>
      <c r="BQ460" t="s">
        <v>9319</v>
      </c>
      <c r="BR460" t="s">
        <v>105</v>
      </c>
      <c r="BS460" t="s">
        <v>9320</v>
      </c>
      <c r="BT460" t="str">
        <f>HYPERLINK("https%3A%2F%2Fwww.webofscience.com%2Fwos%2Fwoscc%2Ffull-record%2FWOS:000704694900001","View Full Record in Web of Science")</f>
        <v>View Full Record in Web of Science</v>
      </c>
    </row>
    <row r="461" spans="1:72" x14ac:dyDescent="0.15">
      <c r="A461" t="s">
        <v>72</v>
      </c>
      <c r="B461" t="s">
        <v>9321</v>
      </c>
      <c r="C461" t="s">
        <v>74</v>
      </c>
      <c r="D461" t="s">
        <v>74</v>
      </c>
      <c r="E461" t="s">
        <v>74</v>
      </c>
      <c r="F461" t="s">
        <v>9322</v>
      </c>
      <c r="G461" t="s">
        <v>74</v>
      </c>
      <c r="H461" t="s">
        <v>74</v>
      </c>
      <c r="I461" t="s">
        <v>9323</v>
      </c>
      <c r="J461" t="s">
        <v>2533</v>
      </c>
      <c r="K461" t="s">
        <v>74</v>
      </c>
      <c r="L461" t="s">
        <v>74</v>
      </c>
      <c r="M461" t="s">
        <v>78</v>
      </c>
      <c r="N461" t="s">
        <v>79</v>
      </c>
      <c r="O461" t="s">
        <v>74</v>
      </c>
      <c r="P461" t="s">
        <v>74</v>
      </c>
      <c r="Q461" t="s">
        <v>74</v>
      </c>
      <c r="R461" t="s">
        <v>74</v>
      </c>
      <c r="S461" t="s">
        <v>74</v>
      </c>
      <c r="T461" t="s">
        <v>74</v>
      </c>
      <c r="U461" t="s">
        <v>9324</v>
      </c>
      <c r="V461" t="s">
        <v>9325</v>
      </c>
      <c r="W461" t="s">
        <v>9326</v>
      </c>
      <c r="X461" t="s">
        <v>9327</v>
      </c>
      <c r="Y461" t="s">
        <v>9328</v>
      </c>
      <c r="Z461" t="s">
        <v>9329</v>
      </c>
      <c r="AA461" t="s">
        <v>9330</v>
      </c>
      <c r="AB461" t="s">
        <v>9331</v>
      </c>
      <c r="AC461" t="s">
        <v>9332</v>
      </c>
      <c r="AD461" t="s">
        <v>9333</v>
      </c>
      <c r="AE461" t="s">
        <v>9334</v>
      </c>
      <c r="AF461" t="s">
        <v>74</v>
      </c>
      <c r="AG461">
        <v>120</v>
      </c>
      <c r="AH461">
        <v>11</v>
      </c>
      <c r="AI461">
        <v>11</v>
      </c>
      <c r="AJ461">
        <v>1</v>
      </c>
      <c r="AK461">
        <v>7</v>
      </c>
      <c r="AL461" t="s">
        <v>572</v>
      </c>
      <c r="AM461" t="s">
        <v>573</v>
      </c>
      <c r="AN461" t="s">
        <v>574</v>
      </c>
      <c r="AO461" t="s">
        <v>2544</v>
      </c>
      <c r="AP461" t="s">
        <v>2545</v>
      </c>
      <c r="AQ461" t="s">
        <v>74</v>
      </c>
      <c r="AR461" t="s">
        <v>2546</v>
      </c>
      <c r="AS461" t="s">
        <v>2547</v>
      </c>
      <c r="AT461" t="s">
        <v>525</v>
      </c>
      <c r="AU461">
        <v>2022</v>
      </c>
      <c r="AV461">
        <v>57</v>
      </c>
      <c r="AW461">
        <v>2</v>
      </c>
      <c r="AX461" t="s">
        <v>74</v>
      </c>
      <c r="AY461" t="s">
        <v>74</v>
      </c>
      <c r="AZ461" t="s">
        <v>74</v>
      </c>
      <c r="BA461" t="s">
        <v>74</v>
      </c>
      <c r="BB461">
        <v>484</v>
      </c>
      <c r="BC461">
        <v>526</v>
      </c>
      <c r="BD461" t="s">
        <v>74</v>
      </c>
      <c r="BE461" t="s">
        <v>9335</v>
      </c>
      <c r="BF461" t="str">
        <f>HYPERLINK("http://dx.doi.org/10.1111/maps.13730","http://dx.doi.org/10.1111/maps.13730")</f>
        <v>http://dx.doi.org/10.1111/maps.13730</v>
      </c>
      <c r="BG461" t="s">
        <v>74</v>
      </c>
      <c r="BH461" t="s">
        <v>5766</v>
      </c>
      <c r="BI461">
        <v>43</v>
      </c>
      <c r="BJ461" t="s">
        <v>365</v>
      </c>
      <c r="BK461" t="s">
        <v>101</v>
      </c>
      <c r="BL461" t="s">
        <v>365</v>
      </c>
      <c r="BM461" t="s">
        <v>9336</v>
      </c>
      <c r="BN461" t="s">
        <v>74</v>
      </c>
      <c r="BO461" t="s">
        <v>6875</v>
      </c>
      <c r="BP461" t="s">
        <v>74</v>
      </c>
      <c r="BQ461" t="s">
        <v>74</v>
      </c>
      <c r="BR461" t="s">
        <v>105</v>
      </c>
      <c r="BS461" t="s">
        <v>9337</v>
      </c>
      <c r="BT461" t="str">
        <f>HYPERLINK("https%3A%2F%2Fwww.webofscience.com%2Fwos%2Fwoscc%2Ffull-record%2FWOS:000703092300001","View Full Record in Web of Science")</f>
        <v>View Full Record in Web of Science</v>
      </c>
    </row>
    <row r="462" spans="1:72" x14ac:dyDescent="0.15">
      <c r="A462" t="s">
        <v>72</v>
      </c>
      <c r="B462" t="s">
        <v>9338</v>
      </c>
      <c r="C462" t="s">
        <v>74</v>
      </c>
      <c r="D462" t="s">
        <v>74</v>
      </c>
      <c r="E462" t="s">
        <v>74</v>
      </c>
      <c r="F462" t="s">
        <v>9339</v>
      </c>
      <c r="G462" t="s">
        <v>74</v>
      </c>
      <c r="H462" t="s">
        <v>74</v>
      </c>
      <c r="I462" t="s">
        <v>9340</v>
      </c>
      <c r="J462" t="s">
        <v>935</v>
      </c>
      <c r="K462" t="s">
        <v>74</v>
      </c>
      <c r="L462" t="s">
        <v>74</v>
      </c>
      <c r="M462" t="s">
        <v>78</v>
      </c>
      <c r="N462" t="s">
        <v>79</v>
      </c>
      <c r="O462" t="s">
        <v>74</v>
      </c>
      <c r="P462" t="s">
        <v>74</v>
      </c>
      <c r="Q462" t="s">
        <v>74</v>
      </c>
      <c r="R462" t="s">
        <v>74</v>
      </c>
      <c r="S462" t="s">
        <v>74</v>
      </c>
      <c r="T462" t="s">
        <v>9341</v>
      </c>
      <c r="U462" t="s">
        <v>9342</v>
      </c>
      <c r="V462" t="s">
        <v>9343</v>
      </c>
      <c r="W462" t="s">
        <v>9344</v>
      </c>
      <c r="X462" t="s">
        <v>9345</v>
      </c>
      <c r="Y462" t="s">
        <v>9346</v>
      </c>
      <c r="Z462" t="s">
        <v>9347</v>
      </c>
      <c r="AA462" t="s">
        <v>9348</v>
      </c>
      <c r="AB462" t="s">
        <v>9349</v>
      </c>
      <c r="AC462" t="s">
        <v>9350</v>
      </c>
      <c r="AD462" t="s">
        <v>9351</v>
      </c>
      <c r="AE462" t="s">
        <v>9352</v>
      </c>
      <c r="AF462" t="s">
        <v>74</v>
      </c>
      <c r="AG462">
        <v>26</v>
      </c>
      <c r="AH462">
        <v>2</v>
      </c>
      <c r="AI462">
        <v>3</v>
      </c>
      <c r="AJ462">
        <v>1</v>
      </c>
      <c r="AK462">
        <v>9</v>
      </c>
      <c r="AL462" t="s">
        <v>169</v>
      </c>
      <c r="AM462" t="s">
        <v>170</v>
      </c>
      <c r="AN462" t="s">
        <v>171</v>
      </c>
      <c r="AO462" t="s">
        <v>948</v>
      </c>
      <c r="AP462" t="s">
        <v>949</v>
      </c>
      <c r="AQ462" t="s">
        <v>74</v>
      </c>
      <c r="AR462" t="s">
        <v>950</v>
      </c>
      <c r="AS462" t="s">
        <v>951</v>
      </c>
      <c r="AT462" t="s">
        <v>310</v>
      </c>
      <c r="AU462">
        <v>2021</v>
      </c>
      <c r="AV462">
        <v>44</v>
      </c>
      <c r="AW462">
        <v>11</v>
      </c>
      <c r="AX462" t="s">
        <v>74</v>
      </c>
      <c r="AY462" t="s">
        <v>74</v>
      </c>
      <c r="AZ462" t="s">
        <v>74</v>
      </c>
      <c r="BA462" t="s">
        <v>74</v>
      </c>
      <c r="BB462">
        <v>2195</v>
      </c>
      <c r="BC462">
        <v>2198</v>
      </c>
      <c r="BD462" t="s">
        <v>74</v>
      </c>
      <c r="BE462" t="s">
        <v>9353</v>
      </c>
      <c r="BF462" t="str">
        <f>HYPERLINK("http://dx.doi.org/10.1007/s00300-021-02950-0","http://dx.doi.org/10.1007/s00300-021-02950-0")</f>
        <v>http://dx.doi.org/10.1007/s00300-021-02950-0</v>
      </c>
      <c r="BG462" t="s">
        <v>74</v>
      </c>
      <c r="BH462" t="s">
        <v>5766</v>
      </c>
      <c r="BI462">
        <v>4</v>
      </c>
      <c r="BJ462" t="s">
        <v>605</v>
      </c>
      <c r="BK462" t="s">
        <v>101</v>
      </c>
      <c r="BL462" t="s">
        <v>606</v>
      </c>
      <c r="BM462" t="s">
        <v>8594</v>
      </c>
      <c r="BN462" t="s">
        <v>74</v>
      </c>
      <c r="BO462" t="s">
        <v>74</v>
      </c>
      <c r="BP462" t="s">
        <v>74</v>
      </c>
      <c r="BQ462" t="s">
        <v>74</v>
      </c>
      <c r="BR462" t="s">
        <v>105</v>
      </c>
      <c r="BS462" t="s">
        <v>9354</v>
      </c>
      <c r="BT462" t="str">
        <f>HYPERLINK("https%3A%2F%2Fwww.webofscience.com%2Fwos%2Fwoscc%2Ffull-record%2FWOS:000703368500001","View Full Record in Web of Science")</f>
        <v>View Full Record in Web of Science</v>
      </c>
    </row>
    <row r="463" spans="1:72" x14ac:dyDescent="0.15">
      <c r="A463" t="s">
        <v>72</v>
      </c>
      <c r="B463" t="s">
        <v>9355</v>
      </c>
      <c r="C463" t="s">
        <v>74</v>
      </c>
      <c r="D463" t="s">
        <v>74</v>
      </c>
      <c r="E463" t="s">
        <v>74</v>
      </c>
      <c r="F463" t="s">
        <v>9356</v>
      </c>
      <c r="G463" t="s">
        <v>74</v>
      </c>
      <c r="H463" t="s">
        <v>74</v>
      </c>
      <c r="I463" t="s">
        <v>9357</v>
      </c>
      <c r="J463" t="s">
        <v>1009</v>
      </c>
      <c r="K463" t="s">
        <v>74</v>
      </c>
      <c r="L463" t="s">
        <v>74</v>
      </c>
      <c r="M463" t="s">
        <v>78</v>
      </c>
      <c r="N463" t="s">
        <v>79</v>
      </c>
      <c r="O463" t="s">
        <v>74</v>
      </c>
      <c r="P463" t="s">
        <v>74</v>
      </c>
      <c r="Q463" t="s">
        <v>74</v>
      </c>
      <c r="R463" t="s">
        <v>74</v>
      </c>
      <c r="S463" t="s">
        <v>74</v>
      </c>
      <c r="T463" t="s">
        <v>9358</v>
      </c>
      <c r="U463" t="s">
        <v>9359</v>
      </c>
      <c r="V463" t="s">
        <v>9360</v>
      </c>
      <c r="W463" t="s">
        <v>9361</v>
      </c>
      <c r="X463" t="s">
        <v>9362</v>
      </c>
      <c r="Y463" t="s">
        <v>9363</v>
      </c>
      <c r="Z463" t="s">
        <v>9364</v>
      </c>
      <c r="AA463" t="s">
        <v>9365</v>
      </c>
      <c r="AB463" t="s">
        <v>9366</v>
      </c>
      <c r="AC463" t="s">
        <v>9367</v>
      </c>
      <c r="AD463" t="s">
        <v>9368</v>
      </c>
      <c r="AE463" t="s">
        <v>9369</v>
      </c>
      <c r="AF463" t="s">
        <v>74</v>
      </c>
      <c r="AG463">
        <v>93</v>
      </c>
      <c r="AH463">
        <v>10</v>
      </c>
      <c r="AI463">
        <v>11</v>
      </c>
      <c r="AJ463">
        <v>4</v>
      </c>
      <c r="AK463">
        <v>20</v>
      </c>
      <c r="AL463" t="s">
        <v>383</v>
      </c>
      <c r="AM463" t="s">
        <v>384</v>
      </c>
      <c r="AN463" t="s">
        <v>385</v>
      </c>
      <c r="AO463" t="s">
        <v>1021</v>
      </c>
      <c r="AP463" t="s">
        <v>74</v>
      </c>
      <c r="AQ463" t="s">
        <v>74</v>
      </c>
      <c r="AR463" t="s">
        <v>1022</v>
      </c>
      <c r="AS463" t="s">
        <v>1023</v>
      </c>
      <c r="AT463" t="s">
        <v>9270</v>
      </c>
      <c r="AU463">
        <v>2021</v>
      </c>
      <c r="AV463">
        <v>9</v>
      </c>
      <c r="AW463" t="s">
        <v>74</v>
      </c>
      <c r="AX463" t="s">
        <v>74</v>
      </c>
      <c r="AY463" t="s">
        <v>74</v>
      </c>
      <c r="AZ463" t="s">
        <v>74</v>
      </c>
      <c r="BA463" t="s">
        <v>74</v>
      </c>
      <c r="BB463" t="s">
        <v>74</v>
      </c>
      <c r="BC463" t="s">
        <v>74</v>
      </c>
      <c r="BD463">
        <v>673227</v>
      </c>
      <c r="BE463" t="s">
        <v>9370</v>
      </c>
      <c r="BF463" t="str">
        <f>HYPERLINK("http://dx.doi.org/10.3389/fevo.2021.673227","http://dx.doi.org/10.3389/fevo.2021.673227")</f>
        <v>http://dx.doi.org/10.3389/fevo.2021.673227</v>
      </c>
      <c r="BG463" t="s">
        <v>74</v>
      </c>
      <c r="BH463" t="s">
        <v>74</v>
      </c>
      <c r="BI463">
        <v>15</v>
      </c>
      <c r="BJ463" t="s">
        <v>629</v>
      </c>
      <c r="BK463" t="s">
        <v>207</v>
      </c>
      <c r="BL463" t="s">
        <v>630</v>
      </c>
      <c r="BM463" t="s">
        <v>9371</v>
      </c>
      <c r="BN463" t="s">
        <v>74</v>
      </c>
      <c r="BO463" t="s">
        <v>394</v>
      </c>
      <c r="BP463" t="s">
        <v>74</v>
      </c>
      <c r="BQ463" t="s">
        <v>74</v>
      </c>
      <c r="BR463" t="s">
        <v>105</v>
      </c>
      <c r="BS463" t="s">
        <v>9372</v>
      </c>
      <c r="BT463" t="str">
        <f>HYPERLINK("https%3A%2F%2Fwww.webofscience.com%2Fwos%2Fwoscc%2Ffull-record%2FWOS:000717193100001","View Full Record in Web of Science")</f>
        <v>View Full Record in Web of Science</v>
      </c>
    </row>
    <row r="464" spans="1:72" x14ac:dyDescent="0.15">
      <c r="A464" t="s">
        <v>72</v>
      </c>
      <c r="B464" t="s">
        <v>9373</v>
      </c>
      <c r="C464" t="s">
        <v>74</v>
      </c>
      <c r="D464" t="s">
        <v>74</v>
      </c>
      <c r="E464" t="s">
        <v>74</v>
      </c>
      <c r="F464" t="s">
        <v>9374</v>
      </c>
      <c r="G464" t="s">
        <v>74</v>
      </c>
      <c r="H464" t="s">
        <v>74</v>
      </c>
      <c r="I464" t="s">
        <v>9375</v>
      </c>
      <c r="J464" t="s">
        <v>9376</v>
      </c>
      <c r="K464" t="s">
        <v>74</v>
      </c>
      <c r="L464" t="s">
        <v>74</v>
      </c>
      <c r="M464" t="s">
        <v>78</v>
      </c>
      <c r="N464" t="s">
        <v>79</v>
      </c>
      <c r="O464" t="s">
        <v>74</v>
      </c>
      <c r="P464" t="s">
        <v>74</v>
      </c>
      <c r="Q464" t="s">
        <v>74</v>
      </c>
      <c r="R464" t="s">
        <v>74</v>
      </c>
      <c r="S464" t="s">
        <v>74</v>
      </c>
      <c r="T464" t="s">
        <v>9377</v>
      </c>
      <c r="U464" t="s">
        <v>9378</v>
      </c>
      <c r="V464" t="s">
        <v>9379</v>
      </c>
      <c r="W464" t="s">
        <v>9380</v>
      </c>
      <c r="X464" t="s">
        <v>9381</v>
      </c>
      <c r="Y464" t="s">
        <v>9382</v>
      </c>
      <c r="Z464" t="s">
        <v>9383</v>
      </c>
      <c r="AA464" t="s">
        <v>9384</v>
      </c>
      <c r="AB464" t="s">
        <v>9385</v>
      </c>
      <c r="AC464" t="s">
        <v>74</v>
      </c>
      <c r="AD464" t="s">
        <v>74</v>
      </c>
      <c r="AE464" t="s">
        <v>74</v>
      </c>
      <c r="AF464" t="s">
        <v>74</v>
      </c>
      <c r="AG464">
        <v>92</v>
      </c>
      <c r="AH464">
        <v>5</v>
      </c>
      <c r="AI464">
        <v>5</v>
      </c>
      <c r="AJ464">
        <v>4</v>
      </c>
      <c r="AK464">
        <v>12</v>
      </c>
      <c r="AL464" t="s">
        <v>118</v>
      </c>
      <c r="AM464" t="s">
        <v>119</v>
      </c>
      <c r="AN464" t="s">
        <v>120</v>
      </c>
      <c r="AO464" t="s">
        <v>9386</v>
      </c>
      <c r="AP464" t="s">
        <v>9387</v>
      </c>
      <c r="AQ464" t="s">
        <v>74</v>
      </c>
      <c r="AR464" t="s">
        <v>9388</v>
      </c>
      <c r="AS464" t="s">
        <v>9389</v>
      </c>
      <c r="AT464" t="s">
        <v>525</v>
      </c>
      <c r="AU464">
        <v>2022</v>
      </c>
      <c r="AV464">
        <v>29</v>
      </c>
      <c r="AW464">
        <v>10</v>
      </c>
      <c r="AX464" t="s">
        <v>74</v>
      </c>
      <c r="AY464" t="s">
        <v>74</v>
      </c>
      <c r="AZ464" t="s">
        <v>74</v>
      </c>
      <c r="BA464" t="s">
        <v>74</v>
      </c>
      <c r="BB464">
        <v>14206</v>
      </c>
      <c r="BC464">
        <v>14218</v>
      </c>
      <c r="BD464" t="s">
        <v>74</v>
      </c>
      <c r="BE464" t="s">
        <v>9390</v>
      </c>
      <c r="BF464" t="str">
        <f>HYPERLINK("http://dx.doi.org/10.1007/s11356-021-16778-y","http://dx.doi.org/10.1007/s11356-021-16778-y")</f>
        <v>http://dx.doi.org/10.1007/s11356-021-16778-y</v>
      </c>
      <c r="BG464" t="s">
        <v>74</v>
      </c>
      <c r="BH464" t="s">
        <v>5766</v>
      </c>
      <c r="BI464">
        <v>13</v>
      </c>
      <c r="BJ464" t="s">
        <v>856</v>
      </c>
      <c r="BK464" t="s">
        <v>101</v>
      </c>
      <c r="BL464" t="s">
        <v>630</v>
      </c>
      <c r="BM464" t="s">
        <v>9391</v>
      </c>
      <c r="BN464">
        <v>34601693</v>
      </c>
      <c r="BO464" t="s">
        <v>74</v>
      </c>
      <c r="BP464" t="s">
        <v>74</v>
      </c>
      <c r="BQ464" t="s">
        <v>74</v>
      </c>
      <c r="BR464" t="s">
        <v>105</v>
      </c>
      <c r="BS464" t="s">
        <v>9392</v>
      </c>
      <c r="BT464" t="str">
        <f>HYPERLINK("https%3A%2F%2Fwww.webofscience.com%2Fwos%2Fwoscc%2Ffull-record%2FWOS:000702813600005","View Full Record in Web of Science")</f>
        <v>View Full Record in Web of Science</v>
      </c>
    </row>
    <row r="465" spans="1:72" x14ac:dyDescent="0.15">
      <c r="A465" t="s">
        <v>72</v>
      </c>
      <c r="B465" t="s">
        <v>9393</v>
      </c>
      <c r="C465" t="s">
        <v>74</v>
      </c>
      <c r="D465" t="s">
        <v>74</v>
      </c>
      <c r="E465" t="s">
        <v>74</v>
      </c>
      <c r="F465" t="s">
        <v>9394</v>
      </c>
      <c r="G465" t="s">
        <v>74</v>
      </c>
      <c r="H465" t="s">
        <v>74</v>
      </c>
      <c r="I465" t="s">
        <v>9395</v>
      </c>
      <c r="J465" t="s">
        <v>9396</v>
      </c>
      <c r="K465" t="s">
        <v>74</v>
      </c>
      <c r="L465" t="s">
        <v>74</v>
      </c>
      <c r="M465" t="s">
        <v>78</v>
      </c>
      <c r="N465" t="s">
        <v>1764</v>
      </c>
      <c r="O465" t="s">
        <v>74</v>
      </c>
      <c r="P465" t="s">
        <v>74</v>
      </c>
      <c r="Q465" t="s">
        <v>74</v>
      </c>
      <c r="R465" t="s">
        <v>74</v>
      </c>
      <c r="S465" t="s">
        <v>74</v>
      </c>
      <c r="T465" t="s">
        <v>74</v>
      </c>
      <c r="U465" t="s">
        <v>74</v>
      </c>
      <c r="V465" t="s">
        <v>74</v>
      </c>
      <c r="W465" t="s">
        <v>9397</v>
      </c>
      <c r="X465" t="s">
        <v>9398</v>
      </c>
      <c r="Y465" t="s">
        <v>9399</v>
      </c>
      <c r="Z465" t="s">
        <v>9400</v>
      </c>
      <c r="AA465" t="s">
        <v>9401</v>
      </c>
      <c r="AB465" t="s">
        <v>74</v>
      </c>
      <c r="AC465" t="s">
        <v>74</v>
      </c>
      <c r="AD465" t="s">
        <v>74</v>
      </c>
      <c r="AE465" t="s">
        <v>74</v>
      </c>
      <c r="AF465" t="s">
        <v>74</v>
      </c>
      <c r="AG465">
        <v>0</v>
      </c>
      <c r="AH465">
        <v>0</v>
      </c>
      <c r="AI465">
        <v>0</v>
      </c>
      <c r="AJ465">
        <v>0</v>
      </c>
      <c r="AK465">
        <v>0</v>
      </c>
      <c r="AL465" t="s">
        <v>9402</v>
      </c>
      <c r="AM465" t="s">
        <v>9403</v>
      </c>
      <c r="AN465" t="s">
        <v>9404</v>
      </c>
      <c r="AO465" t="s">
        <v>9405</v>
      </c>
      <c r="AP465" t="s">
        <v>9406</v>
      </c>
      <c r="AQ465" t="s">
        <v>74</v>
      </c>
      <c r="AR465" t="s">
        <v>9407</v>
      </c>
      <c r="AS465" t="s">
        <v>9408</v>
      </c>
      <c r="AT465" t="s">
        <v>8321</v>
      </c>
      <c r="AU465">
        <v>2021</v>
      </c>
      <c r="AV465">
        <v>121</v>
      </c>
      <c r="AW465">
        <v>4</v>
      </c>
      <c r="AX465" t="s">
        <v>74</v>
      </c>
      <c r="AY465" t="s">
        <v>74</v>
      </c>
      <c r="AZ465" t="s">
        <v>74</v>
      </c>
      <c r="BA465" t="s">
        <v>74</v>
      </c>
      <c r="BB465">
        <v>372</v>
      </c>
      <c r="BC465">
        <v>375</v>
      </c>
      <c r="BD465" t="s">
        <v>74</v>
      </c>
      <c r="BE465" t="s">
        <v>9409</v>
      </c>
      <c r="BF465" t="str">
        <f>HYPERLINK("http://dx.doi.org/10.1080/01584197.2021.1993530","http://dx.doi.org/10.1080/01584197.2021.1993530")</f>
        <v>http://dx.doi.org/10.1080/01584197.2021.1993530</v>
      </c>
      <c r="BG465" t="s">
        <v>74</v>
      </c>
      <c r="BH465" t="s">
        <v>74</v>
      </c>
      <c r="BI465">
        <v>4</v>
      </c>
      <c r="BJ465" t="s">
        <v>9410</v>
      </c>
      <c r="BK465" t="s">
        <v>101</v>
      </c>
      <c r="BL465" t="s">
        <v>1612</v>
      </c>
      <c r="BM465" t="s">
        <v>9411</v>
      </c>
      <c r="BN465" t="s">
        <v>74</v>
      </c>
      <c r="BO465" t="s">
        <v>74</v>
      </c>
      <c r="BP465" t="s">
        <v>74</v>
      </c>
      <c r="BQ465" t="s">
        <v>74</v>
      </c>
      <c r="BR465" t="s">
        <v>105</v>
      </c>
      <c r="BS465" t="s">
        <v>9412</v>
      </c>
      <c r="BT465" t="str">
        <f>HYPERLINK("https%3A%2F%2Fwww.webofscience.com%2Fwos%2Fwoscc%2Ffull-record%2FWOS:000730828500014","View Full Record in Web of Science")</f>
        <v>View Full Record in Web of Science</v>
      </c>
    </row>
    <row r="466" spans="1:72" x14ac:dyDescent="0.15">
      <c r="A466" t="s">
        <v>72</v>
      </c>
      <c r="B466" t="s">
        <v>9413</v>
      </c>
      <c r="C466" t="s">
        <v>74</v>
      </c>
      <c r="D466" t="s">
        <v>74</v>
      </c>
      <c r="E466" t="s">
        <v>74</v>
      </c>
      <c r="F466" t="s">
        <v>9414</v>
      </c>
      <c r="G466" t="s">
        <v>74</v>
      </c>
      <c r="H466" t="s">
        <v>74</v>
      </c>
      <c r="I466" t="s">
        <v>9415</v>
      </c>
      <c r="J466" t="s">
        <v>9416</v>
      </c>
      <c r="K466" t="s">
        <v>74</v>
      </c>
      <c r="L466" t="s">
        <v>74</v>
      </c>
      <c r="M466" t="s">
        <v>78</v>
      </c>
      <c r="N466" t="s">
        <v>79</v>
      </c>
      <c r="O466" t="s">
        <v>74</v>
      </c>
      <c r="P466" t="s">
        <v>74</v>
      </c>
      <c r="Q466" t="s">
        <v>74</v>
      </c>
      <c r="R466" t="s">
        <v>74</v>
      </c>
      <c r="S466" t="s">
        <v>74</v>
      </c>
      <c r="T466" t="s">
        <v>9417</v>
      </c>
      <c r="U466" t="s">
        <v>9418</v>
      </c>
      <c r="V466" t="s">
        <v>9419</v>
      </c>
      <c r="W466" t="s">
        <v>9420</v>
      </c>
      <c r="X466" t="s">
        <v>9421</v>
      </c>
      <c r="Y466" t="s">
        <v>9422</v>
      </c>
      <c r="Z466" t="s">
        <v>9423</v>
      </c>
      <c r="AA466" t="s">
        <v>9424</v>
      </c>
      <c r="AB466" t="s">
        <v>9425</v>
      </c>
      <c r="AC466" t="s">
        <v>9426</v>
      </c>
      <c r="AD466" t="s">
        <v>9427</v>
      </c>
      <c r="AE466" t="s">
        <v>9428</v>
      </c>
      <c r="AF466" t="s">
        <v>74</v>
      </c>
      <c r="AG466">
        <v>33</v>
      </c>
      <c r="AH466">
        <v>1</v>
      </c>
      <c r="AI466">
        <v>1</v>
      </c>
      <c r="AJ466">
        <v>1</v>
      </c>
      <c r="AK466">
        <v>7</v>
      </c>
      <c r="AL466" t="s">
        <v>169</v>
      </c>
      <c r="AM466" t="s">
        <v>520</v>
      </c>
      <c r="AN466" t="s">
        <v>521</v>
      </c>
      <c r="AO466" t="s">
        <v>9429</v>
      </c>
      <c r="AP466" t="s">
        <v>9430</v>
      </c>
      <c r="AQ466" t="s">
        <v>74</v>
      </c>
      <c r="AR466" t="s">
        <v>9431</v>
      </c>
      <c r="AS466" t="s">
        <v>9432</v>
      </c>
      <c r="AT466" t="s">
        <v>310</v>
      </c>
      <c r="AU466">
        <v>2021</v>
      </c>
      <c r="AV466">
        <v>26</v>
      </c>
      <c r="AW466">
        <v>6</v>
      </c>
      <c r="AX466" t="s">
        <v>74</v>
      </c>
      <c r="AY466" t="s">
        <v>74</v>
      </c>
      <c r="AZ466" t="s">
        <v>74</v>
      </c>
      <c r="BA466" t="s">
        <v>74</v>
      </c>
      <c r="BB466">
        <v>945</v>
      </c>
      <c r="BC466">
        <v>954</v>
      </c>
      <c r="BD466" t="s">
        <v>74</v>
      </c>
      <c r="BE466" t="s">
        <v>9433</v>
      </c>
      <c r="BF466" t="str">
        <f>HYPERLINK("http://dx.doi.org/10.1007/s12192-021-01235-z","http://dx.doi.org/10.1007/s12192-021-01235-z")</f>
        <v>http://dx.doi.org/10.1007/s12192-021-01235-z</v>
      </c>
      <c r="BG466" t="s">
        <v>74</v>
      </c>
      <c r="BH466" t="s">
        <v>5766</v>
      </c>
      <c r="BI466">
        <v>10</v>
      </c>
      <c r="BJ466" t="s">
        <v>9434</v>
      </c>
      <c r="BK466" t="s">
        <v>101</v>
      </c>
      <c r="BL466" t="s">
        <v>9434</v>
      </c>
      <c r="BM466" t="s">
        <v>9435</v>
      </c>
      <c r="BN466">
        <v>34601709</v>
      </c>
      <c r="BO466" t="s">
        <v>9436</v>
      </c>
      <c r="BP466" t="s">
        <v>74</v>
      </c>
      <c r="BQ466" t="s">
        <v>74</v>
      </c>
      <c r="BR466" t="s">
        <v>105</v>
      </c>
      <c r="BS466" t="s">
        <v>9437</v>
      </c>
      <c r="BT466" t="str">
        <f>HYPERLINK("https%3A%2F%2Fwww.webofscience.com%2Fwos%2Fwoscc%2Ffull-record%2FWOS:000702788200001","View Full Record in Web of Science")</f>
        <v>View Full Record in Web of Science</v>
      </c>
    </row>
    <row r="467" spans="1:72" x14ac:dyDescent="0.15">
      <c r="A467" t="s">
        <v>72</v>
      </c>
      <c r="B467" t="s">
        <v>9438</v>
      </c>
      <c r="C467" t="s">
        <v>74</v>
      </c>
      <c r="D467" t="s">
        <v>74</v>
      </c>
      <c r="E467" t="s">
        <v>74</v>
      </c>
      <c r="F467" t="s">
        <v>9439</v>
      </c>
      <c r="G467" t="s">
        <v>74</v>
      </c>
      <c r="H467" t="s">
        <v>74</v>
      </c>
      <c r="I467" t="s">
        <v>9440</v>
      </c>
      <c r="J467" t="s">
        <v>1377</v>
      </c>
      <c r="K467" t="s">
        <v>74</v>
      </c>
      <c r="L467" t="s">
        <v>74</v>
      </c>
      <c r="M467" t="s">
        <v>78</v>
      </c>
      <c r="N467" t="s">
        <v>79</v>
      </c>
      <c r="O467" t="s">
        <v>74</v>
      </c>
      <c r="P467" t="s">
        <v>74</v>
      </c>
      <c r="Q467" t="s">
        <v>74</v>
      </c>
      <c r="R467" t="s">
        <v>74</v>
      </c>
      <c r="S467" t="s">
        <v>74</v>
      </c>
      <c r="T467" t="s">
        <v>9441</v>
      </c>
      <c r="U467" t="s">
        <v>9442</v>
      </c>
      <c r="V467" t="s">
        <v>9443</v>
      </c>
      <c r="W467" t="s">
        <v>9444</v>
      </c>
      <c r="X467" t="s">
        <v>9445</v>
      </c>
      <c r="Y467" t="s">
        <v>9446</v>
      </c>
      <c r="Z467" t="s">
        <v>9447</v>
      </c>
      <c r="AA467" t="s">
        <v>9448</v>
      </c>
      <c r="AB467" t="s">
        <v>9449</v>
      </c>
      <c r="AC467" t="s">
        <v>9450</v>
      </c>
      <c r="AD467" t="s">
        <v>9451</v>
      </c>
      <c r="AE467" t="s">
        <v>9452</v>
      </c>
      <c r="AF467" t="s">
        <v>74</v>
      </c>
      <c r="AG467">
        <v>118</v>
      </c>
      <c r="AH467">
        <v>12</v>
      </c>
      <c r="AI467">
        <v>12</v>
      </c>
      <c r="AJ467">
        <v>2</v>
      </c>
      <c r="AK467">
        <v>12</v>
      </c>
      <c r="AL467" t="s">
        <v>255</v>
      </c>
      <c r="AM467" t="s">
        <v>256</v>
      </c>
      <c r="AN467" t="s">
        <v>257</v>
      </c>
      <c r="AO467" t="s">
        <v>1390</v>
      </c>
      <c r="AP467" t="s">
        <v>1391</v>
      </c>
      <c r="AQ467" t="s">
        <v>74</v>
      </c>
      <c r="AR467" t="s">
        <v>1392</v>
      </c>
      <c r="AS467" t="s">
        <v>1393</v>
      </c>
      <c r="AT467" t="s">
        <v>4170</v>
      </c>
      <c r="AU467">
        <v>2021</v>
      </c>
      <c r="AV467">
        <v>271</v>
      </c>
      <c r="AW467" t="s">
        <v>74</v>
      </c>
      <c r="AX467" t="s">
        <v>74</v>
      </c>
      <c r="AY467" t="s">
        <v>74</v>
      </c>
      <c r="AZ467" t="s">
        <v>74</v>
      </c>
      <c r="BA467" t="s">
        <v>74</v>
      </c>
      <c r="BB467" t="s">
        <v>74</v>
      </c>
      <c r="BC467" t="s">
        <v>74</v>
      </c>
      <c r="BD467">
        <v>107195</v>
      </c>
      <c r="BE467" t="s">
        <v>9453</v>
      </c>
      <c r="BF467" t="str">
        <f>HYPERLINK("http://dx.doi.org/10.1016/j.quascirev.2021.107195","http://dx.doi.org/10.1016/j.quascirev.2021.107195")</f>
        <v>http://dx.doi.org/10.1016/j.quascirev.2021.107195</v>
      </c>
      <c r="BG467" t="s">
        <v>74</v>
      </c>
      <c r="BH467" t="s">
        <v>5766</v>
      </c>
      <c r="BI467">
        <v>16</v>
      </c>
      <c r="BJ467" t="s">
        <v>340</v>
      </c>
      <c r="BK467" t="s">
        <v>101</v>
      </c>
      <c r="BL467" t="s">
        <v>341</v>
      </c>
      <c r="BM467" t="s">
        <v>9454</v>
      </c>
      <c r="BN467" t="s">
        <v>74</v>
      </c>
      <c r="BO467" t="s">
        <v>676</v>
      </c>
      <c r="BP467" t="s">
        <v>74</v>
      </c>
      <c r="BQ467" t="s">
        <v>74</v>
      </c>
      <c r="BR467" t="s">
        <v>105</v>
      </c>
      <c r="BS467" t="s">
        <v>9455</v>
      </c>
      <c r="BT467" t="str">
        <f>HYPERLINK("https%3A%2F%2Fwww.webofscience.com%2Fwos%2Fwoscc%2Ffull-record%2FWOS:000703097800007","View Full Record in Web of Science")</f>
        <v>View Full Record in Web of Science</v>
      </c>
    </row>
    <row r="468" spans="1:72" x14ac:dyDescent="0.15">
      <c r="A468" t="s">
        <v>72</v>
      </c>
      <c r="B468" t="s">
        <v>9456</v>
      </c>
      <c r="C468" t="s">
        <v>74</v>
      </c>
      <c r="D468" t="s">
        <v>74</v>
      </c>
      <c r="E468" t="s">
        <v>74</v>
      </c>
      <c r="F468" t="s">
        <v>9457</v>
      </c>
      <c r="G468" t="s">
        <v>74</v>
      </c>
      <c r="H468" t="s">
        <v>74</v>
      </c>
      <c r="I468" t="s">
        <v>9458</v>
      </c>
      <c r="J468" t="s">
        <v>2719</v>
      </c>
      <c r="K468" t="s">
        <v>74</v>
      </c>
      <c r="L468" t="s">
        <v>74</v>
      </c>
      <c r="M468" t="s">
        <v>78</v>
      </c>
      <c r="N468" t="s">
        <v>79</v>
      </c>
      <c r="O468" t="s">
        <v>74</v>
      </c>
      <c r="P468" t="s">
        <v>74</v>
      </c>
      <c r="Q468" t="s">
        <v>74</v>
      </c>
      <c r="R468" t="s">
        <v>74</v>
      </c>
      <c r="S468" t="s">
        <v>74</v>
      </c>
      <c r="T468" t="s">
        <v>9459</v>
      </c>
      <c r="U468" t="s">
        <v>9460</v>
      </c>
      <c r="V468" t="s">
        <v>9461</v>
      </c>
      <c r="W468" t="s">
        <v>9462</v>
      </c>
      <c r="X468" t="s">
        <v>9463</v>
      </c>
      <c r="Y468" t="s">
        <v>9464</v>
      </c>
      <c r="Z468" t="s">
        <v>9465</v>
      </c>
      <c r="AA468" t="s">
        <v>9466</v>
      </c>
      <c r="AB468" t="s">
        <v>9467</v>
      </c>
      <c r="AC468" t="s">
        <v>9468</v>
      </c>
      <c r="AD468" t="s">
        <v>9468</v>
      </c>
      <c r="AE468" t="s">
        <v>9469</v>
      </c>
      <c r="AF468" t="s">
        <v>74</v>
      </c>
      <c r="AG468">
        <v>71</v>
      </c>
      <c r="AH468">
        <v>2</v>
      </c>
      <c r="AI468">
        <v>2</v>
      </c>
      <c r="AJ468">
        <v>0</v>
      </c>
      <c r="AK468">
        <v>3</v>
      </c>
      <c r="AL468" t="s">
        <v>1714</v>
      </c>
      <c r="AM468" t="s">
        <v>256</v>
      </c>
      <c r="AN468" t="s">
        <v>1715</v>
      </c>
      <c r="AO468" t="s">
        <v>2732</v>
      </c>
      <c r="AP468" t="s">
        <v>2733</v>
      </c>
      <c r="AQ468" t="s">
        <v>74</v>
      </c>
      <c r="AR468" t="s">
        <v>2734</v>
      </c>
      <c r="AS468" t="s">
        <v>2735</v>
      </c>
      <c r="AT468" t="s">
        <v>9470</v>
      </c>
      <c r="AU468">
        <v>2022</v>
      </c>
      <c r="AV468">
        <v>79</v>
      </c>
      <c r="AW468">
        <v>2</v>
      </c>
      <c r="AX468" t="s">
        <v>74</v>
      </c>
      <c r="AY468" t="s">
        <v>74</v>
      </c>
      <c r="AZ468" t="s">
        <v>74</v>
      </c>
      <c r="BA468" t="s">
        <v>74</v>
      </c>
      <c r="BB468">
        <v>540</v>
      </c>
      <c r="BC468">
        <v>551</v>
      </c>
      <c r="BD468" t="s">
        <v>74</v>
      </c>
      <c r="BE468" t="s">
        <v>9471</v>
      </c>
      <c r="BF468" t="str">
        <f>HYPERLINK("http://dx.doi.org/10.1093/icesjms/fsab194","http://dx.doi.org/10.1093/icesjms/fsab194")</f>
        <v>http://dx.doi.org/10.1093/icesjms/fsab194</v>
      </c>
      <c r="BG468" t="s">
        <v>74</v>
      </c>
      <c r="BH468" t="s">
        <v>5766</v>
      </c>
      <c r="BI468">
        <v>12</v>
      </c>
      <c r="BJ468" t="s">
        <v>2737</v>
      </c>
      <c r="BK468" t="s">
        <v>101</v>
      </c>
      <c r="BL468" t="s">
        <v>2737</v>
      </c>
      <c r="BM468" t="s">
        <v>9472</v>
      </c>
      <c r="BN468" t="s">
        <v>74</v>
      </c>
      <c r="BO468" t="s">
        <v>4323</v>
      </c>
      <c r="BP468" t="s">
        <v>74</v>
      </c>
      <c r="BQ468" t="s">
        <v>74</v>
      </c>
      <c r="BR468" t="s">
        <v>105</v>
      </c>
      <c r="BS468" t="s">
        <v>9473</v>
      </c>
      <c r="BT468" t="str">
        <f>HYPERLINK("https%3A%2F%2Fwww.webofscience.com%2Fwos%2Fwoscc%2Ffull-record%2FWOS:000766813800024","View Full Record in Web of Science")</f>
        <v>View Full Record in Web of Science</v>
      </c>
    </row>
    <row r="469" spans="1:72" x14ac:dyDescent="0.15">
      <c r="A469" t="s">
        <v>72</v>
      </c>
      <c r="B469" t="s">
        <v>9474</v>
      </c>
      <c r="C469" t="s">
        <v>74</v>
      </c>
      <c r="D469" t="s">
        <v>74</v>
      </c>
      <c r="E469" t="s">
        <v>74</v>
      </c>
      <c r="F469" t="s">
        <v>9475</v>
      </c>
      <c r="G469" t="s">
        <v>74</v>
      </c>
      <c r="H469" t="s">
        <v>74</v>
      </c>
      <c r="I469" t="s">
        <v>9476</v>
      </c>
      <c r="J469" t="s">
        <v>9477</v>
      </c>
      <c r="K469" t="s">
        <v>74</v>
      </c>
      <c r="L469" t="s">
        <v>74</v>
      </c>
      <c r="M469" t="s">
        <v>78</v>
      </c>
      <c r="N469" t="s">
        <v>79</v>
      </c>
      <c r="O469" t="s">
        <v>74</v>
      </c>
      <c r="P469" t="s">
        <v>74</v>
      </c>
      <c r="Q469" t="s">
        <v>74</v>
      </c>
      <c r="R469" t="s">
        <v>74</v>
      </c>
      <c r="S469" t="s">
        <v>74</v>
      </c>
      <c r="T469" t="s">
        <v>9478</v>
      </c>
      <c r="U469" t="s">
        <v>9479</v>
      </c>
      <c r="V469" t="s">
        <v>9480</v>
      </c>
      <c r="W469" t="s">
        <v>9481</v>
      </c>
      <c r="X469" t="s">
        <v>3586</v>
      </c>
      <c r="Y469" t="s">
        <v>9482</v>
      </c>
      <c r="Z469" t="s">
        <v>9483</v>
      </c>
      <c r="AA469" t="s">
        <v>74</v>
      </c>
      <c r="AB469" t="s">
        <v>9484</v>
      </c>
      <c r="AC469" t="s">
        <v>9485</v>
      </c>
      <c r="AD469" t="s">
        <v>9486</v>
      </c>
      <c r="AE469" t="s">
        <v>9487</v>
      </c>
      <c r="AF469" t="s">
        <v>74</v>
      </c>
      <c r="AG469">
        <v>47</v>
      </c>
      <c r="AH469">
        <v>2</v>
      </c>
      <c r="AI469">
        <v>3</v>
      </c>
      <c r="AJ469">
        <v>2</v>
      </c>
      <c r="AK469">
        <v>8</v>
      </c>
      <c r="AL469" t="s">
        <v>4312</v>
      </c>
      <c r="AM469" t="s">
        <v>4313</v>
      </c>
      <c r="AN469" t="s">
        <v>4314</v>
      </c>
      <c r="AO469" t="s">
        <v>9488</v>
      </c>
      <c r="AP469" t="s">
        <v>9489</v>
      </c>
      <c r="AQ469" t="s">
        <v>74</v>
      </c>
      <c r="AR469" t="s">
        <v>9490</v>
      </c>
      <c r="AS469" t="s">
        <v>9491</v>
      </c>
      <c r="AT469" t="s">
        <v>7760</v>
      </c>
      <c r="AU469">
        <v>2021</v>
      </c>
      <c r="AV469">
        <v>36</v>
      </c>
      <c r="AW469">
        <v>5</v>
      </c>
      <c r="AX469" t="s">
        <v>74</v>
      </c>
      <c r="AY469" t="s">
        <v>74</v>
      </c>
      <c r="AZ469" t="s">
        <v>74</v>
      </c>
      <c r="BA469" t="s">
        <v>74</v>
      </c>
      <c r="BB469">
        <v>1799</v>
      </c>
      <c r="BC469">
        <v>1814</v>
      </c>
      <c r="BD469" t="s">
        <v>74</v>
      </c>
      <c r="BE469" t="s">
        <v>9492</v>
      </c>
      <c r="BF469" t="str">
        <f>HYPERLINK("http://dx.doi.org/10.1175/WAF-D-21-0058.1","http://dx.doi.org/10.1175/WAF-D-21-0058.1")</f>
        <v>http://dx.doi.org/10.1175/WAF-D-21-0058.1</v>
      </c>
      <c r="BG469" t="s">
        <v>74</v>
      </c>
      <c r="BH469" t="s">
        <v>74</v>
      </c>
      <c r="BI469">
        <v>16</v>
      </c>
      <c r="BJ469" t="s">
        <v>829</v>
      </c>
      <c r="BK469" t="s">
        <v>101</v>
      </c>
      <c r="BL469" t="s">
        <v>829</v>
      </c>
      <c r="BM469" t="s">
        <v>9493</v>
      </c>
      <c r="BN469" t="s">
        <v>74</v>
      </c>
      <c r="BO469" t="s">
        <v>74</v>
      </c>
      <c r="BP469" t="s">
        <v>74</v>
      </c>
      <c r="BQ469" t="s">
        <v>74</v>
      </c>
      <c r="BR469" t="s">
        <v>105</v>
      </c>
      <c r="BS469" t="s">
        <v>9494</v>
      </c>
      <c r="BT469" t="str">
        <f>HYPERLINK("https%3A%2F%2Fwww.webofscience.com%2Fwos%2Fwoscc%2Ffull-record%2FWOS:000757388300014","View Full Record in Web of Science")</f>
        <v>View Full Record in Web of Science</v>
      </c>
    </row>
    <row r="470" spans="1:72" x14ac:dyDescent="0.15">
      <c r="A470" t="s">
        <v>72</v>
      </c>
      <c r="B470" t="s">
        <v>9495</v>
      </c>
      <c r="C470" t="s">
        <v>74</v>
      </c>
      <c r="D470" t="s">
        <v>74</v>
      </c>
      <c r="E470" t="s">
        <v>74</v>
      </c>
      <c r="F470" t="s">
        <v>9496</v>
      </c>
      <c r="G470" t="s">
        <v>74</v>
      </c>
      <c r="H470" t="s">
        <v>74</v>
      </c>
      <c r="I470" t="s">
        <v>9497</v>
      </c>
      <c r="J470" t="s">
        <v>9498</v>
      </c>
      <c r="K470" t="s">
        <v>74</v>
      </c>
      <c r="L470" t="s">
        <v>74</v>
      </c>
      <c r="M470" t="s">
        <v>78</v>
      </c>
      <c r="N470" t="s">
        <v>79</v>
      </c>
      <c r="O470" t="s">
        <v>74</v>
      </c>
      <c r="P470" t="s">
        <v>74</v>
      </c>
      <c r="Q470" t="s">
        <v>74</v>
      </c>
      <c r="R470" t="s">
        <v>74</v>
      </c>
      <c r="S470" t="s">
        <v>74</v>
      </c>
      <c r="T470" t="s">
        <v>9499</v>
      </c>
      <c r="U470" t="s">
        <v>9500</v>
      </c>
      <c r="V470" t="s">
        <v>9501</v>
      </c>
      <c r="W470" t="s">
        <v>9502</v>
      </c>
      <c r="X470" t="s">
        <v>9503</v>
      </c>
      <c r="Y470" t="s">
        <v>9504</v>
      </c>
      <c r="Z470" t="s">
        <v>9505</v>
      </c>
      <c r="AA470" t="s">
        <v>9506</v>
      </c>
      <c r="AB470" t="s">
        <v>9507</v>
      </c>
      <c r="AC470" t="s">
        <v>9508</v>
      </c>
      <c r="AD470" t="s">
        <v>9509</v>
      </c>
      <c r="AE470" t="s">
        <v>9510</v>
      </c>
      <c r="AF470" t="s">
        <v>74</v>
      </c>
      <c r="AG470">
        <v>38</v>
      </c>
      <c r="AH470">
        <v>0</v>
      </c>
      <c r="AI470">
        <v>0</v>
      </c>
      <c r="AJ470">
        <v>0</v>
      </c>
      <c r="AK470">
        <v>1</v>
      </c>
      <c r="AL470" t="s">
        <v>9511</v>
      </c>
      <c r="AM470" t="s">
        <v>9512</v>
      </c>
      <c r="AN470" t="s">
        <v>9513</v>
      </c>
      <c r="AO470" t="s">
        <v>9514</v>
      </c>
      <c r="AP470" t="s">
        <v>9515</v>
      </c>
      <c r="AQ470" t="s">
        <v>74</v>
      </c>
      <c r="AR470" t="s">
        <v>9516</v>
      </c>
      <c r="AS470" t="s">
        <v>9517</v>
      </c>
      <c r="AT470" t="s">
        <v>9518</v>
      </c>
      <c r="AU470">
        <v>2021</v>
      </c>
      <c r="AV470">
        <v>35</v>
      </c>
      <c r="AW470">
        <v>4</v>
      </c>
      <c r="AX470" t="s">
        <v>74</v>
      </c>
      <c r="AY470" t="s">
        <v>74</v>
      </c>
      <c r="AZ470" t="s">
        <v>74</v>
      </c>
      <c r="BA470" t="s">
        <v>74</v>
      </c>
      <c r="BB470">
        <v>532</v>
      </c>
      <c r="BC470">
        <v>539</v>
      </c>
      <c r="BD470" t="s">
        <v>74</v>
      </c>
      <c r="BE470" t="s">
        <v>9519</v>
      </c>
      <c r="BF470" t="str">
        <f>HYPERLINK("http://dx.doi.org/10.1590/0102-33062020abb0431","http://dx.doi.org/10.1590/0102-33062020abb0431")</f>
        <v>http://dx.doi.org/10.1590/0102-33062020abb0431</v>
      </c>
      <c r="BG470" t="s">
        <v>74</v>
      </c>
      <c r="BH470" t="s">
        <v>74</v>
      </c>
      <c r="BI470">
        <v>8</v>
      </c>
      <c r="BJ470" t="s">
        <v>4148</v>
      </c>
      <c r="BK470" t="s">
        <v>101</v>
      </c>
      <c r="BL470" t="s">
        <v>4148</v>
      </c>
      <c r="BM470" t="s">
        <v>9520</v>
      </c>
      <c r="BN470" t="s">
        <v>74</v>
      </c>
      <c r="BO470" t="s">
        <v>210</v>
      </c>
      <c r="BP470" t="s">
        <v>74</v>
      </c>
      <c r="BQ470" t="s">
        <v>74</v>
      </c>
      <c r="BR470" t="s">
        <v>105</v>
      </c>
      <c r="BS470" t="s">
        <v>9521</v>
      </c>
      <c r="BT470" t="str">
        <f>HYPERLINK("https%3A%2F%2Fwww.webofscience.com%2Fwos%2Fwoscc%2Ffull-record%2FWOS:000754221300004","View Full Record in Web of Science")</f>
        <v>View Full Record in Web of Science</v>
      </c>
    </row>
    <row r="471" spans="1:72" x14ac:dyDescent="0.15">
      <c r="A471" t="s">
        <v>72</v>
      </c>
      <c r="B471" t="s">
        <v>9522</v>
      </c>
      <c r="C471" t="s">
        <v>74</v>
      </c>
      <c r="D471" t="s">
        <v>74</v>
      </c>
      <c r="E471" t="s">
        <v>74</v>
      </c>
      <c r="F471" t="s">
        <v>9523</v>
      </c>
      <c r="G471" t="s">
        <v>74</v>
      </c>
      <c r="H471" t="s">
        <v>74</v>
      </c>
      <c r="I471" t="s">
        <v>9524</v>
      </c>
      <c r="J471" t="s">
        <v>4347</v>
      </c>
      <c r="K471" t="s">
        <v>74</v>
      </c>
      <c r="L471" t="s">
        <v>74</v>
      </c>
      <c r="M471" t="s">
        <v>78</v>
      </c>
      <c r="N471" t="s">
        <v>79</v>
      </c>
      <c r="O471" t="s">
        <v>74</v>
      </c>
      <c r="P471" t="s">
        <v>74</v>
      </c>
      <c r="Q471" t="s">
        <v>74</v>
      </c>
      <c r="R471" t="s">
        <v>74</v>
      </c>
      <c r="S471" t="s">
        <v>74</v>
      </c>
      <c r="T471" t="s">
        <v>9525</v>
      </c>
      <c r="U471" t="s">
        <v>9526</v>
      </c>
      <c r="V471" t="s">
        <v>9527</v>
      </c>
      <c r="W471" t="s">
        <v>9528</v>
      </c>
      <c r="X471" t="s">
        <v>3764</v>
      </c>
      <c r="Y471" t="s">
        <v>9529</v>
      </c>
      <c r="Z471" t="s">
        <v>9530</v>
      </c>
      <c r="AA471" t="s">
        <v>74</v>
      </c>
      <c r="AB471" t="s">
        <v>74</v>
      </c>
      <c r="AC471" t="s">
        <v>9531</v>
      </c>
      <c r="AD471" t="s">
        <v>9532</v>
      </c>
      <c r="AE471" t="s">
        <v>9533</v>
      </c>
      <c r="AF471" t="s">
        <v>74</v>
      </c>
      <c r="AG471">
        <v>59</v>
      </c>
      <c r="AH471">
        <v>1</v>
      </c>
      <c r="AI471">
        <v>1</v>
      </c>
      <c r="AJ471">
        <v>1</v>
      </c>
      <c r="AK471">
        <v>3</v>
      </c>
      <c r="AL471" t="s">
        <v>4312</v>
      </c>
      <c r="AM471" t="s">
        <v>4313</v>
      </c>
      <c r="AN471" t="s">
        <v>4383</v>
      </c>
      <c r="AO471" t="s">
        <v>4360</v>
      </c>
      <c r="AP471" t="s">
        <v>4361</v>
      </c>
      <c r="AQ471" t="s">
        <v>74</v>
      </c>
      <c r="AR471" t="s">
        <v>4362</v>
      </c>
      <c r="AS471" t="s">
        <v>4363</v>
      </c>
      <c r="AT471" t="s">
        <v>7760</v>
      </c>
      <c r="AU471">
        <v>2021</v>
      </c>
      <c r="AV471">
        <v>34</v>
      </c>
      <c r="AW471">
        <v>19</v>
      </c>
      <c r="AX471" t="s">
        <v>74</v>
      </c>
      <c r="AY471" t="s">
        <v>74</v>
      </c>
      <c r="AZ471" t="s">
        <v>74</v>
      </c>
      <c r="BA471" t="s">
        <v>74</v>
      </c>
      <c r="BB471">
        <v>7897</v>
      </c>
      <c r="BC471">
        <v>7912</v>
      </c>
      <c r="BD471" t="s">
        <v>74</v>
      </c>
      <c r="BE471" t="s">
        <v>9534</v>
      </c>
      <c r="BF471" t="str">
        <f>HYPERLINK("http://dx.doi.org/10.1175/JCLI-D-21-0075.1","http://dx.doi.org/10.1175/JCLI-D-21-0075.1")</f>
        <v>http://dx.doi.org/10.1175/JCLI-D-21-0075.1</v>
      </c>
      <c r="BG471" t="s">
        <v>74</v>
      </c>
      <c r="BH471" t="s">
        <v>74</v>
      </c>
      <c r="BI471">
        <v>16</v>
      </c>
      <c r="BJ471" t="s">
        <v>829</v>
      </c>
      <c r="BK471" t="s">
        <v>101</v>
      </c>
      <c r="BL471" t="s">
        <v>829</v>
      </c>
      <c r="BM471" t="s">
        <v>9535</v>
      </c>
      <c r="BN471" t="s">
        <v>74</v>
      </c>
      <c r="BO471" t="s">
        <v>2992</v>
      </c>
      <c r="BP471" t="s">
        <v>74</v>
      </c>
      <c r="BQ471" t="s">
        <v>74</v>
      </c>
      <c r="BR471" t="s">
        <v>105</v>
      </c>
      <c r="BS471" t="s">
        <v>9536</v>
      </c>
      <c r="BT471" t="str">
        <f>HYPERLINK("https%3A%2F%2Fwww.webofscience.com%2Fwos%2Fwoscc%2Ffull-record%2FWOS:000752634100008","View Full Record in Web of Science")</f>
        <v>View Full Record in Web of Science</v>
      </c>
    </row>
    <row r="472" spans="1:72" x14ac:dyDescent="0.15">
      <c r="A472" t="s">
        <v>72</v>
      </c>
      <c r="B472" t="s">
        <v>9537</v>
      </c>
      <c r="C472" t="s">
        <v>74</v>
      </c>
      <c r="D472" t="s">
        <v>74</v>
      </c>
      <c r="E472" t="s">
        <v>74</v>
      </c>
      <c r="F472" t="s">
        <v>9538</v>
      </c>
      <c r="G472" t="s">
        <v>74</v>
      </c>
      <c r="H472" t="s">
        <v>74</v>
      </c>
      <c r="I472" t="s">
        <v>9539</v>
      </c>
      <c r="J472" t="s">
        <v>4347</v>
      </c>
      <c r="K472" t="s">
        <v>74</v>
      </c>
      <c r="L472" t="s">
        <v>74</v>
      </c>
      <c r="M472" t="s">
        <v>78</v>
      </c>
      <c r="N472" t="s">
        <v>79</v>
      </c>
      <c r="O472" t="s">
        <v>74</v>
      </c>
      <c r="P472" t="s">
        <v>74</v>
      </c>
      <c r="Q472" t="s">
        <v>74</v>
      </c>
      <c r="R472" t="s">
        <v>74</v>
      </c>
      <c r="S472" t="s">
        <v>74</v>
      </c>
      <c r="T472" t="s">
        <v>9540</v>
      </c>
      <c r="U472" t="s">
        <v>9541</v>
      </c>
      <c r="V472" t="s">
        <v>9542</v>
      </c>
      <c r="W472" t="s">
        <v>9543</v>
      </c>
      <c r="X472" t="s">
        <v>9544</v>
      </c>
      <c r="Y472" t="s">
        <v>9545</v>
      </c>
      <c r="Z472" t="s">
        <v>9546</v>
      </c>
      <c r="AA472" t="s">
        <v>9547</v>
      </c>
      <c r="AB472" t="s">
        <v>9548</v>
      </c>
      <c r="AC472" t="s">
        <v>9549</v>
      </c>
      <c r="AD472" t="s">
        <v>9550</v>
      </c>
      <c r="AE472" t="s">
        <v>9551</v>
      </c>
      <c r="AF472" t="s">
        <v>74</v>
      </c>
      <c r="AG472">
        <v>79</v>
      </c>
      <c r="AH472">
        <v>26</v>
      </c>
      <c r="AI472">
        <v>27</v>
      </c>
      <c r="AJ472">
        <v>4</v>
      </c>
      <c r="AK472">
        <v>27</v>
      </c>
      <c r="AL472" t="s">
        <v>4312</v>
      </c>
      <c r="AM472" t="s">
        <v>4313</v>
      </c>
      <c r="AN472" t="s">
        <v>4383</v>
      </c>
      <c r="AO472" t="s">
        <v>4360</v>
      </c>
      <c r="AP472" t="s">
        <v>4361</v>
      </c>
      <c r="AQ472" t="s">
        <v>74</v>
      </c>
      <c r="AR472" t="s">
        <v>4362</v>
      </c>
      <c r="AS472" t="s">
        <v>4363</v>
      </c>
      <c r="AT472" t="s">
        <v>7760</v>
      </c>
      <c r="AU472">
        <v>2021</v>
      </c>
      <c r="AV472">
        <v>34</v>
      </c>
      <c r="AW472">
        <v>20</v>
      </c>
      <c r="AX472" t="s">
        <v>74</v>
      </c>
      <c r="AY472" t="s">
        <v>74</v>
      </c>
      <c r="AZ472" t="s">
        <v>74</v>
      </c>
      <c r="BA472" t="s">
        <v>74</v>
      </c>
      <c r="BB472">
        <v>8145</v>
      </c>
      <c r="BC472">
        <v>8164</v>
      </c>
      <c r="BD472" t="s">
        <v>74</v>
      </c>
      <c r="BE472" t="s">
        <v>9552</v>
      </c>
      <c r="BF472" t="str">
        <f>HYPERLINK("http://dx.doi.org/10.1175/JCLI-D-21-0359.1","http://dx.doi.org/10.1175/JCLI-D-21-0359.1")</f>
        <v>http://dx.doi.org/10.1175/JCLI-D-21-0359.1</v>
      </c>
      <c r="BG472" t="s">
        <v>74</v>
      </c>
      <c r="BH472" t="s">
        <v>74</v>
      </c>
      <c r="BI472">
        <v>20</v>
      </c>
      <c r="BJ472" t="s">
        <v>829</v>
      </c>
      <c r="BK472" t="s">
        <v>101</v>
      </c>
      <c r="BL472" t="s">
        <v>829</v>
      </c>
      <c r="BM472" t="s">
        <v>9553</v>
      </c>
      <c r="BN472" t="s">
        <v>74</v>
      </c>
      <c r="BO472" t="s">
        <v>419</v>
      </c>
      <c r="BP472" t="s">
        <v>74</v>
      </c>
      <c r="BQ472" t="s">
        <v>74</v>
      </c>
      <c r="BR472" t="s">
        <v>105</v>
      </c>
      <c r="BS472" t="s">
        <v>9554</v>
      </c>
      <c r="BT472" t="str">
        <f>HYPERLINK("https%3A%2F%2Fwww.webofscience.com%2Fwos%2Fwoscc%2Ffull-record%2FWOS:000752637600004","View Full Record in Web of Science")</f>
        <v>View Full Record in Web of Science</v>
      </c>
    </row>
    <row r="473" spans="1:72" x14ac:dyDescent="0.15">
      <c r="A473" t="s">
        <v>72</v>
      </c>
      <c r="B473" t="s">
        <v>9555</v>
      </c>
      <c r="C473" t="s">
        <v>74</v>
      </c>
      <c r="D473" t="s">
        <v>74</v>
      </c>
      <c r="E473" t="s">
        <v>74</v>
      </c>
      <c r="F473" t="s">
        <v>9556</v>
      </c>
      <c r="G473" t="s">
        <v>74</v>
      </c>
      <c r="H473" t="s">
        <v>74</v>
      </c>
      <c r="I473" t="s">
        <v>9557</v>
      </c>
      <c r="J473" t="s">
        <v>4347</v>
      </c>
      <c r="K473" t="s">
        <v>74</v>
      </c>
      <c r="L473" t="s">
        <v>74</v>
      </c>
      <c r="M473" t="s">
        <v>78</v>
      </c>
      <c r="N473" t="s">
        <v>79</v>
      </c>
      <c r="O473" t="s">
        <v>74</v>
      </c>
      <c r="P473" t="s">
        <v>74</v>
      </c>
      <c r="Q473" t="s">
        <v>74</v>
      </c>
      <c r="R473" t="s">
        <v>74</v>
      </c>
      <c r="S473" t="s">
        <v>74</v>
      </c>
      <c r="T473" t="s">
        <v>9558</v>
      </c>
      <c r="U473" t="s">
        <v>9559</v>
      </c>
      <c r="V473" t="s">
        <v>9560</v>
      </c>
      <c r="W473" t="s">
        <v>9561</v>
      </c>
      <c r="X473" t="s">
        <v>9562</v>
      </c>
      <c r="Y473" t="s">
        <v>9563</v>
      </c>
      <c r="Z473" t="s">
        <v>9564</v>
      </c>
      <c r="AA473" t="s">
        <v>9565</v>
      </c>
      <c r="AB473" t="s">
        <v>74</v>
      </c>
      <c r="AC473" t="s">
        <v>9566</v>
      </c>
      <c r="AD473" t="s">
        <v>9566</v>
      </c>
      <c r="AE473" t="s">
        <v>9567</v>
      </c>
      <c r="AF473" t="s">
        <v>74</v>
      </c>
      <c r="AG473">
        <v>81</v>
      </c>
      <c r="AH473">
        <v>6</v>
      </c>
      <c r="AI473">
        <v>6</v>
      </c>
      <c r="AJ473">
        <v>0</v>
      </c>
      <c r="AK473">
        <v>4</v>
      </c>
      <c r="AL473" t="s">
        <v>4312</v>
      </c>
      <c r="AM473" t="s">
        <v>4313</v>
      </c>
      <c r="AN473" t="s">
        <v>4314</v>
      </c>
      <c r="AO473" t="s">
        <v>4360</v>
      </c>
      <c r="AP473" t="s">
        <v>4361</v>
      </c>
      <c r="AQ473" t="s">
        <v>74</v>
      </c>
      <c r="AR473" t="s">
        <v>4362</v>
      </c>
      <c r="AS473" t="s">
        <v>4363</v>
      </c>
      <c r="AT473" t="s">
        <v>7760</v>
      </c>
      <c r="AU473">
        <v>2021</v>
      </c>
      <c r="AV473">
        <v>34</v>
      </c>
      <c r="AW473">
        <v>20</v>
      </c>
      <c r="AX473" t="s">
        <v>74</v>
      </c>
      <c r="AY473" t="s">
        <v>74</v>
      </c>
      <c r="AZ473" t="s">
        <v>74</v>
      </c>
      <c r="BA473" t="s">
        <v>74</v>
      </c>
      <c r="BB473">
        <v>8341</v>
      </c>
      <c r="BC473">
        <v>8360</v>
      </c>
      <c r="BD473" t="s">
        <v>74</v>
      </c>
      <c r="BE473" t="s">
        <v>9568</v>
      </c>
      <c r="BF473" t="str">
        <f>HYPERLINK("http://dx.doi.org/10.1175/JCLI-D-21-0102.1","http://dx.doi.org/10.1175/JCLI-D-21-0102.1")</f>
        <v>http://dx.doi.org/10.1175/JCLI-D-21-0102.1</v>
      </c>
      <c r="BG473" t="s">
        <v>74</v>
      </c>
      <c r="BH473" t="s">
        <v>74</v>
      </c>
      <c r="BI473">
        <v>20</v>
      </c>
      <c r="BJ473" t="s">
        <v>829</v>
      </c>
      <c r="BK473" t="s">
        <v>101</v>
      </c>
      <c r="BL473" t="s">
        <v>829</v>
      </c>
      <c r="BM473" t="s">
        <v>9553</v>
      </c>
      <c r="BN473" t="s">
        <v>74</v>
      </c>
      <c r="BO473" t="s">
        <v>475</v>
      </c>
      <c r="BP473" t="s">
        <v>74</v>
      </c>
      <c r="BQ473" t="s">
        <v>74</v>
      </c>
      <c r="BR473" t="s">
        <v>105</v>
      </c>
      <c r="BS473" t="s">
        <v>9569</v>
      </c>
      <c r="BT473" t="str">
        <f>HYPERLINK("https%3A%2F%2Fwww.webofscience.com%2Fwos%2Fwoscc%2Ffull-record%2FWOS:000752637600015","View Full Record in Web of Science")</f>
        <v>View Full Record in Web of Science</v>
      </c>
    </row>
    <row r="474" spans="1:72" x14ac:dyDescent="0.15">
      <c r="A474" t="s">
        <v>72</v>
      </c>
      <c r="B474" t="s">
        <v>9570</v>
      </c>
      <c r="C474" t="s">
        <v>74</v>
      </c>
      <c r="D474" t="s">
        <v>74</v>
      </c>
      <c r="E474" t="s">
        <v>74</v>
      </c>
      <c r="F474" t="s">
        <v>9571</v>
      </c>
      <c r="G474" t="s">
        <v>74</v>
      </c>
      <c r="H474" t="s">
        <v>74</v>
      </c>
      <c r="I474" t="s">
        <v>9572</v>
      </c>
      <c r="J474" t="s">
        <v>4437</v>
      </c>
      <c r="K474" t="s">
        <v>74</v>
      </c>
      <c r="L474" t="s">
        <v>74</v>
      </c>
      <c r="M474" t="s">
        <v>78</v>
      </c>
      <c r="N474" t="s">
        <v>79</v>
      </c>
      <c r="O474" t="s">
        <v>74</v>
      </c>
      <c r="P474" t="s">
        <v>74</v>
      </c>
      <c r="Q474" t="s">
        <v>74</v>
      </c>
      <c r="R474" t="s">
        <v>74</v>
      </c>
      <c r="S474" t="s">
        <v>74</v>
      </c>
      <c r="T474" t="s">
        <v>9573</v>
      </c>
      <c r="U474" t="s">
        <v>74</v>
      </c>
      <c r="V474" t="s">
        <v>9574</v>
      </c>
      <c r="W474" t="s">
        <v>9575</v>
      </c>
      <c r="X474" t="s">
        <v>9576</v>
      </c>
      <c r="Y474" t="s">
        <v>9577</v>
      </c>
      <c r="Z474" t="s">
        <v>9578</v>
      </c>
      <c r="AA474" t="s">
        <v>74</v>
      </c>
      <c r="AB474" t="s">
        <v>74</v>
      </c>
      <c r="AC474" t="s">
        <v>74</v>
      </c>
      <c r="AD474" t="s">
        <v>74</v>
      </c>
      <c r="AE474" t="s">
        <v>74</v>
      </c>
      <c r="AF474" t="s">
        <v>74</v>
      </c>
      <c r="AG474">
        <v>13</v>
      </c>
      <c r="AH474">
        <v>1</v>
      </c>
      <c r="AI474">
        <v>1</v>
      </c>
      <c r="AJ474">
        <v>0</v>
      </c>
      <c r="AK474">
        <v>5</v>
      </c>
      <c r="AL474" t="s">
        <v>4446</v>
      </c>
      <c r="AM474" t="s">
        <v>170</v>
      </c>
      <c r="AN474" t="s">
        <v>4447</v>
      </c>
      <c r="AO474" t="s">
        <v>4448</v>
      </c>
      <c r="AP474" t="s">
        <v>4449</v>
      </c>
      <c r="AQ474" t="s">
        <v>74</v>
      </c>
      <c r="AR474" t="s">
        <v>4450</v>
      </c>
      <c r="AS474" t="s">
        <v>4451</v>
      </c>
      <c r="AT474" t="s">
        <v>7760</v>
      </c>
      <c r="AU474">
        <v>2021</v>
      </c>
      <c r="AV474">
        <v>46</v>
      </c>
      <c r="AW474">
        <v>10</v>
      </c>
      <c r="AX474" t="s">
        <v>74</v>
      </c>
      <c r="AY474" t="s">
        <v>74</v>
      </c>
      <c r="AZ474" t="s">
        <v>74</v>
      </c>
      <c r="BA474" t="s">
        <v>74</v>
      </c>
      <c r="BB474">
        <v>683</v>
      </c>
      <c r="BC474">
        <v>688</v>
      </c>
      <c r="BD474" t="s">
        <v>74</v>
      </c>
      <c r="BE474" t="s">
        <v>9579</v>
      </c>
      <c r="BF474" t="str">
        <f>HYPERLINK("http://dx.doi.org/10.3103/S1068373921100058","http://dx.doi.org/10.3103/S1068373921100058")</f>
        <v>http://dx.doi.org/10.3103/S1068373921100058</v>
      </c>
      <c r="BG474" t="s">
        <v>74</v>
      </c>
      <c r="BH474" t="s">
        <v>74</v>
      </c>
      <c r="BI474">
        <v>6</v>
      </c>
      <c r="BJ474" t="s">
        <v>829</v>
      </c>
      <c r="BK474" t="s">
        <v>101</v>
      </c>
      <c r="BL474" t="s">
        <v>829</v>
      </c>
      <c r="BM474" t="s">
        <v>9580</v>
      </c>
      <c r="BN474" t="s">
        <v>74</v>
      </c>
      <c r="BO474" t="s">
        <v>74</v>
      </c>
      <c r="BP474" t="s">
        <v>74</v>
      </c>
      <c r="BQ474" t="s">
        <v>74</v>
      </c>
      <c r="BR474" t="s">
        <v>105</v>
      </c>
      <c r="BS474" t="s">
        <v>9581</v>
      </c>
      <c r="BT474" t="str">
        <f>HYPERLINK("https%3A%2F%2Fwww.webofscience.com%2Fwos%2Fwoscc%2Ffull-record%2FWOS:000736495600005","View Full Record in Web of Science")</f>
        <v>View Full Record in Web of Science</v>
      </c>
    </row>
    <row r="475" spans="1:72" x14ac:dyDescent="0.15">
      <c r="A475" t="s">
        <v>72</v>
      </c>
      <c r="B475" t="s">
        <v>9582</v>
      </c>
      <c r="C475" t="s">
        <v>74</v>
      </c>
      <c r="D475" t="s">
        <v>74</v>
      </c>
      <c r="E475" t="s">
        <v>74</v>
      </c>
      <c r="F475" t="s">
        <v>9583</v>
      </c>
      <c r="G475" t="s">
        <v>74</v>
      </c>
      <c r="H475" t="s">
        <v>74</v>
      </c>
      <c r="I475" t="s">
        <v>9584</v>
      </c>
      <c r="J475" t="s">
        <v>9585</v>
      </c>
      <c r="K475" t="s">
        <v>74</v>
      </c>
      <c r="L475" t="s">
        <v>74</v>
      </c>
      <c r="M475" t="s">
        <v>78</v>
      </c>
      <c r="N475" t="s">
        <v>9586</v>
      </c>
      <c r="O475" t="s">
        <v>9587</v>
      </c>
      <c r="P475" t="s">
        <v>9588</v>
      </c>
      <c r="Q475" t="s">
        <v>9589</v>
      </c>
      <c r="R475" t="s">
        <v>74</v>
      </c>
      <c r="S475" t="s">
        <v>9590</v>
      </c>
      <c r="T475" t="s">
        <v>9591</v>
      </c>
      <c r="U475" t="s">
        <v>9592</v>
      </c>
      <c r="V475" t="s">
        <v>9593</v>
      </c>
      <c r="W475" t="s">
        <v>9594</v>
      </c>
      <c r="X475" t="s">
        <v>9595</v>
      </c>
      <c r="Y475" t="s">
        <v>9596</v>
      </c>
      <c r="Z475" t="s">
        <v>9597</v>
      </c>
      <c r="AA475" t="s">
        <v>9598</v>
      </c>
      <c r="AB475" t="s">
        <v>9599</v>
      </c>
      <c r="AC475" t="s">
        <v>74</v>
      </c>
      <c r="AD475" t="s">
        <v>74</v>
      </c>
      <c r="AE475" t="s">
        <v>74</v>
      </c>
      <c r="AF475" t="s">
        <v>74</v>
      </c>
      <c r="AG475">
        <v>207</v>
      </c>
      <c r="AH475">
        <v>10</v>
      </c>
      <c r="AI475">
        <v>11</v>
      </c>
      <c r="AJ475">
        <v>5</v>
      </c>
      <c r="AK475">
        <v>27</v>
      </c>
      <c r="AL475" t="s">
        <v>9600</v>
      </c>
      <c r="AM475" t="s">
        <v>9601</v>
      </c>
      <c r="AN475" t="s">
        <v>9602</v>
      </c>
      <c r="AO475" t="s">
        <v>9603</v>
      </c>
      <c r="AP475" t="s">
        <v>9604</v>
      </c>
      <c r="AQ475" t="s">
        <v>74</v>
      </c>
      <c r="AR475" t="s">
        <v>9605</v>
      </c>
      <c r="AS475" t="s">
        <v>9606</v>
      </c>
      <c r="AT475" t="s">
        <v>7760</v>
      </c>
      <c r="AU475">
        <v>2021</v>
      </c>
      <c r="AV475">
        <v>97</v>
      </c>
      <c r="AW475">
        <v>4</v>
      </c>
      <c r="AX475" t="s">
        <v>74</v>
      </c>
      <c r="AY475" t="s">
        <v>74</v>
      </c>
      <c r="AZ475" t="s">
        <v>74</v>
      </c>
      <c r="BA475" t="s">
        <v>74</v>
      </c>
      <c r="BB475">
        <v>665</v>
      </c>
      <c r="BC475">
        <v>698</v>
      </c>
      <c r="BD475" t="s">
        <v>74</v>
      </c>
      <c r="BE475" t="s">
        <v>9607</v>
      </c>
      <c r="BF475" t="str">
        <f>HYPERLINK("http://dx.doi.org/10.5343/bms.2020.0059","http://dx.doi.org/10.5343/bms.2020.0059")</f>
        <v>http://dx.doi.org/10.5343/bms.2020.0059</v>
      </c>
      <c r="BG475" t="s">
        <v>74</v>
      </c>
      <c r="BH475" t="s">
        <v>74</v>
      </c>
      <c r="BI475">
        <v>34</v>
      </c>
      <c r="BJ475" t="s">
        <v>3136</v>
      </c>
      <c r="BK475" t="s">
        <v>9608</v>
      </c>
      <c r="BL475" t="s">
        <v>3136</v>
      </c>
      <c r="BM475" t="s">
        <v>9609</v>
      </c>
      <c r="BN475" t="s">
        <v>74</v>
      </c>
      <c r="BO475" t="s">
        <v>4126</v>
      </c>
      <c r="BP475" t="s">
        <v>74</v>
      </c>
      <c r="BQ475" t="s">
        <v>74</v>
      </c>
      <c r="BR475" t="s">
        <v>105</v>
      </c>
      <c r="BS475" t="s">
        <v>9610</v>
      </c>
      <c r="BT475" t="str">
        <f>HYPERLINK("https%3A%2F%2Fwww.webofscience.com%2Fwos%2Fwoscc%2Ffull-record%2FWOS:000732027900010","View Full Record in Web of Science")</f>
        <v>View Full Record in Web of Science</v>
      </c>
    </row>
    <row r="476" spans="1:72" x14ac:dyDescent="0.15">
      <c r="A476" t="s">
        <v>72</v>
      </c>
      <c r="B476" t="s">
        <v>9611</v>
      </c>
      <c r="C476" t="s">
        <v>74</v>
      </c>
      <c r="D476" t="s">
        <v>74</v>
      </c>
      <c r="E476" t="s">
        <v>74</v>
      </c>
      <c r="F476" t="s">
        <v>9612</v>
      </c>
      <c r="G476" t="s">
        <v>74</v>
      </c>
      <c r="H476" t="s">
        <v>74</v>
      </c>
      <c r="I476" t="s">
        <v>9613</v>
      </c>
      <c r="J476" t="s">
        <v>9614</v>
      </c>
      <c r="K476" t="s">
        <v>74</v>
      </c>
      <c r="L476" t="s">
        <v>74</v>
      </c>
      <c r="M476" t="s">
        <v>78</v>
      </c>
      <c r="N476" t="s">
        <v>79</v>
      </c>
      <c r="O476" t="s">
        <v>74</v>
      </c>
      <c r="P476" t="s">
        <v>74</v>
      </c>
      <c r="Q476" t="s">
        <v>74</v>
      </c>
      <c r="R476" t="s">
        <v>74</v>
      </c>
      <c r="S476" t="s">
        <v>74</v>
      </c>
      <c r="T476" t="s">
        <v>9615</v>
      </c>
      <c r="U476" t="s">
        <v>9616</v>
      </c>
      <c r="V476" t="s">
        <v>9617</v>
      </c>
      <c r="W476" t="s">
        <v>9618</v>
      </c>
      <c r="X476" t="s">
        <v>9619</v>
      </c>
      <c r="Y476" t="s">
        <v>9620</v>
      </c>
      <c r="Z476" t="s">
        <v>9621</v>
      </c>
      <c r="AA476" t="s">
        <v>9622</v>
      </c>
      <c r="AB476" t="s">
        <v>9623</v>
      </c>
      <c r="AC476" t="s">
        <v>9624</v>
      </c>
      <c r="AD476" t="s">
        <v>9625</v>
      </c>
      <c r="AE476" t="s">
        <v>9626</v>
      </c>
      <c r="AF476" t="s">
        <v>74</v>
      </c>
      <c r="AG476">
        <v>60</v>
      </c>
      <c r="AH476">
        <v>2</v>
      </c>
      <c r="AI476">
        <v>2</v>
      </c>
      <c r="AJ476">
        <v>0</v>
      </c>
      <c r="AK476">
        <v>7</v>
      </c>
      <c r="AL476" t="s">
        <v>4537</v>
      </c>
      <c r="AM476" t="s">
        <v>438</v>
      </c>
      <c r="AN476" t="s">
        <v>4538</v>
      </c>
      <c r="AO476" t="s">
        <v>9627</v>
      </c>
      <c r="AP476" t="s">
        <v>74</v>
      </c>
      <c r="AQ476" t="s">
        <v>74</v>
      </c>
      <c r="AR476" t="s">
        <v>9628</v>
      </c>
      <c r="AS476" t="s">
        <v>9629</v>
      </c>
      <c r="AT476" t="s">
        <v>7760</v>
      </c>
      <c r="AU476">
        <v>2021</v>
      </c>
      <c r="AV476">
        <v>9</v>
      </c>
      <c r="AW476">
        <v>2</v>
      </c>
      <c r="AX476" t="s">
        <v>74</v>
      </c>
      <c r="AY476" t="s">
        <v>74</v>
      </c>
      <c r="AZ476" t="s">
        <v>74</v>
      </c>
      <c r="BA476" t="s">
        <v>74</v>
      </c>
      <c r="BB476" t="s">
        <v>74</v>
      </c>
      <c r="BC476" t="s">
        <v>74</v>
      </c>
      <c r="BD476" t="s">
        <v>9630</v>
      </c>
      <c r="BE476" t="s">
        <v>9631</v>
      </c>
      <c r="BF476" t="str">
        <f>HYPERLINK("http://dx.doi.org/10.1128/Spectrum.00424-21","http://dx.doi.org/10.1128/Spectrum.00424-21")</f>
        <v>http://dx.doi.org/10.1128/Spectrum.00424-21</v>
      </c>
      <c r="BG476" t="s">
        <v>74</v>
      </c>
      <c r="BH476" t="s">
        <v>74</v>
      </c>
      <c r="BI476">
        <v>17</v>
      </c>
      <c r="BJ476" t="s">
        <v>975</v>
      </c>
      <c r="BK476" t="s">
        <v>101</v>
      </c>
      <c r="BL476" t="s">
        <v>975</v>
      </c>
      <c r="BM476" t="s">
        <v>9632</v>
      </c>
      <c r="BN476">
        <v>34668737</v>
      </c>
      <c r="BO476" t="s">
        <v>343</v>
      </c>
      <c r="BP476" t="s">
        <v>74</v>
      </c>
      <c r="BQ476" t="s">
        <v>74</v>
      </c>
      <c r="BR476" t="s">
        <v>105</v>
      </c>
      <c r="BS476" t="s">
        <v>9633</v>
      </c>
      <c r="BT476" t="str">
        <f>HYPERLINK("https%3A%2F%2Fwww.webofscience.com%2Fwos%2Fwoscc%2Ffull-record%2FWOS:000728629300046","View Full Record in Web of Science")</f>
        <v>View Full Record in Web of Science</v>
      </c>
    </row>
    <row r="477" spans="1:72" x14ac:dyDescent="0.15">
      <c r="A477" t="s">
        <v>72</v>
      </c>
      <c r="B477" t="s">
        <v>9634</v>
      </c>
      <c r="C477" t="s">
        <v>74</v>
      </c>
      <c r="D477" t="s">
        <v>74</v>
      </c>
      <c r="E477" t="s">
        <v>74</v>
      </c>
      <c r="F477" t="s">
        <v>9635</v>
      </c>
      <c r="G477" t="s">
        <v>74</v>
      </c>
      <c r="H477" t="s">
        <v>74</v>
      </c>
      <c r="I477" t="s">
        <v>9636</v>
      </c>
      <c r="J477" t="s">
        <v>9614</v>
      </c>
      <c r="K477" t="s">
        <v>74</v>
      </c>
      <c r="L477" t="s">
        <v>74</v>
      </c>
      <c r="M477" t="s">
        <v>78</v>
      </c>
      <c r="N477" t="s">
        <v>79</v>
      </c>
      <c r="O477" t="s">
        <v>74</v>
      </c>
      <c r="P477" t="s">
        <v>74</v>
      </c>
      <c r="Q477" t="s">
        <v>74</v>
      </c>
      <c r="R477" t="s">
        <v>74</v>
      </c>
      <c r="S477" t="s">
        <v>74</v>
      </c>
      <c r="T477" t="s">
        <v>9637</v>
      </c>
      <c r="U477" t="s">
        <v>9638</v>
      </c>
      <c r="V477" t="s">
        <v>9639</v>
      </c>
      <c r="W477" t="s">
        <v>9640</v>
      </c>
      <c r="X477" t="s">
        <v>9641</v>
      </c>
      <c r="Y477" t="s">
        <v>9642</v>
      </c>
      <c r="Z477" t="s">
        <v>5443</v>
      </c>
      <c r="AA477" t="s">
        <v>9643</v>
      </c>
      <c r="AB477" t="s">
        <v>9644</v>
      </c>
      <c r="AC477" t="s">
        <v>9645</v>
      </c>
      <c r="AD477" t="s">
        <v>9646</v>
      </c>
      <c r="AE477" t="s">
        <v>9647</v>
      </c>
      <c r="AF477" t="s">
        <v>74</v>
      </c>
      <c r="AG477">
        <v>106</v>
      </c>
      <c r="AH477">
        <v>13</v>
      </c>
      <c r="AI477">
        <v>14</v>
      </c>
      <c r="AJ477">
        <v>4</v>
      </c>
      <c r="AK477">
        <v>52</v>
      </c>
      <c r="AL477" t="s">
        <v>4537</v>
      </c>
      <c r="AM477" t="s">
        <v>438</v>
      </c>
      <c r="AN477" t="s">
        <v>4538</v>
      </c>
      <c r="AO477" t="s">
        <v>9627</v>
      </c>
      <c r="AP477" t="s">
        <v>74</v>
      </c>
      <c r="AQ477" t="s">
        <v>74</v>
      </c>
      <c r="AR477" t="s">
        <v>9628</v>
      </c>
      <c r="AS477" t="s">
        <v>9629</v>
      </c>
      <c r="AT477" t="s">
        <v>7760</v>
      </c>
      <c r="AU477">
        <v>2021</v>
      </c>
      <c r="AV477">
        <v>9</v>
      </c>
      <c r="AW477">
        <v>2</v>
      </c>
      <c r="AX477" t="s">
        <v>74</v>
      </c>
      <c r="AY477" t="s">
        <v>74</v>
      </c>
      <c r="AZ477" t="s">
        <v>74</v>
      </c>
      <c r="BA477" t="s">
        <v>74</v>
      </c>
      <c r="BB477" t="s">
        <v>74</v>
      </c>
      <c r="BC477" t="s">
        <v>74</v>
      </c>
      <c r="BD477" t="s">
        <v>9648</v>
      </c>
      <c r="BE477" t="s">
        <v>9649</v>
      </c>
      <c r="BF477" t="str">
        <f>HYPERLINK("http://dx.doi.org/10.1128/Spectrum.00463-21","http://dx.doi.org/10.1128/Spectrum.00463-21")</f>
        <v>http://dx.doi.org/10.1128/Spectrum.00463-21</v>
      </c>
      <c r="BG477" t="s">
        <v>74</v>
      </c>
      <c r="BH477" t="s">
        <v>74</v>
      </c>
      <c r="BI477">
        <v>15</v>
      </c>
      <c r="BJ477" t="s">
        <v>975</v>
      </c>
      <c r="BK477" t="s">
        <v>101</v>
      </c>
      <c r="BL477" t="s">
        <v>975</v>
      </c>
      <c r="BM477" t="s">
        <v>9632</v>
      </c>
      <c r="BN477">
        <v>34643440</v>
      </c>
      <c r="BO477" t="s">
        <v>343</v>
      </c>
      <c r="BP477" t="s">
        <v>74</v>
      </c>
      <c r="BQ477" t="s">
        <v>74</v>
      </c>
      <c r="BR477" t="s">
        <v>105</v>
      </c>
      <c r="BS477" t="s">
        <v>9650</v>
      </c>
      <c r="BT477" t="str">
        <f>HYPERLINK("https%3A%2F%2Fwww.webofscience.com%2Fwos%2Fwoscc%2Ffull-record%2FWOS:000728629300052","View Full Record in Web of Science")</f>
        <v>View Full Record in Web of Science</v>
      </c>
    </row>
    <row r="478" spans="1:72" x14ac:dyDescent="0.15">
      <c r="A478" t="s">
        <v>72</v>
      </c>
      <c r="B478" t="s">
        <v>9651</v>
      </c>
      <c r="C478" t="s">
        <v>74</v>
      </c>
      <c r="D478" t="s">
        <v>74</v>
      </c>
      <c r="E478" t="s">
        <v>74</v>
      </c>
      <c r="F478" t="s">
        <v>9652</v>
      </c>
      <c r="G478" t="s">
        <v>74</v>
      </c>
      <c r="H478" t="s">
        <v>74</v>
      </c>
      <c r="I478" t="s">
        <v>9653</v>
      </c>
      <c r="J478" t="s">
        <v>9654</v>
      </c>
      <c r="K478" t="s">
        <v>74</v>
      </c>
      <c r="L478" t="s">
        <v>74</v>
      </c>
      <c r="M478" t="s">
        <v>78</v>
      </c>
      <c r="N478" t="s">
        <v>79</v>
      </c>
      <c r="O478" t="s">
        <v>74</v>
      </c>
      <c r="P478" t="s">
        <v>74</v>
      </c>
      <c r="Q478" t="s">
        <v>74</v>
      </c>
      <c r="R478" t="s">
        <v>74</v>
      </c>
      <c r="S478" t="s">
        <v>74</v>
      </c>
      <c r="T478" t="s">
        <v>9655</v>
      </c>
      <c r="U478" t="s">
        <v>9656</v>
      </c>
      <c r="V478" t="s">
        <v>9657</v>
      </c>
      <c r="W478" t="s">
        <v>9658</v>
      </c>
      <c r="X478" t="s">
        <v>9659</v>
      </c>
      <c r="Y478" t="s">
        <v>9660</v>
      </c>
      <c r="Z478" t="s">
        <v>9661</v>
      </c>
      <c r="AA478" t="s">
        <v>74</v>
      </c>
      <c r="AB478" t="s">
        <v>74</v>
      </c>
      <c r="AC478" t="s">
        <v>9662</v>
      </c>
      <c r="AD478" t="s">
        <v>9663</v>
      </c>
      <c r="AE478" t="s">
        <v>9664</v>
      </c>
      <c r="AF478" t="s">
        <v>74</v>
      </c>
      <c r="AG478">
        <v>44</v>
      </c>
      <c r="AH478">
        <v>1</v>
      </c>
      <c r="AI478">
        <v>1</v>
      </c>
      <c r="AJ478">
        <v>0</v>
      </c>
      <c r="AK478">
        <v>0</v>
      </c>
      <c r="AL478" t="s">
        <v>9665</v>
      </c>
      <c r="AM478" t="s">
        <v>9666</v>
      </c>
      <c r="AN478" t="s">
        <v>9667</v>
      </c>
      <c r="AO478" t="s">
        <v>9668</v>
      </c>
      <c r="AP478" t="s">
        <v>9669</v>
      </c>
      <c r="AQ478" t="s">
        <v>74</v>
      </c>
      <c r="AR478" t="s">
        <v>9670</v>
      </c>
      <c r="AS478" t="s">
        <v>9671</v>
      </c>
      <c r="AT478" t="s">
        <v>9518</v>
      </c>
      <c r="AU478">
        <v>2021</v>
      </c>
      <c r="AV478">
        <v>92</v>
      </c>
      <c r="AW478" t="s">
        <v>74</v>
      </c>
      <c r="AX478" t="s">
        <v>74</v>
      </c>
      <c r="AY478" t="s">
        <v>74</v>
      </c>
      <c r="AZ478" t="s">
        <v>74</v>
      </c>
      <c r="BA478" t="s">
        <v>74</v>
      </c>
      <c r="BB478" t="s">
        <v>74</v>
      </c>
      <c r="BC478" t="s">
        <v>74</v>
      </c>
      <c r="BD478" t="s">
        <v>9672</v>
      </c>
      <c r="BE478" t="s">
        <v>9673</v>
      </c>
      <c r="BF478" t="str">
        <f>HYPERLINK("http://dx.doi.org/10.22201/ib.20078706e.2021.92.3826","http://dx.doi.org/10.22201/ib.20078706e.2021.92.3826")</f>
        <v>http://dx.doi.org/10.22201/ib.20078706e.2021.92.3826</v>
      </c>
      <c r="BG478" t="s">
        <v>74</v>
      </c>
      <c r="BH478" t="s">
        <v>74</v>
      </c>
      <c r="BI478">
        <v>12</v>
      </c>
      <c r="BJ478" t="s">
        <v>9674</v>
      </c>
      <c r="BK478" t="s">
        <v>101</v>
      </c>
      <c r="BL478" t="s">
        <v>9675</v>
      </c>
      <c r="BM478" t="s">
        <v>9676</v>
      </c>
      <c r="BN478" t="s">
        <v>74</v>
      </c>
      <c r="BO478" t="s">
        <v>239</v>
      </c>
      <c r="BP478" t="s">
        <v>74</v>
      </c>
      <c r="BQ478" t="s">
        <v>74</v>
      </c>
      <c r="BR478" t="s">
        <v>105</v>
      </c>
      <c r="BS478" t="s">
        <v>9677</v>
      </c>
      <c r="BT478" t="str">
        <f>HYPERLINK("https%3A%2F%2Fwww.webofscience.com%2Fwos%2Fwoscc%2Ffull-record%2FWOS:000729456900013","View Full Record in Web of Science")</f>
        <v>View Full Record in Web of Science</v>
      </c>
    </row>
    <row r="479" spans="1:72" x14ac:dyDescent="0.15">
      <c r="A479" t="s">
        <v>72</v>
      </c>
      <c r="B479" t="s">
        <v>9678</v>
      </c>
      <c r="C479" t="s">
        <v>74</v>
      </c>
      <c r="D479" t="s">
        <v>74</v>
      </c>
      <c r="E479" t="s">
        <v>74</v>
      </c>
      <c r="F479" t="s">
        <v>9679</v>
      </c>
      <c r="G479" t="s">
        <v>74</v>
      </c>
      <c r="H479" t="s">
        <v>74</v>
      </c>
      <c r="I479" t="s">
        <v>9680</v>
      </c>
      <c r="J479" t="s">
        <v>9681</v>
      </c>
      <c r="K479" t="s">
        <v>74</v>
      </c>
      <c r="L479" t="s">
        <v>74</v>
      </c>
      <c r="M479" t="s">
        <v>78</v>
      </c>
      <c r="N479" t="s">
        <v>79</v>
      </c>
      <c r="O479" t="s">
        <v>74</v>
      </c>
      <c r="P479" t="s">
        <v>74</v>
      </c>
      <c r="Q479" t="s">
        <v>74</v>
      </c>
      <c r="R479" t="s">
        <v>74</v>
      </c>
      <c r="S479" t="s">
        <v>74</v>
      </c>
      <c r="T479" t="s">
        <v>9682</v>
      </c>
      <c r="U479" t="s">
        <v>9683</v>
      </c>
      <c r="V479" t="s">
        <v>9684</v>
      </c>
      <c r="W479" t="s">
        <v>9685</v>
      </c>
      <c r="X479" t="s">
        <v>9686</v>
      </c>
      <c r="Y479" t="s">
        <v>9687</v>
      </c>
      <c r="Z479" t="s">
        <v>9688</v>
      </c>
      <c r="AA479" t="s">
        <v>9689</v>
      </c>
      <c r="AB479" t="s">
        <v>9690</v>
      </c>
      <c r="AC479" t="s">
        <v>9691</v>
      </c>
      <c r="AD479" t="s">
        <v>9692</v>
      </c>
      <c r="AE479" t="s">
        <v>9693</v>
      </c>
      <c r="AF479" t="s">
        <v>74</v>
      </c>
      <c r="AG479">
        <v>93</v>
      </c>
      <c r="AH479">
        <v>11</v>
      </c>
      <c r="AI479">
        <v>11</v>
      </c>
      <c r="AJ479">
        <v>5</v>
      </c>
      <c r="AK479">
        <v>31</v>
      </c>
      <c r="AL479" t="s">
        <v>169</v>
      </c>
      <c r="AM479" t="s">
        <v>170</v>
      </c>
      <c r="AN479" t="s">
        <v>171</v>
      </c>
      <c r="AO479" t="s">
        <v>9694</v>
      </c>
      <c r="AP479" t="s">
        <v>9695</v>
      </c>
      <c r="AQ479" t="s">
        <v>74</v>
      </c>
      <c r="AR479" t="s">
        <v>9696</v>
      </c>
      <c r="AS479" t="s">
        <v>9697</v>
      </c>
      <c r="AT479" t="s">
        <v>7760</v>
      </c>
      <c r="AU479">
        <v>2021</v>
      </c>
      <c r="AV479">
        <v>40</v>
      </c>
      <c r="AW479">
        <v>10</v>
      </c>
      <c r="AX479" t="s">
        <v>74</v>
      </c>
      <c r="AY479" t="s">
        <v>74</v>
      </c>
      <c r="AZ479" t="s">
        <v>74</v>
      </c>
      <c r="BA479" t="s">
        <v>74</v>
      </c>
      <c r="BB479">
        <v>1</v>
      </c>
      <c r="BC479">
        <v>16</v>
      </c>
      <c r="BD479" t="s">
        <v>74</v>
      </c>
      <c r="BE479" t="s">
        <v>9698</v>
      </c>
      <c r="BF479" t="str">
        <f>HYPERLINK("http://dx.doi.org/10.1007/s13131-021-1881-4","http://dx.doi.org/10.1007/s13131-021-1881-4")</f>
        <v>http://dx.doi.org/10.1007/s13131-021-1881-4</v>
      </c>
      <c r="BG479" t="s">
        <v>74</v>
      </c>
      <c r="BH479" t="s">
        <v>74</v>
      </c>
      <c r="BI479">
        <v>16</v>
      </c>
      <c r="BJ479" t="s">
        <v>264</v>
      </c>
      <c r="BK479" t="s">
        <v>101</v>
      </c>
      <c r="BL479" t="s">
        <v>264</v>
      </c>
      <c r="BM479" t="s">
        <v>9699</v>
      </c>
      <c r="BN479" t="s">
        <v>74</v>
      </c>
      <c r="BO479" t="s">
        <v>74</v>
      </c>
      <c r="BP479" t="s">
        <v>74</v>
      </c>
      <c r="BQ479" t="s">
        <v>74</v>
      </c>
      <c r="BR479" t="s">
        <v>105</v>
      </c>
      <c r="BS479" t="s">
        <v>9700</v>
      </c>
      <c r="BT479" t="str">
        <f>HYPERLINK("https%3A%2F%2Fwww.webofscience.com%2Fwos%2Fwoscc%2Ffull-record%2FWOS:000724005600001","View Full Record in Web of Science")</f>
        <v>View Full Record in Web of Science</v>
      </c>
    </row>
    <row r="480" spans="1:72" x14ac:dyDescent="0.15">
      <c r="A480" t="s">
        <v>72</v>
      </c>
      <c r="B480" t="s">
        <v>9701</v>
      </c>
      <c r="C480" t="s">
        <v>74</v>
      </c>
      <c r="D480" t="s">
        <v>74</v>
      </c>
      <c r="E480" t="s">
        <v>74</v>
      </c>
      <c r="F480" t="s">
        <v>9702</v>
      </c>
      <c r="G480" t="s">
        <v>74</v>
      </c>
      <c r="H480" t="s">
        <v>74</v>
      </c>
      <c r="I480" t="s">
        <v>9703</v>
      </c>
      <c r="J480" t="s">
        <v>9704</v>
      </c>
      <c r="K480" t="s">
        <v>74</v>
      </c>
      <c r="L480" t="s">
        <v>74</v>
      </c>
      <c r="M480" t="s">
        <v>9705</v>
      </c>
      <c r="N480" t="s">
        <v>79</v>
      </c>
      <c r="O480" t="s">
        <v>74</v>
      </c>
      <c r="P480" t="s">
        <v>74</v>
      </c>
      <c r="Q480" t="s">
        <v>74</v>
      </c>
      <c r="R480" t="s">
        <v>74</v>
      </c>
      <c r="S480" t="s">
        <v>74</v>
      </c>
      <c r="T480" t="s">
        <v>9706</v>
      </c>
      <c r="U480" t="s">
        <v>9707</v>
      </c>
      <c r="V480" t="s">
        <v>9708</v>
      </c>
      <c r="W480" t="s">
        <v>9709</v>
      </c>
      <c r="X480" t="s">
        <v>9710</v>
      </c>
      <c r="Y480" t="s">
        <v>9711</v>
      </c>
      <c r="Z480" t="s">
        <v>9712</v>
      </c>
      <c r="AA480" t="s">
        <v>74</v>
      </c>
      <c r="AB480" t="s">
        <v>9713</v>
      </c>
      <c r="AC480" t="s">
        <v>74</v>
      </c>
      <c r="AD480" t="s">
        <v>74</v>
      </c>
      <c r="AE480" t="s">
        <v>74</v>
      </c>
      <c r="AF480" t="s">
        <v>74</v>
      </c>
      <c r="AG480">
        <v>21</v>
      </c>
      <c r="AH480">
        <v>0</v>
      </c>
      <c r="AI480">
        <v>0</v>
      </c>
      <c r="AJ480">
        <v>0</v>
      </c>
      <c r="AK480">
        <v>1</v>
      </c>
      <c r="AL480" t="s">
        <v>9714</v>
      </c>
      <c r="AM480" t="s">
        <v>9715</v>
      </c>
      <c r="AN480" t="s">
        <v>9716</v>
      </c>
      <c r="AO480" t="s">
        <v>9717</v>
      </c>
      <c r="AP480" t="s">
        <v>9718</v>
      </c>
      <c r="AQ480" t="s">
        <v>74</v>
      </c>
      <c r="AR480" t="s">
        <v>9719</v>
      </c>
      <c r="AS480" t="s">
        <v>9720</v>
      </c>
      <c r="AT480" t="s">
        <v>7760</v>
      </c>
      <c r="AU480">
        <v>2021</v>
      </c>
      <c r="AV480">
        <v>57</v>
      </c>
      <c r="AW480">
        <v>5</v>
      </c>
      <c r="AX480" t="s">
        <v>74</v>
      </c>
      <c r="AY480" t="s">
        <v>74</v>
      </c>
      <c r="AZ480" t="s">
        <v>74</v>
      </c>
      <c r="BA480" t="s">
        <v>74</v>
      </c>
      <c r="BB480">
        <v>717</v>
      </c>
      <c r="BC480">
        <v>726</v>
      </c>
      <c r="BD480" t="s">
        <v>74</v>
      </c>
      <c r="BE480" t="s">
        <v>9721</v>
      </c>
      <c r="BF480" t="str">
        <f>HYPERLINK("http://dx.doi.org/10.14770/jgsk.2021.57.5.717","http://dx.doi.org/10.14770/jgsk.2021.57.5.717")</f>
        <v>http://dx.doi.org/10.14770/jgsk.2021.57.5.717</v>
      </c>
      <c r="BG480" t="s">
        <v>74</v>
      </c>
      <c r="BH480" t="s">
        <v>74</v>
      </c>
      <c r="BI480">
        <v>10</v>
      </c>
      <c r="BJ480" t="s">
        <v>236</v>
      </c>
      <c r="BK480" t="s">
        <v>1629</v>
      </c>
      <c r="BL480" t="s">
        <v>237</v>
      </c>
      <c r="BM480" t="s">
        <v>9722</v>
      </c>
      <c r="BN480" t="s">
        <v>74</v>
      </c>
      <c r="BO480" t="s">
        <v>74</v>
      </c>
      <c r="BP480" t="s">
        <v>74</v>
      </c>
      <c r="BQ480" t="s">
        <v>74</v>
      </c>
      <c r="BR480" t="s">
        <v>105</v>
      </c>
      <c r="BS480" t="s">
        <v>9723</v>
      </c>
      <c r="BT480" t="str">
        <f>HYPERLINK("https%3A%2F%2Fwww.webofscience.com%2Fwos%2Fwoscc%2Ffull-record%2FWOS:000724258300006","View Full Record in Web of Science")</f>
        <v>View Full Record in Web of Science</v>
      </c>
    </row>
    <row r="481" spans="1:72" x14ac:dyDescent="0.15">
      <c r="A481" t="s">
        <v>72</v>
      </c>
      <c r="B481" t="s">
        <v>9724</v>
      </c>
      <c r="C481" t="s">
        <v>74</v>
      </c>
      <c r="D481" t="s">
        <v>74</v>
      </c>
      <c r="E481" t="s">
        <v>74</v>
      </c>
      <c r="F481" t="s">
        <v>9725</v>
      </c>
      <c r="G481" t="s">
        <v>74</v>
      </c>
      <c r="H481" t="s">
        <v>74</v>
      </c>
      <c r="I481" t="s">
        <v>9726</v>
      </c>
      <c r="J481" t="s">
        <v>9727</v>
      </c>
      <c r="K481" t="s">
        <v>74</v>
      </c>
      <c r="L481" t="s">
        <v>74</v>
      </c>
      <c r="M481" t="s">
        <v>78</v>
      </c>
      <c r="N481" t="s">
        <v>79</v>
      </c>
      <c r="O481" t="s">
        <v>74</v>
      </c>
      <c r="P481" t="s">
        <v>74</v>
      </c>
      <c r="Q481" t="s">
        <v>74</v>
      </c>
      <c r="R481" t="s">
        <v>74</v>
      </c>
      <c r="S481" t="s">
        <v>74</v>
      </c>
      <c r="T481" t="s">
        <v>9728</v>
      </c>
      <c r="U481" t="s">
        <v>74</v>
      </c>
      <c r="V481" t="s">
        <v>9729</v>
      </c>
      <c r="W481" t="s">
        <v>9730</v>
      </c>
      <c r="X481" t="s">
        <v>74</v>
      </c>
      <c r="Y481" t="s">
        <v>9731</v>
      </c>
      <c r="Z481" t="s">
        <v>9732</v>
      </c>
      <c r="AA481" t="s">
        <v>74</v>
      </c>
      <c r="AB481" t="s">
        <v>74</v>
      </c>
      <c r="AC481" t="s">
        <v>74</v>
      </c>
      <c r="AD481" t="s">
        <v>74</v>
      </c>
      <c r="AE481" t="s">
        <v>74</v>
      </c>
      <c r="AF481" t="s">
        <v>74</v>
      </c>
      <c r="AG481">
        <v>52</v>
      </c>
      <c r="AH481">
        <v>0</v>
      </c>
      <c r="AI481">
        <v>0</v>
      </c>
      <c r="AJ481">
        <v>2</v>
      </c>
      <c r="AK481">
        <v>11</v>
      </c>
      <c r="AL481" t="s">
        <v>9733</v>
      </c>
      <c r="AM481" t="s">
        <v>9734</v>
      </c>
      <c r="AN481" t="s">
        <v>9735</v>
      </c>
      <c r="AO481" t="s">
        <v>9736</v>
      </c>
      <c r="AP481" t="s">
        <v>9737</v>
      </c>
      <c r="AQ481" t="s">
        <v>74</v>
      </c>
      <c r="AR481" t="s">
        <v>9738</v>
      </c>
      <c r="AS481" t="s">
        <v>9739</v>
      </c>
      <c r="AT481" t="s">
        <v>7760</v>
      </c>
      <c r="AU481">
        <v>2021</v>
      </c>
      <c r="AV481">
        <v>6</v>
      </c>
      <c r="AW481">
        <v>2</v>
      </c>
      <c r="AX481" t="s">
        <v>74</v>
      </c>
      <c r="AY481" t="s">
        <v>74</v>
      </c>
      <c r="AZ481" t="s">
        <v>74</v>
      </c>
      <c r="BA481" t="s">
        <v>74</v>
      </c>
      <c r="BB481">
        <v>221</v>
      </c>
      <c r="BC481">
        <v>246</v>
      </c>
      <c r="BD481" t="s">
        <v>74</v>
      </c>
      <c r="BE481" t="s">
        <v>9740</v>
      </c>
      <c r="BF481" t="str">
        <f>HYPERLINK("http://dx.doi.org/10.1163/24519391-06020004","http://dx.doi.org/10.1163/24519391-06020004")</f>
        <v>http://dx.doi.org/10.1163/24519391-06020004</v>
      </c>
      <c r="BG481" t="s">
        <v>74</v>
      </c>
      <c r="BH481" t="s">
        <v>74</v>
      </c>
      <c r="BI481">
        <v>26</v>
      </c>
      <c r="BJ481" t="s">
        <v>9741</v>
      </c>
      <c r="BK481" t="s">
        <v>1629</v>
      </c>
      <c r="BL481" t="s">
        <v>2300</v>
      </c>
      <c r="BM481" t="s">
        <v>9742</v>
      </c>
      <c r="BN481" t="s">
        <v>74</v>
      </c>
      <c r="BO481" t="s">
        <v>74</v>
      </c>
      <c r="BP481" t="s">
        <v>74</v>
      </c>
      <c r="BQ481" t="s">
        <v>74</v>
      </c>
      <c r="BR481" t="s">
        <v>105</v>
      </c>
      <c r="BS481" t="s">
        <v>9743</v>
      </c>
      <c r="BT481" t="str">
        <f>HYPERLINK("https%3A%2F%2Fwww.webofscience.com%2Fwos%2Fwoscc%2Ffull-record%2FWOS:000717637900005","View Full Record in Web of Science")</f>
        <v>View Full Record in Web of Science</v>
      </c>
    </row>
    <row r="482" spans="1:72" x14ac:dyDescent="0.15">
      <c r="A482" t="s">
        <v>72</v>
      </c>
      <c r="B482" t="s">
        <v>9744</v>
      </c>
      <c r="C482" t="s">
        <v>74</v>
      </c>
      <c r="D482" t="s">
        <v>74</v>
      </c>
      <c r="E482" t="s">
        <v>74</v>
      </c>
      <c r="F482" t="s">
        <v>9745</v>
      </c>
      <c r="G482" t="s">
        <v>74</v>
      </c>
      <c r="H482" t="s">
        <v>74</v>
      </c>
      <c r="I482" t="s">
        <v>9746</v>
      </c>
      <c r="J482" t="s">
        <v>6143</v>
      </c>
      <c r="K482" t="s">
        <v>74</v>
      </c>
      <c r="L482" t="s">
        <v>74</v>
      </c>
      <c r="M482" t="s">
        <v>78</v>
      </c>
      <c r="N482" t="s">
        <v>1764</v>
      </c>
      <c r="O482" t="s">
        <v>74</v>
      </c>
      <c r="P482" t="s">
        <v>74</v>
      </c>
      <c r="Q482" t="s">
        <v>74</v>
      </c>
      <c r="R482" t="s">
        <v>74</v>
      </c>
      <c r="S482" t="s">
        <v>74</v>
      </c>
      <c r="T482" t="s">
        <v>74</v>
      </c>
      <c r="U482" t="s">
        <v>74</v>
      </c>
      <c r="V482" t="s">
        <v>74</v>
      </c>
      <c r="W482" t="s">
        <v>9747</v>
      </c>
      <c r="X482" t="s">
        <v>940</v>
      </c>
      <c r="Y482" t="s">
        <v>9748</v>
      </c>
      <c r="Z482" t="s">
        <v>74</v>
      </c>
      <c r="AA482" t="s">
        <v>74</v>
      </c>
      <c r="AB482" t="s">
        <v>74</v>
      </c>
      <c r="AC482" t="s">
        <v>74</v>
      </c>
      <c r="AD482" t="s">
        <v>74</v>
      </c>
      <c r="AE482" t="s">
        <v>74</v>
      </c>
      <c r="AF482" t="s">
        <v>74</v>
      </c>
      <c r="AG482">
        <v>0</v>
      </c>
      <c r="AH482">
        <v>0</v>
      </c>
      <c r="AI482">
        <v>0</v>
      </c>
      <c r="AJ482">
        <v>0</v>
      </c>
      <c r="AK482">
        <v>2</v>
      </c>
      <c r="AL482" t="s">
        <v>666</v>
      </c>
      <c r="AM482" t="s">
        <v>170</v>
      </c>
      <c r="AN482" t="s">
        <v>667</v>
      </c>
      <c r="AO482" t="s">
        <v>6156</v>
      </c>
      <c r="AP482" t="s">
        <v>6157</v>
      </c>
      <c r="AQ482" t="s">
        <v>74</v>
      </c>
      <c r="AR482" t="s">
        <v>6158</v>
      </c>
      <c r="AS482" t="s">
        <v>6159</v>
      </c>
      <c r="AT482" t="s">
        <v>7760</v>
      </c>
      <c r="AU482">
        <v>2021</v>
      </c>
      <c r="AV482">
        <v>33</v>
      </c>
      <c r="AW482">
        <v>5</v>
      </c>
      <c r="AX482" t="s">
        <v>74</v>
      </c>
      <c r="AY482" t="s">
        <v>74</v>
      </c>
      <c r="AZ482" t="s">
        <v>74</v>
      </c>
      <c r="BA482" t="s">
        <v>74</v>
      </c>
      <c r="BB482">
        <v>457</v>
      </c>
      <c r="BC482">
        <v>458</v>
      </c>
      <c r="BD482" t="s">
        <v>9749</v>
      </c>
      <c r="BE482" t="s">
        <v>9750</v>
      </c>
      <c r="BF482" t="str">
        <f>HYPERLINK("http://dx.doi.org/10.1017/S0954102021000481","http://dx.doi.org/10.1017/S0954102021000481")</f>
        <v>http://dx.doi.org/10.1017/S0954102021000481</v>
      </c>
      <c r="BG482" t="s">
        <v>74</v>
      </c>
      <c r="BH482" t="s">
        <v>74</v>
      </c>
      <c r="BI482">
        <v>2</v>
      </c>
      <c r="BJ482" t="s">
        <v>6161</v>
      </c>
      <c r="BK482" t="s">
        <v>101</v>
      </c>
      <c r="BL482" t="s">
        <v>6162</v>
      </c>
      <c r="BM482" t="s">
        <v>9751</v>
      </c>
      <c r="BN482" t="s">
        <v>74</v>
      </c>
      <c r="BO482" t="s">
        <v>2217</v>
      </c>
      <c r="BP482" t="s">
        <v>74</v>
      </c>
      <c r="BQ482" t="s">
        <v>74</v>
      </c>
      <c r="BR482" t="s">
        <v>105</v>
      </c>
      <c r="BS482" t="s">
        <v>9752</v>
      </c>
      <c r="BT482" t="str">
        <f>HYPERLINK("https%3A%2F%2Fwww.webofscience.com%2Fwos%2Fwoscc%2Ffull-record%2FWOS:000721331200003","View Full Record in Web of Science")</f>
        <v>View Full Record in Web of Science</v>
      </c>
    </row>
    <row r="483" spans="1:72" x14ac:dyDescent="0.15">
      <c r="A483" t="s">
        <v>72</v>
      </c>
      <c r="B483" t="s">
        <v>9753</v>
      </c>
      <c r="C483" t="s">
        <v>74</v>
      </c>
      <c r="D483" t="s">
        <v>74</v>
      </c>
      <c r="E483" t="s">
        <v>74</v>
      </c>
      <c r="F483" t="s">
        <v>9754</v>
      </c>
      <c r="G483" t="s">
        <v>74</v>
      </c>
      <c r="H483" t="s">
        <v>74</v>
      </c>
      <c r="I483" t="s">
        <v>9755</v>
      </c>
      <c r="J483" t="s">
        <v>6143</v>
      </c>
      <c r="K483" t="s">
        <v>74</v>
      </c>
      <c r="L483" t="s">
        <v>74</v>
      </c>
      <c r="M483" t="s">
        <v>78</v>
      </c>
      <c r="N483" t="s">
        <v>79</v>
      </c>
      <c r="O483" t="s">
        <v>74</v>
      </c>
      <c r="P483" t="s">
        <v>74</v>
      </c>
      <c r="Q483" t="s">
        <v>74</v>
      </c>
      <c r="R483" t="s">
        <v>74</v>
      </c>
      <c r="S483" t="s">
        <v>74</v>
      </c>
      <c r="T483" t="s">
        <v>9756</v>
      </c>
      <c r="U483" t="s">
        <v>9757</v>
      </c>
      <c r="V483" t="s">
        <v>9758</v>
      </c>
      <c r="W483" t="s">
        <v>9759</v>
      </c>
      <c r="X483" t="s">
        <v>9760</v>
      </c>
      <c r="Y483" t="s">
        <v>9761</v>
      </c>
      <c r="Z483" t="s">
        <v>9762</v>
      </c>
      <c r="AA483" t="s">
        <v>9763</v>
      </c>
      <c r="AB483" t="s">
        <v>9764</v>
      </c>
      <c r="AC483" t="s">
        <v>9765</v>
      </c>
      <c r="AD483" t="s">
        <v>9766</v>
      </c>
      <c r="AE483" t="s">
        <v>9767</v>
      </c>
      <c r="AF483" t="s">
        <v>74</v>
      </c>
      <c r="AG483">
        <v>40</v>
      </c>
      <c r="AH483">
        <v>2</v>
      </c>
      <c r="AI483">
        <v>2</v>
      </c>
      <c r="AJ483">
        <v>2</v>
      </c>
      <c r="AK483">
        <v>7</v>
      </c>
      <c r="AL483" t="s">
        <v>666</v>
      </c>
      <c r="AM483" t="s">
        <v>170</v>
      </c>
      <c r="AN483" t="s">
        <v>667</v>
      </c>
      <c r="AO483" t="s">
        <v>6156</v>
      </c>
      <c r="AP483" t="s">
        <v>6157</v>
      </c>
      <c r="AQ483" t="s">
        <v>74</v>
      </c>
      <c r="AR483" t="s">
        <v>6158</v>
      </c>
      <c r="AS483" t="s">
        <v>6159</v>
      </c>
      <c r="AT483" t="s">
        <v>7760</v>
      </c>
      <c r="AU483">
        <v>2021</v>
      </c>
      <c r="AV483">
        <v>33</v>
      </c>
      <c r="AW483">
        <v>5</v>
      </c>
      <c r="AX483" t="s">
        <v>74</v>
      </c>
      <c r="AY483" t="s">
        <v>74</v>
      </c>
      <c r="AZ483" t="s">
        <v>74</v>
      </c>
      <c r="BA483" t="s">
        <v>74</v>
      </c>
      <c r="BB483">
        <v>459</v>
      </c>
      <c r="BC483">
        <v>468</v>
      </c>
      <c r="BD483" t="s">
        <v>9768</v>
      </c>
      <c r="BE483" t="s">
        <v>9769</v>
      </c>
      <c r="BF483" t="str">
        <f>HYPERLINK("http://dx.doi.org/10.1017/S0954102021000195","http://dx.doi.org/10.1017/S0954102021000195")</f>
        <v>http://dx.doi.org/10.1017/S0954102021000195</v>
      </c>
      <c r="BG483" t="s">
        <v>74</v>
      </c>
      <c r="BH483" t="s">
        <v>74</v>
      </c>
      <c r="BI483">
        <v>10</v>
      </c>
      <c r="BJ483" t="s">
        <v>6161</v>
      </c>
      <c r="BK483" t="s">
        <v>101</v>
      </c>
      <c r="BL483" t="s">
        <v>6162</v>
      </c>
      <c r="BM483" t="s">
        <v>9751</v>
      </c>
      <c r="BN483" t="s">
        <v>74</v>
      </c>
      <c r="BO483" t="s">
        <v>180</v>
      </c>
      <c r="BP483" t="s">
        <v>74</v>
      </c>
      <c r="BQ483" t="s">
        <v>74</v>
      </c>
      <c r="BR483" t="s">
        <v>105</v>
      </c>
      <c r="BS483" t="s">
        <v>9770</v>
      </c>
      <c r="BT483" t="str">
        <f>HYPERLINK("https%3A%2F%2Fwww.webofscience.com%2Fwos%2Fwoscc%2Ffull-record%2FWOS:000721331200004","View Full Record in Web of Science")</f>
        <v>View Full Record in Web of Science</v>
      </c>
    </row>
    <row r="484" spans="1:72" x14ac:dyDescent="0.15">
      <c r="A484" t="s">
        <v>72</v>
      </c>
      <c r="B484" t="s">
        <v>9771</v>
      </c>
      <c r="C484" t="s">
        <v>74</v>
      </c>
      <c r="D484" t="s">
        <v>74</v>
      </c>
      <c r="E484" t="s">
        <v>74</v>
      </c>
      <c r="F484" t="s">
        <v>9772</v>
      </c>
      <c r="G484" t="s">
        <v>74</v>
      </c>
      <c r="H484" t="s">
        <v>74</v>
      </c>
      <c r="I484" t="s">
        <v>9773</v>
      </c>
      <c r="J484" t="s">
        <v>6143</v>
      </c>
      <c r="K484" t="s">
        <v>74</v>
      </c>
      <c r="L484" t="s">
        <v>74</v>
      </c>
      <c r="M484" t="s">
        <v>78</v>
      </c>
      <c r="N484" t="s">
        <v>79</v>
      </c>
      <c r="O484" t="s">
        <v>74</v>
      </c>
      <c r="P484" t="s">
        <v>74</v>
      </c>
      <c r="Q484" t="s">
        <v>74</v>
      </c>
      <c r="R484" t="s">
        <v>74</v>
      </c>
      <c r="S484" t="s">
        <v>74</v>
      </c>
      <c r="T484" t="s">
        <v>9774</v>
      </c>
      <c r="U484" t="s">
        <v>9775</v>
      </c>
      <c r="V484" t="s">
        <v>9776</v>
      </c>
      <c r="W484" t="s">
        <v>9777</v>
      </c>
      <c r="X484" t="s">
        <v>9778</v>
      </c>
      <c r="Y484" t="s">
        <v>9779</v>
      </c>
      <c r="Z484" t="s">
        <v>9780</v>
      </c>
      <c r="AA484" t="s">
        <v>9781</v>
      </c>
      <c r="AB484" t="s">
        <v>9782</v>
      </c>
      <c r="AC484" t="s">
        <v>9783</v>
      </c>
      <c r="AD484" t="s">
        <v>9784</v>
      </c>
      <c r="AE484" t="s">
        <v>9785</v>
      </c>
      <c r="AF484" t="s">
        <v>74</v>
      </c>
      <c r="AG484">
        <v>69</v>
      </c>
      <c r="AH484">
        <v>9</v>
      </c>
      <c r="AI484">
        <v>9</v>
      </c>
      <c r="AJ484">
        <v>3</v>
      </c>
      <c r="AK484">
        <v>22</v>
      </c>
      <c r="AL484" t="s">
        <v>666</v>
      </c>
      <c r="AM484" t="s">
        <v>170</v>
      </c>
      <c r="AN484" t="s">
        <v>667</v>
      </c>
      <c r="AO484" t="s">
        <v>6156</v>
      </c>
      <c r="AP484" t="s">
        <v>6157</v>
      </c>
      <c r="AQ484" t="s">
        <v>74</v>
      </c>
      <c r="AR484" t="s">
        <v>6158</v>
      </c>
      <c r="AS484" t="s">
        <v>6159</v>
      </c>
      <c r="AT484" t="s">
        <v>7760</v>
      </c>
      <c r="AU484">
        <v>2021</v>
      </c>
      <c r="AV484">
        <v>33</v>
      </c>
      <c r="AW484">
        <v>5</v>
      </c>
      <c r="AX484" t="s">
        <v>74</v>
      </c>
      <c r="AY484" t="s">
        <v>74</v>
      </c>
      <c r="AZ484" t="s">
        <v>74</v>
      </c>
      <c r="BA484" t="s">
        <v>74</v>
      </c>
      <c r="BB484">
        <v>469</v>
      </c>
      <c r="BC484">
        <v>478</v>
      </c>
      <c r="BD484" t="s">
        <v>9786</v>
      </c>
      <c r="BE484" t="s">
        <v>9787</v>
      </c>
      <c r="BF484" t="str">
        <f>HYPERLINK("http://dx.doi.org/10.1017/S0954102021000274","http://dx.doi.org/10.1017/S0954102021000274")</f>
        <v>http://dx.doi.org/10.1017/S0954102021000274</v>
      </c>
      <c r="BG484" t="s">
        <v>74</v>
      </c>
      <c r="BH484" t="s">
        <v>74</v>
      </c>
      <c r="BI484">
        <v>10</v>
      </c>
      <c r="BJ484" t="s">
        <v>6161</v>
      </c>
      <c r="BK484" t="s">
        <v>101</v>
      </c>
      <c r="BL484" t="s">
        <v>6162</v>
      </c>
      <c r="BM484" t="s">
        <v>9751</v>
      </c>
      <c r="BN484" t="s">
        <v>74</v>
      </c>
      <c r="BO484" t="s">
        <v>74</v>
      </c>
      <c r="BP484" t="s">
        <v>74</v>
      </c>
      <c r="BQ484" t="s">
        <v>74</v>
      </c>
      <c r="BR484" t="s">
        <v>105</v>
      </c>
      <c r="BS484" t="s">
        <v>9788</v>
      </c>
      <c r="BT484" t="str">
        <f>HYPERLINK("https%3A%2F%2Fwww.webofscience.com%2Fwos%2Fwoscc%2Ffull-record%2FWOS:000721331200005","View Full Record in Web of Science")</f>
        <v>View Full Record in Web of Science</v>
      </c>
    </row>
    <row r="485" spans="1:72" x14ac:dyDescent="0.15">
      <c r="A485" t="s">
        <v>72</v>
      </c>
      <c r="B485" t="s">
        <v>9789</v>
      </c>
      <c r="C485" t="s">
        <v>74</v>
      </c>
      <c r="D485" t="s">
        <v>74</v>
      </c>
      <c r="E485" t="s">
        <v>74</v>
      </c>
      <c r="F485" t="s">
        <v>9790</v>
      </c>
      <c r="G485" t="s">
        <v>74</v>
      </c>
      <c r="H485" t="s">
        <v>74</v>
      </c>
      <c r="I485" t="s">
        <v>9791</v>
      </c>
      <c r="J485" t="s">
        <v>6143</v>
      </c>
      <c r="K485" t="s">
        <v>74</v>
      </c>
      <c r="L485" t="s">
        <v>74</v>
      </c>
      <c r="M485" t="s">
        <v>78</v>
      </c>
      <c r="N485" t="s">
        <v>79</v>
      </c>
      <c r="O485" t="s">
        <v>74</v>
      </c>
      <c r="P485" t="s">
        <v>74</v>
      </c>
      <c r="Q485" t="s">
        <v>74</v>
      </c>
      <c r="R485" t="s">
        <v>74</v>
      </c>
      <c r="S485" t="s">
        <v>74</v>
      </c>
      <c r="T485" t="s">
        <v>9792</v>
      </c>
      <c r="U485" t="s">
        <v>9793</v>
      </c>
      <c r="V485" t="s">
        <v>9794</v>
      </c>
      <c r="W485" t="s">
        <v>9795</v>
      </c>
      <c r="X485" t="s">
        <v>9796</v>
      </c>
      <c r="Y485" t="s">
        <v>9797</v>
      </c>
      <c r="Z485" t="s">
        <v>9798</v>
      </c>
      <c r="AA485" t="s">
        <v>9799</v>
      </c>
      <c r="AB485" t="s">
        <v>9800</v>
      </c>
      <c r="AC485" t="s">
        <v>9801</v>
      </c>
      <c r="AD485" t="s">
        <v>9802</v>
      </c>
      <c r="AE485" t="s">
        <v>9803</v>
      </c>
      <c r="AF485" t="s">
        <v>74</v>
      </c>
      <c r="AG485">
        <v>67</v>
      </c>
      <c r="AH485">
        <v>1</v>
      </c>
      <c r="AI485">
        <v>1</v>
      </c>
      <c r="AJ485">
        <v>1</v>
      </c>
      <c r="AK485">
        <v>7</v>
      </c>
      <c r="AL485" t="s">
        <v>666</v>
      </c>
      <c r="AM485" t="s">
        <v>170</v>
      </c>
      <c r="AN485" t="s">
        <v>667</v>
      </c>
      <c r="AO485" t="s">
        <v>6156</v>
      </c>
      <c r="AP485" t="s">
        <v>6157</v>
      </c>
      <c r="AQ485" t="s">
        <v>74</v>
      </c>
      <c r="AR485" t="s">
        <v>6158</v>
      </c>
      <c r="AS485" t="s">
        <v>6159</v>
      </c>
      <c r="AT485" t="s">
        <v>7760</v>
      </c>
      <c r="AU485">
        <v>2021</v>
      </c>
      <c r="AV485">
        <v>33</v>
      </c>
      <c r="AW485">
        <v>5</v>
      </c>
      <c r="AX485" t="s">
        <v>74</v>
      </c>
      <c r="AY485" t="s">
        <v>74</v>
      </c>
      <c r="AZ485" t="s">
        <v>74</v>
      </c>
      <c r="BA485" t="s">
        <v>74</v>
      </c>
      <c r="BB485">
        <v>479</v>
      </c>
      <c r="BC485">
        <v>492</v>
      </c>
      <c r="BD485" t="s">
        <v>9804</v>
      </c>
      <c r="BE485" t="s">
        <v>9805</v>
      </c>
      <c r="BF485" t="str">
        <f>HYPERLINK("http://dx.doi.org/10.1017/S0954102021000304","http://dx.doi.org/10.1017/S0954102021000304")</f>
        <v>http://dx.doi.org/10.1017/S0954102021000304</v>
      </c>
      <c r="BG485" t="s">
        <v>74</v>
      </c>
      <c r="BH485" t="s">
        <v>74</v>
      </c>
      <c r="BI485">
        <v>14</v>
      </c>
      <c r="BJ485" t="s">
        <v>6161</v>
      </c>
      <c r="BK485" t="s">
        <v>101</v>
      </c>
      <c r="BL485" t="s">
        <v>6162</v>
      </c>
      <c r="BM485" t="s">
        <v>9751</v>
      </c>
      <c r="BN485" t="s">
        <v>74</v>
      </c>
      <c r="BO485" t="s">
        <v>74</v>
      </c>
      <c r="BP485" t="s">
        <v>74</v>
      </c>
      <c r="BQ485" t="s">
        <v>74</v>
      </c>
      <c r="BR485" t="s">
        <v>105</v>
      </c>
      <c r="BS485" t="s">
        <v>9806</v>
      </c>
      <c r="BT485" t="str">
        <f>HYPERLINK("https%3A%2F%2Fwww.webofscience.com%2Fwos%2Fwoscc%2Ffull-record%2FWOS:000721331200006","View Full Record in Web of Science")</f>
        <v>View Full Record in Web of Science</v>
      </c>
    </row>
    <row r="486" spans="1:72" x14ac:dyDescent="0.15">
      <c r="A486" t="s">
        <v>72</v>
      </c>
      <c r="B486" t="s">
        <v>9807</v>
      </c>
      <c r="C486" t="s">
        <v>74</v>
      </c>
      <c r="D486" t="s">
        <v>74</v>
      </c>
      <c r="E486" t="s">
        <v>74</v>
      </c>
      <c r="F486" t="s">
        <v>9808</v>
      </c>
      <c r="G486" t="s">
        <v>74</v>
      </c>
      <c r="H486" t="s">
        <v>74</v>
      </c>
      <c r="I486" t="s">
        <v>9809</v>
      </c>
      <c r="J486" t="s">
        <v>6143</v>
      </c>
      <c r="K486" t="s">
        <v>74</v>
      </c>
      <c r="L486" t="s">
        <v>74</v>
      </c>
      <c r="M486" t="s">
        <v>78</v>
      </c>
      <c r="N486" t="s">
        <v>79</v>
      </c>
      <c r="O486" t="s">
        <v>74</v>
      </c>
      <c r="P486" t="s">
        <v>74</v>
      </c>
      <c r="Q486" t="s">
        <v>74</v>
      </c>
      <c r="R486" t="s">
        <v>74</v>
      </c>
      <c r="S486" t="s">
        <v>74</v>
      </c>
      <c r="T486" t="s">
        <v>9810</v>
      </c>
      <c r="U486" t="s">
        <v>9811</v>
      </c>
      <c r="V486" t="s">
        <v>9812</v>
      </c>
      <c r="W486" t="s">
        <v>9813</v>
      </c>
      <c r="X486" t="s">
        <v>9814</v>
      </c>
      <c r="Y486" t="s">
        <v>9815</v>
      </c>
      <c r="Z486" t="s">
        <v>9816</v>
      </c>
      <c r="AA486" t="s">
        <v>9817</v>
      </c>
      <c r="AB486" t="s">
        <v>9818</v>
      </c>
      <c r="AC486" t="s">
        <v>9819</v>
      </c>
      <c r="AD486" t="s">
        <v>9820</v>
      </c>
      <c r="AE486" t="s">
        <v>9821</v>
      </c>
      <c r="AF486" t="s">
        <v>74</v>
      </c>
      <c r="AG486">
        <v>30</v>
      </c>
      <c r="AH486">
        <v>0</v>
      </c>
      <c r="AI486">
        <v>0</v>
      </c>
      <c r="AJ486">
        <v>1</v>
      </c>
      <c r="AK486">
        <v>5</v>
      </c>
      <c r="AL486" t="s">
        <v>666</v>
      </c>
      <c r="AM486" t="s">
        <v>170</v>
      </c>
      <c r="AN486" t="s">
        <v>667</v>
      </c>
      <c r="AO486" t="s">
        <v>6156</v>
      </c>
      <c r="AP486" t="s">
        <v>6157</v>
      </c>
      <c r="AQ486" t="s">
        <v>74</v>
      </c>
      <c r="AR486" t="s">
        <v>6158</v>
      </c>
      <c r="AS486" t="s">
        <v>6159</v>
      </c>
      <c r="AT486" t="s">
        <v>7760</v>
      </c>
      <c r="AU486">
        <v>2021</v>
      </c>
      <c r="AV486">
        <v>33</v>
      </c>
      <c r="AW486">
        <v>5</v>
      </c>
      <c r="AX486" t="s">
        <v>74</v>
      </c>
      <c r="AY486" t="s">
        <v>74</v>
      </c>
      <c r="AZ486" t="s">
        <v>74</v>
      </c>
      <c r="BA486" t="s">
        <v>74</v>
      </c>
      <c r="BB486">
        <v>493</v>
      </c>
      <c r="BC486">
        <v>501</v>
      </c>
      <c r="BD486" t="s">
        <v>9822</v>
      </c>
      <c r="BE486" t="s">
        <v>9823</v>
      </c>
      <c r="BF486" t="str">
        <f>HYPERLINK("http://dx.doi.org/10.1017/S0954102021000389","http://dx.doi.org/10.1017/S0954102021000389")</f>
        <v>http://dx.doi.org/10.1017/S0954102021000389</v>
      </c>
      <c r="BG486" t="s">
        <v>74</v>
      </c>
      <c r="BH486" t="s">
        <v>74</v>
      </c>
      <c r="BI486">
        <v>9</v>
      </c>
      <c r="BJ486" t="s">
        <v>6161</v>
      </c>
      <c r="BK486" t="s">
        <v>101</v>
      </c>
      <c r="BL486" t="s">
        <v>6162</v>
      </c>
      <c r="BM486" t="s">
        <v>9751</v>
      </c>
      <c r="BN486" t="s">
        <v>74</v>
      </c>
      <c r="BO486" t="s">
        <v>74</v>
      </c>
      <c r="BP486" t="s">
        <v>74</v>
      </c>
      <c r="BQ486" t="s">
        <v>74</v>
      </c>
      <c r="BR486" t="s">
        <v>105</v>
      </c>
      <c r="BS486" t="s">
        <v>9824</v>
      </c>
      <c r="BT486" t="str">
        <f>HYPERLINK("https%3A%2F%2Fwww.webofscience.com%2Fwos%2Fwoscc%2Ffull-record%2FWOS:000721331200007","View Full Record in Web of Science")</f>
        <v>View Full Record in Web of Science</v>
      </c>
    </row>
    <row r="487" spans="1:72" x14ac:dyDescent="0.15">
      <c r="A487" t="s">
        <v>72</v>
      </c>
      <c r="B487" t="s">
        <v>9825</v>
      </c>
      <c r="C487" t="s">
        <v>74</v>
      </c>
      <c r="D487" t="s">
        <v>74</v>
      </c>
      <c r="E487" t="s">
        <v>74</v>
      </c>
      <c r="F487" t="s">
        <v>9826</v>
      </c>
      <c r="G487" t="s">
        <v>74</v>
      </c>
      <c r="H487" t="s">
        <v>74</v>
      </c>
      <c r="I487" t="s">
        <v>9827</v>
      </c>
      <c r="J487" t="s">
        <v>6143</v>
      </c>
      <c r="K487" t="s">
        <v>74</v>
      </c>
      <c r="L487" t="s">
        <v>74</v>
      </c>
      <c r="M487" t="s">
        <v>78</v>
      </c>
      <c r="N487" t="s">
        <v>79</v>
      </c>
      <c r="O487" t="s">
        <v>74</v>
      </c>
      <c r="P487" t="s">
        <v>74</v>
      </c>
      <c r="Q487" t="s">
        <v>74</v>
      </c>
      <c r="R487" t="s">
        <v>74</v>
      </c>
      <c r="S487" t="s">
        <v>74</v>
      </c>
      <c r="T487" t="s">
        <v>9828</v>
      </c>
      <c r="U487" t="s">
        <v>9829</v>
      </c>
      <c r="V487" t="s">
        <v>9830</v>
      </c>
      <c r="W487" t="s">
        <v>9831</v>
      </c>
      <c r="X487" t="s">
        <v>9832</v>
      </c>
      <c r="Y487" t="s">
        <v>9833</v>
      </c>
      <c r="Z487" t="s">
        <v>9834</v>
      </c>
      <c r="AA487" t="s">
        <v>74</v>
      </c>
      <c r="AB487" t="s">
        <v>9835</v>
      </c>
      <c r="AC487" t="s">
        <v>9836</v>
      </c>
      <c r="AD487" t="s">
        <v>9836</v>
      </c>
      <c r="AE487" t="s">
        <v>9837</v>
      </c>
      <c r="AF487" t="s">
        <v>74</v>
      </c>
      <c r="AG487">
        <v>79</v>
      </c>
      <c r="AH487">
        <v>7</v>
      </c>
      <c r="AI487">
        <v>7</v>
      </c>
      <c r="AJ487">
        <v>0</v>
      </c>
      <c r="AK487">
        <v>1</v>
      </c>
      <c r="AL487" t="s">
        <v>666</v>
      </c>
      <c r="AM487" t="s">
        <v>170</v>
      </c>
      <c r="AN487" t="s">
        <v>667</v>
      </c>
      <c r="AO487" t="s">
        <v>6156</v>
      </c>
      <c r="AP487" t="s">
        <v>6157</v>
      </c>
      <c r="AQ487" t="s">
        <v>74</v>
      </c>
      <c r="AR487" t="s">
        <v>6158</v>
      </c>
      <c r="AS487" t="s">
        <v>6159</v>
      </c>
      <c r="AT487" t="s">
        <v>7760</v>
      </c>
      <c r="AU487">
        <v>2021</v>
      </c>
      <c r="AV487">
        <v>33</v>
      </c>
      <c r="AW487">
        <v>5</v>
      </c>
      <c r="AX487" t="s">
        <v>74</v>
      </c>
      <c r="AY487" t="s">
        <v>74</v>
      </c>
      <c r="AZ487" t="s">
        <v>74</v>
      </c>
      <c r="BA487" t="s">
        <v>74</v>
      </c>
      <c r="BB487">
        <v>502</v>
      </c>
      <c r="BC487">
        <v>532</v>
      </c>
      <c r="BD487" t="s">
        <v>9838</v>
      </c>
      <c r="BE487" t="s">
        <v>9839</v>
      </c>
      <c r="BF487" t="str">
        <f>HYPERLINK("http://dx.doi.org/10.1017/S095410202100033X","http://dx.doi.org/10.1017/S095410202100033X")</f>
        <v>http://dx.doi.org/10.1017/S095410202100033X</v>
      </c>
      <c r="BG487" t="s">
        <v>74</v>
      </c>
      <c r="BH487" t="s">
        <v>74</v>
      </c>
      <c r="BI487">
        <v>31</v>
      </c>
      <c r="BJ487" t="s">
        <v>6161</v>
      </c>
      <c r="BK487" t="s">
        <v>101</v>
      </c>
      <c r="BL487" t="s">
        <v>6162</v>
      </c>
      <c r="BM487" t="s">
        <v>9751</v>
      </c>
      <c r="BN487" t="s">
        <v>74</v>
      </c>
      <c r="BO487" t="s">
        <v>858</v>
      </c>
      <c r="BP487" t="s">
        <v>74</v>
      </c>
      <c r="BQ487" t="s">
        <v>74</v>
      </c>
      <c r="BR487" t="s">
        <v>105</v>
      </c>
      <c r="BS487" t="s">
        <v>9840</v>
      </c>
      <c r="BT487" t="str">
        <f>HYPERLINK("https%3A%2F%2Fwww.webofscience.com%2Fwos%2Fwoscc%2Ffull-record%2FWOS:000721331200008","View Full Record in Web of Science")</f>
        <v>View Full Record in Web of Science</v>
      </c>
    </row>
    <row r="488" spans="1:72" x14ac:dyDescent="0.15">
      <c r="A488" t="s">
        <v>72</v>
      </c>
      <c r="B488" t="s">
        <v>9841</v>
      </c>
      <c r="C488" t="s">
        <v>74</v>
      </c>
      <c r="D488" t="s">
        <v>74</v>
      </c>
      <c r="E488" t="s">
        <v>74</v>
      </c>
      <c r="F488" t="s">
        <v>9842</v>
      </c>
      <c r="G488" t="s">
        <v>74</v>
      </c>
      <c r="H488" t="s">
        <v>74</v>
      </c>
      <c r="I488" t="s">
        <v>9843</v>
      </c>
      <c r="J488" t="s">
        <v>6143</v>
      </c>
      <c r="K488" t="s">
        <v>74</v>
      </c>
      <c r="L488" t="s">
        <v>74</v>
      </c>
      <c r="M488" t="s">
        <v>78</v>
      </c>
      <c r="N488" t="s">
        <v>79</v>
      </c>
      <c r="O488" t="s">
        <v>74</v>
      </c>
      <c r="P488" t="s">
        <v>74</v>
      </c>
      <c r="Q488" t="s">
        <v>74</v>
      </c>
      <c r="R488" t="s">
        <v>74</v>
      </c>
      <c r="S488" t="s">
        <v>74</v>
      </c>
      <c r="T488" t="s">
        <v>9844</v>
      </c>
      <c r="U488" t="s">
        <v>9845</v>
      </c>
      <c r="V488" t="s">
        <v>9846</v>
      </c>
      <c r="W488" t="s">
        <v>9847</v>
      </c>
      <c r="X488" t="s">
        <v>9848</v>
      </c>
      <c r="Y488" t="s">
        <v>9849</v>
      </c>
      <c r="Z488" t="s">
        <v>9850</v>
      </c>
      <c r="AA488" t="s">
        <v>74</v>
      </c>
      <c r="AB488" t="s">
        <v>74</v>
      </c>
      <c r="AC488" t="s">
        <v>9851</v>
      </c>
      <c r="AD488" t="s">
        <v>4310</v>
      </c>
      <c r="AE488" t="s">
        <v>9852</v>
      </c>
      <c r="AF488" t="s">
        <v>74</v>
      </c>
      <c r="AG488">
        <v>52</v>
      </c>
      <c r="AH488">
        <v>5</v>
      </c>
      <c r="AI488">
        <v>5</v>
      </c>
      <c r="AJ488">
        <v>1</v>
      </c>
      <c r="AK488">
        <v>2</v>
      </c>
      <c r="AL488" t="s">
        <v>666</v>
      </c>
      <c r="AM488" t="s">
        <v>170</v>
      </c>
      <c r="AN488" t="s">
        <v>667</v>
      </c>
      <c r="AO488" t="s">
        <v>6156</v>
      </c>
      <c r="AP488" t="s">
        <v>6157</v>
      </c>
      <c r="AQ488" t="s">
        <v>74</v>
      </c>
      <c r="AR488" t="s">
        <v>6158</v>
      </c>
      <c r="AS488" t="s">
        <v>6159</v>
      </c>
      <c r="AT488" t="s">
        <v>7760</v>
      </c>
      <c r="AU488">
        <v>2021</v>
      </c>
      <c r="AV488">
        <v>33</v>
      </c>
      <c r="AW488">
        <v>5</v>
      </c>
      <c r="AX488" t="s">
        <v>74</v>
      </c>
      <c r="AY488" t="s">
        <v>74</v>
      </c>
      <c r="AZ488" t="s">
        <v>74</v>
      </c>
      <c r="BA488" t="s">
        <v>74</v>
      </c>
      <c r="BB488">
        <v>533</v>
      </c>
      <c r="BC488">
        <v>547</v>
      </c>
      <c r="BD488" t="s">
        <v>9853</v>
      </c>
      <c r="BE488" t="s">
        <v>9854</v>
      </c>
      <c r="BF488" t="str">
        <f>HYPERLINK("http://dx.doi.org/10.1017/S0954102021000341","http://dx.doi.org/10.1017/S0954102021000341")</f>
        <v>http://dx.doi.org/10.1017/S0954102021000341</v>
      </c>
      <c r="BG488" t="s">
        <v>74</v>
      </c>
      <c r="BH488" t="s">
        <v>74</v>
      </c>
      <c r="BI488">
        <v>15</v>
      </c>
      <c r="BJ488" t="s">
        <v>6161</v>
      </c>
      <c r="BK488" t="s">
        <v>101</v>
      </c>
      <c r="BL488" t="s">
        <v>6162</v>
      </c>
      <c r="BM488" t="s">
        <v>9751</v>
      </c>
      <c r="BN488" t="s">
        <v>74</v>
      </c>
      <c r="BO488" t="s">
        <v>74</v>
      </c>
      <c r="BP488" t="s">
        <v>74</v>
      </c>
      <c r="BQ488" t="s">
        <v>74</v>
      </c>
      <c r="BR488" t="s">
        <v>105</v>
      </c>
      <c r="BS488" t="s">
        <v>9855</v>
      </c>
      <c r="BT488" t="str">
        <f>HYPERLINK("https%3A%2F%2Fwww.webofscience.com%2Fwos%2Fwoscc%2Ffull-record%2FWOS:000721331200009","View Full Record in Web of Science")</f>
        <v>View Full Record in Web of Science</v>
      </c>
    </row>
    <row r="489" spans="1:72" x14ac:dyDescent="0.15">
      <c r="A489" t="s">
        <v>72</v>
      </c>
      <c r="B489" t="s">
        <v>9856</v>
      </c>
      <c r="C489" t="s">
        <v>74</v>
      </c>
      <c r="D489" t="s">
        <v>74</v>
      </c>
      <c r="E489" t="s">
        <v>74</v>
      </c>
      <c r="F489" t="s">
        <v>9857</v>
      </c>
      <c r="G489" t="s">
        <v>74</v>
      </c>
      <c r="H489" t="s">
        <v>74</v>
      </c>
      <c r="I489" t="s">
        <v>9858</v>
      </c>
      <c r="J489" t="s">
        <v>6143</v>
      </c>
      <c r="K489" t="s">
        <v>74</v>
      </c>
      <c r="L489" t="s">
        <v>74</v>
      </c>
      <c r="M489" t="s">
        <v>78</v>
      </c>
      <c r="N489" t="s">
        <v>79</v>
      </c>
      <c r="O489" t="s">
        <v>74</v>
      </c>
      <c r="P489" t="s">
        <v>74</v>
      </c>
      <c r="Q489" t="s">
        <v>74</v>
      </c>
      <c r="R489" t="s">
        <v>74</v>
      </c>
      <c r="S489" t="s">
        <v>74</v>
      </c>
      <c r="T489" t="s">
        <v>9859</v>
      </c>
      <c r="U489" t="s">
        <v>9860</v>
      </c>
      <c r="V489" t="s">
        <v>9861</v>
      </c>
      <c r="W489" t="s">
        <v>9862</v>
      </c>
      <c r="X489" t="s">
        <v>9863</v>
      </c>
      <c r="Y489" t="s">
        <v>9864</v>
      </c>
      <c r="Z489" t="s">
        <v>9865</v>
      </c>
      <c r="AA489" t="s">
        <v>74</v>
      </c>
      <c r="AB489" t="s">
        <v>9866</v>
      </c>
      <c r="AC489" t="s">
        <v>9867</v>
      </c>
      <c r="AD489" t="s">
        <v>9868</v>
      </c>
      <c r="AE489" t="s">
        <v>9869</v>
      </c>
      <c r="AF489" t="s">
        <v>74</v>
      </c>
      <c r="AG489">
        <v>40</v>
      </c>
      <c r="AH489">
        <v>4</v>
      </c>
      <c r="AI489">
        <v>4</v>
      </c>
      <c r="AJ489">
        <v>1</v>
      </c>
      <c r="AK489">
        <v>5</v>
      </c>
      <c r="AL489" t="s">
        <v>666</v>
      </c>
      <c r="AM489" t="s">
        <v>170</v>
      </c>
      <c r="AN489" t="s">
        <v>667</v>
      </c>
      <c r="AO489" t="s">
        <v>6156</v>
      </c>
      <c r="AP489" t="s">
        <v>6157</v>
      </c>
      <c r="AQ489" t="s">
        <v>74</v>
      </c>
      <c r="AR489" t="s">
        <v>6158</v>
      </c>
      <c r="AS489" t="s">
        <v>6159</v>
      </c>
      <c r="AT489" t="s">
        <v>7760</v>
      </c>
      <c r="AU489">
        <v>2021</v>
      </c>
      <c r="AV489">
        <v>33</v>
      </c>
      <c r="AW489">
        <v>5</v>
      </c>
      <c r="AX489" t="s">
        <v>74</v>
      </c>
      <c r="AY489" t="s">
        <v>74</v>
      </c>
      <c r="AZ489" t="s">
        <v>74</v>
      </c>
      <c r="BA489" t="s">
        <v>74</v>
      </c>
      <c r="BB489">
        <v>548</v>
      </c>
      <c r="BC489">
        <v>559</v>
      </c>
      <c r="BD489" t="s">
        <v>9870</v>
      </c>
      <c r="BE489" t="s">
        <v>9871</v>
      </c>
      <c r="BF489" t="str">
        <f>HYPERLINK("http://dx.doi.org/10.1017/S0954102021000298","http://dx.doi.org/10.1017/S0954102021000298")</f>
        <v>http://dx.doi.org/10.1017/S0954102021000298</v>
      </c>
      <c r="BG489" t="s">
        <v>74</v>
      </c>
      <c r="BH489" t="s">
        <v>74</v>
      </c>
      <c r="BI489">
        <v>12</v>
      </c>
      <c r="BJ489" t="s">
        <v>6161</v>
      </c>
      <c r="BK489" t="s">
        <v>101</v>
      </c>
      <c r="BL489" t="s">
        <v>6162</v>
      </c>
      <c r="BM489" t="s">
        <v>9751</v>
      </c>
      <c r="BN489" t="s">
        <v>74</v>
      </c>
      <c r="BO489" t="s">
        <v>74</v>
      </c>
      <c r="BP489" t="s">
        <v>74</v>
      </c>
      <c r="BQ489" t="s">
        <v>74</v>
      </c>
      <c r="BR489" t="s">
        <v>105</v>
      </c>
      <c r="BS489" t="s">
        <v>9872</v>
      </c>
      <c r="BT489" t="str">
        <f>HYPERLINK("https%3A%2F%2Fwww.webofscience.com%2Fwos%2Fwoscc%2Ffull-record%2FWOS:000721331200010","View Full Record in Web of Science")</f>
        <v>View Full Record in Web of Science</v>
      </c>
    </row>
    <row r="490" spans="1:72" x14ac:dyDescent="0.15">
      <c r="A490" t="s">
        <v>72</v>
      </c>
      <c r="B490" t="s">
        <v>9873</v>
      </c>
      <c r="C490" t="s">
        <v>74</v>
      </c>
      <c r="D490" t="s">
        <v>74</v>
      </c>
      <c r="E490" t="s">
        <v>74</v>
      </c>
      <c r="F490" t="s">
        <v>9874</v>
      </c>
      <c r="G490" t="s">
        <v>74</v>
      </c>
      <c r="H490" t="s">
        <v>74</v>
      </c>
      <c r="I490" t="s">
        <v>9875</v>
      </c>
      <c r="J490" t="s">
        <v>6143</v>
      </c>
      <c r="K490" t="s">
        <v>74</v>
      </c>
      <c r="L490" t="s">
        <v>74</v>
      </c>
      <c r="M490" t="s">
        <v>78</v>
      </c>
      <c r="N490" t="s">
        <v>79</v>
      </c>
      <c r="O490" t="s">
        <v>74</v>
      </c>
      <c r="P490" t="s">
        <v>74</v>
      </c>
      <c r="Q490" t="s">
        <v>74</v>
      </c>
      <c r="R490" t="s">
        <v>74</v>
      </c>
      <c r="S490" t="s">
        <v>74</v>
      </c>
      <c r="T490" t="s">
        <v>9876</v>
      </c>
      <c r="U490" t="s">
        <v>9877</v>
      </c>
      <c r="V490" t="s">
        <v>9878</v>
      </c>
      <c r="W490" t="s">
        <v>9879</v>
      </c>
      <c r="X490" t="s">
        <v>9880</v>
      </c>
      <c r="Y490" t="s">
        <v>9881</v>
      </c>
      <c r="Z490" t="s">
        <v>9882</v>
      </c>
      <c r="AA490" t="s">
        <v>9883</v>
      </c>
      <c r="AB490" t="s">
        <v>9884</v>
      </c>
      <c r="AC490" t="s">
        <v>74</v>
      </c>
      <c r="AD490" t="s">
        <v>74</v>
      </c>
      <c r="AE490" t="s">
        <v>74</v>
      </c>
      <c r="AF490" t="s">
        <v>74</v>
      </c>
      <c r="AG490">
        <v>62</v>
      </c>
      <c r="AH490">
        <v>7</v>
      </c>
      <c r="AI490">
        <v>7</v>
      </c>
      <c r="AJ490">
        <v>3</v>
      </c>
      <c r="AK490">
        <v>9</v>
      </c>
      <c r="AL490" t="s">
        <v>666</v>
      </c>
      <c r="AM490" t="s">
        <v>170</v>
      </c>
      <c r="AN490" t="s">
        <v>667</v>
      </c>
      <c r="AO490" t="s">
        <v>6156</v>
      </c>
      <c r="AP490" t="s">
        <v>6157</v>
      </c>
      <c r="AQ490" t="s">
        <v>74</v>
      </c>
      <c r="AR490" t="s">
        <v>6158</v>
      </c>
      <c r="AS490" t="s">
        <v>6159</v>
      </c>
      <c r="AT490" t="s">
        <v>7760</v>
      </c>
      <c r="AU490">
        <v>2021</v>
      </c>
      <c r="AV490">
        <v>33</v>
      </c>
      <c r="AW490">
        <v>5</v>
      </c>
      <c r="AX490" t="s">
        <v>74</v>
      </c>
      <c r="AY490" t="s">
        <v>74</v>
      </c>
      <c r="AZ490" t="s">
        <v>74</v>
      </c>
      <c r="BA490" t="s">
        <v>74</v>
      </c>
      <c r="BB490">
        <v>560</v>
      </c>
      <c r="BC490">
        <v>571</v>
      </c>
      <c r="BD490" t="s">
        <v>9885</v>
      </c>
      <c r="BE490" t="s">
        <v>9886</v>
      </c>
      <c r="BF490" t="str">
        <f>HYPERLINK("http://dx.doi.org/10.1017/S0954102021000432","http://dx.doi.org/10.1017/S0954102021000432")</f>
        <v>http://dx.doi.org/10.1017/S0954102021000432</v>
      </c>
      <c r="BG490" t="s">
        <v>74</v>
      </c>
      <c r="BH490" t="s">
        <v>74</v>
      </c>
      <c r="BI490">
        <v>12</v>
      </c>
      <c r="BJ490" t="s">
        <v>6161</v>
      </c>
      <c r="BK490" t="s">
        <v>207</v>
      </c>
      <c r="BL490" t="s">
        <v>6162</v>
      </c>
      <c r="BM490" t="s">
        <v>9751</v>
      </c>
      <c r="BN490" t="s">
        <v>74</v>
      </c>
      <c r="BO490" t="s">
        <v>676</v>
      </c>
      <c r="BP490" t="s">
        <v>74</v>
      </c>
      <c r="BQ490" t="s">
        <v>74</v>
      </c>
      <c r="BR490" t="s">
        <v>105</v>
      </c>
      <c r="BS490" t="s">
        <v>9887</v>
      </c>
      <c r="BT490" t="str">
        <f>HYPERLINK("https%3A%2F%2Fwww.webofscience.com%2Fwos%2Fwoscc%2Ffull-record%2FWOS:000721331200011","View Full Record in Web of Science")</f>
        <v>View Full Record in Web of Science</v>
      </c>
    </row>
    <row r="491" spans="1:72" x14ac:dyDescent="0.15">
      <c r="A491" t="s">
        <v>72</v>
      </c>
      <c r="B491" t="s">
        <v>9888</v>
      </c>
      <c r="C491" t="s">
        <v>74</v>
      </c>
      <c r="D491" t="s">
        <v>74</v>
      </c>
      <c r="E491" t="s">
        <v>74</v>
      </c>
      <c r="F491" t="s">
        <v>9889</v>
      </c>
      <c r="G491" t="s">
        <v>74</v>
      </c>
      <c r="H491" t="s">
        <v>74</v>
      </c>
      <c r="I491" t="s">
        <v>9890</v>
      </c>
      <c r="J491" t="s">
        <v>9891</v>
      </c>
      <c r="K491" t="s">
        <v>74</v>
      </c>
      <c r="L491" t="s">
        <v>74</v>
      </c>
      <c r="M491" t="s">
        <v>78</v>
      </c>
      <c r="N491" t="s">
        <v>7574</v>
      </c>
      <c r="O491" t="s">
        <v>74</v>
      </c>
      <c r="P491" t="s">
        <v>74</v>
      </c>
      <c r="Q491" t="s">
        <v>74</v>
      </c>
      <c r="R491" t="s">
        <v>74</v>
      </c>
      <c r="S491" t="s">
        <v>74</v>
      </c>
      <c r="T491" t="s">
        <v>9892</v>
      </c>
      <c r="U491" t="s">
        <v>9893</v>
      </c>
      <c r="V491" t="s">
        <v>9894</v>
      </c>
      <c r="W491" t="s">
        <v>9895</v>
      </c>
      <c r="X491" t="s">
        <v>9896</v>
      </c>
      <c r="Y491" t="s">
        <v>9897</v>
      </c>
      <c r="Z491" t="s">
        <v>9898</v>
      </c>
      <c r="AA491" t="s">
        <v>9899</v>
      </c>
      <c r="AB491" t="s">
        <v>9900</v>
      </c>
      <c r="AC491" t="s">
        <v>9901</v>
      </c>
      <c r="AD491" t="s">
        <v>9902</v>
      </c>
      <c r="AE491" t="s">
        <v>9903</v>
      </c>
      <c r="AF491" t="s">
        <v>74</v>
      </c>
      <c r="AG491">
        <v>33</v>
      </c>
      <c r="AH491">
        <v>12</v>
      </c>
      <c r="AI491">
        <v>12</v>
      </c>
      <c r="AJ491">
        <v>1</v>
      </c>
      <c r="AK491">
        <v>19</v>
      </c>
      <c r="AL491" t="s">
        <v>4192</v>
      </c>
      <c r="AM491" t="s">
        <v>4193</v>
      </c>
      <c r="AN491" t="s">
        <v>4194</v>
      </c>
      <c r="AO491" t="s">
        <v>74</v>
      </c>
      <c r="AP491" t="s">
        <v>9904</v>
      </c>
      <c r="AQ491" t="s">
        <v>74</v>
      </c>
      <c r="AR491" t="s">
        <v>9891</v>
      </c>
      <c r="AS491" t="s">
        <v>9905</v>
      </c>
      <c r="AT491" t="s">
        <v>7760</v>
      </c>
      <c r="AU491">
        <v>2021</v>
      </c>
      <c r="AV491">
        <v>6</v>
      </c>
      <c r="AW491">
        <v>10</v>
      </c>
      <c r="AX491" t="s">
        <v>74</v>
      </c>
      <c r="AY491" t="s">
        <v>74</v>
      </c>
      <c r="AZ491" t="s">
        <v>74</v>
      </c>
      <c r="BA491" t="s">
        <v>74</v>
      </c>
      <c r="BB491" t="s">
        <v>74</v>
      </c>
      <c r="BC491" t="s">
        <v>74</v>
      </c>
      <c r="BD491">
        <v>107</v>
      </c>
      <c r="BE491" t="s">
        <v>9906</v>
      </c>
      <c r="BF491" t="str">
        <f>HYPERLINK("http://dx.doi.org/10.3390/data6100107","http://dx.doi.org/10.3390/data6100107")</f>
        <v>http://dx.doi.org/10.3390/data6100107</v>
      </c>
      <c r="BG491" t="s">
        <v>74</v>
      </c>
      <c r="BH491" t="s">
        <v>74</v>
      </c>
      <c r="BI491">
        <v>8</v>
      </c>
      <c r="BJ491" t="s">
        <v>9907</v>
      </c>
      <c r="BK491" t="s">
        <v>1629</v>
      </c>
      <c r="BL491" t="s">
        <v>9908</v>
      </c>
      <c r="BM491" t="s">
        <v>9909</v>
      </c>
      <c r="BN491" t="s">
        <v>74</v>
      </c>
      <c r="BO491" t="s">
        <v>394</v>
      </c>
      <c r="BP491" t="s">
        <v>74</v>
      </c>
      <c r="BQ491" t="s">
        <v>74</v>
      </c>
      <c r="BR491" t="s">
        <v>105</v>
      </c>
      <c r="BS491" t="s">
        <v>9910</v>
      </c>
      <c r="BT491" t="str">
        <f>HYPERLINK("https%3A%2F%2Fwww.webofscience.com%2Fwos%2Fwoscc%2Ffull-record%2FWOS:000713318000001","View Full Record in Web of Science")</f>
        <v>View Full Record in Web of Science</v>
      </c>
    </row>
    <row r="492" spans="1:72" x14ac:dyDescent="0.15">
      <c r="A492" t="s">
        <v>72</v>
      </c>
      <c r="B492" t="s">
        <v>9911</v>
      </c>
      <c r="C492" t="s">
        <v>74</v>
      </c>
      <c r="D492" t="s">
        <v>74</v>
      </c>
      <c r="E492" t="s">
        <v>74</v>
      </c>
      <c r="F492" t="s">
        <v>9912</v>
      </c>
      <c r="G492" t="s">
        <v>74</v>
      </c>
      <c r="H492" t="s">
        <v>74</v>
      </c>
      <c r="I492" t="s">
        <v>9913</v>
      </c>
      <c r="J492" t="s">
        <v>4179</v>
      </c>
      <c r="K492" t="s">
        <v>74</v>
      </c>
      <c r="L492" t="s">
        <v>74</v>
      </c>
      <c r="M492" t="s">
        <v>78</v>
      </c>
      <c r="N492" t="s">
        <v>79</v>
      </c>
      <c r="O492" t="s">
        <v>74</v>
      </c>
      <c r="P492" t="s">
        <v>74</v>
      </c>
      <c r="Q492" t="s">
        <v>74</v>
      </c>
      <c r="R492" t="s">
        <v>74</v>
      </c>
      <c r="S492" t="s">
        <v>74</v>
      </c>
      <c r="T492" t="s">
        <v>9914</v>
      </c>
      <c r="U492" t="s">
        <v>9915</v>
      </c>
      <c r="V492" t="s">
        <v>9916</v>
      </c>
      <c r="W492" t="s">
        <v>9917</v>
      </c>
      <c r="X492" t="s">
        <v>9918</v>
      </c>
      <c r="Y492" t="s">
        <v>9919</v>
      </c>
      <c r="Z492" t="s">
        <v>9920</v>
      </c>
      <c r="AA492" t="s">
        <v>9921</v>
      </c>
      <c r="AB492" t="s">
        <v>9922</v>
      </c>
      <c r="AC492" t="s">
        <v>9923</v>
      </c>
      <c r="AD492" t="s">
        <v>9924</v>
      </c>
      <c r="AE492" t="s">
        <v>9925</v>
      </c>
      <c r="AF492" t="s">
        <v>74</v>
      </c>
      <c r="AG492">
        <v>87</v>
      </c>
      <c r="AH492">
        <v>4</v>
      </c>
      <c r="AI492">
        <v>4</v>
      </c>
      <c r="AJ492">
        <v>2</v>
      </c>
      <c r="AK492">
        <v>8</v>
      </c>
      <c r="AL492" t="s">
        <v>4192</v>
      </c>
      <c r="AM492" t="s">
        <v>4193</v>
      </c>
      <c r="AN492" t="s">
        <v>4194</v>
      </c>
      <c r="AO492" t="s">
        <v>74</v>
      </c>
      <c r="AP492" t="s">
        <v>4195</v>
      </c>
      <c r="AQ492" t="s">
        <v>74</v>
      </c>
      <c r="AR492" t="s">
        <v>4179</v>
      </c>
      <c r="AS492" t="s">
        <v>4196</v>
      </c>
      <c r="AT492" t="s">
        <v>7760</v>
      </c>
      <c r="AU492">
        <v>2021</v>
      </c>
      <c r="AV492">
        <v>13</v>
      </c>
      <c r="AW492">
        <v>10</v>
      </c>
      <c r="AX492" t="s">
        <v>74</v>
      </c>
      <c r="AY492" t="s">
        <v>74</v>
      </c>
      <c r="AZ492" t="s">
        <v>74</v>
      </c>
      <c r="BA492" t="s">
        <v>74</v>
      </c>
      <c r="BB492" t="s">
        <v>74</v>
      </c>
      <c r="BC492" t="s">
        <v>74</v>
      </c>
      <c r="BD492">
        <v>506</v>
      </c>
      <c r="BE492" t="s">
        <v>9926</v>
      </c>
      <c r="BF492" t="str">
        <f>HYPERLINK("http://dx.doi.org/10.3390/d13100506","http://dx.doi.org/10.3390/d13100506")</f>
        <v>http://dx.doi.org/10.3390/d13100506</v>
      </c>
      <c r="BG492" t="s">
        <v>74</v>
      </c>
      <c r="BH492" t="s">
        <v>74</v>
      </c>
      <c r="BI492">
        <v>26</v>
      </c>
      <c r="BJ492" t="s">
        <v>605</v>
      </c>
      <c r="BK492" t="s">
        <v>101</v>
      </c>
      <c r="BL492" t="s">
        <v>606</v>
      </c>
      <c r="BM492" t="s">
        <v>9927</v>
      </c>
      <c r="BN492" t="s">
        <v>74</v>
      </c>
      <c r="BO492" t="s">
        <v>2114</v>
      </c>
      <c r="BP492" t="s">
        <v>74</v>
      </c>
      <c r="BQ492" t="s">
        <v>74</v>
      </c>
      <c r="BR492" t="s">
        <v>105</v>
      </c>
      <c r="BS492" t="s">
        <v>9928</v>
      </c>
      <c r="BT492" t="str">
        <f>HYPERLINK("https%3A%2F%2Fwww.webofscience.com%2Fwos%2Fwoscc%2Ffull-record%2FWOS:000714729500001","View Full Record in Web of Science")</f>
        <v>View Full Record in Web of Science</v>
      </c>
    </row>
    <row r="493" spans="1:72" x14ac:dyDescent="0.15">
      <c r="A493" t="s">
        <v>72</v>
      </c>
      <c r="B493" t="s">
        <v>9929</v>
      </c>
      <c r="C493" t="s">
        <v>74</v>
      </c>
      <c r="D493" t="s">
        <v>74</v>
      </c>
      <c r="E493" t="s">
        <v>74</v>
      </c>
      <c r="F493" t="s">
        <v>9930</v>
      </c>
      <c r="G493" t="s">
        <v>74</v>
      </c>
      <c r="H493" t="s">
        <v>74</v>
      </c>
      <c r="I493" t="s">
        <v>9931</v>
      </c>
      <c r="J493" t="s">
        <v>4179</v>
      </c>
      <c r="K493" t="s">
        <v>74</v>
      </c>
      <c r="L493" t="s">
        <v>74</v>
      </c>
      <c r="M493" t="s">
        <v>78</v>
      </c>
      <c r="N493" t="s">
        <v>79</v>
      </c>
      <c r="O493" t="s">
        <v>74</v>
      </c>
      <c r="P493" t="s">
        <v>74</v>
      </c>
      <c r="Q493" t="s">
        <v>74</v>
      </c>
      <c r="R493" t="s">
        <v>74</v>
      </c>
      <c r="S493" t="s">
        <v>74</v>
      </c>
      <c r="T493" t="s">
        <v>9932</v>
      </c>
      <c r="U493" t="s">
        <v>9933</v>
      </c>
      <c r="V493" t="s">
        <v>9934</v>
      </c>
      <c r="W493" t="s">
        <v>9935</v>
      </c>
      <c r="X493" t="s">
        <v>9936</v>
      </c>
      <c r="Y493" t="s">
        <v>9937</v>
      </c>
      <c r="Z493" t="s">
        <v>9938</v>
      </c>
      <c r="AA493" t="s">
        <v>74</v>
      </c>
      <c r="AB493" t="s">
        <v>9939</v>
      </c>
      <c r="AC493" t="s">
        <v>9940</v>
      </c>
      <c r="AD493" t="s">
        <v>9941</v>
      </c>
      <c r="AE493" t="s">
        <v>9942</v>
      </c>
      <c r="AF493" t="s">
        <v>74</v>
      </c>
      <c r="AG493">
        <v>69</v>
      </c>
      <c r="AH493">
        <v>4</v>
      </c>
      <c r="AI493">
        <v>4</v>
      </c>
      <c r="AJ493">
        <v>4</v>
      </c>
      <c r="AK493">
        <v>20</v>
      </c>
      <c r="AL493" t="s">
        <v>4192</v>
      </c>
      <c r="AM493" t="s">
        <v>4193</v>
      </c>
      <c r="AN493" t="s">
        <v>4194</v>
      </c>
      <c r="AO493" t="s">
        <v>74</v>
      </c>
      <c r="AP493" t="s">
        <v>4195</v>
      </c>
      <c r="AQ493" t="s">
        <v>74</v>
      </c>
      <c r="AR493" t="s">
        <v>4179</v>
      </c>
      <c r="AS493" t="s">
        <v>4196</v>
      </c>
      <c r="AT493" t="s">
        <v>7760</v>
      </c>
      <c r="AU493">
        <v>2021</v>
      </c>
      <c r="AV493">
        <v>13</v>
      </c>
      <c r="AW493">
        <v>10</v>
      </c>
      <c r="AX493" t="s">
        <v>74</v>
      </c>
      <c r="AY493" t="s">
        <v>74</v>
      </c>
      <c r="AZ493" t="s">
        <v>74</v>
      </c>
      <c r="BA493" t="s">
        <v>74</v>
      </c>
      <c r="BB493" t="s">
        <v>74</v>
      </c>
      <c r="BC493" t="s">
        <v>74</v>
      </c>
      <c r="BD493">
        <v>500</v>
      </c>
      <c r="BE493" t="s">
        <v>9943</v>
      </c>
      <c r="BF493" t="str">
        <f>HYPERLINK("http://dx.doi.org/10.3390/d13100500","http://dx.doi.org/10.3390/d13100500")</f>
        <v>http://dx.doi.org/10.3390/d13100500</v>
      </c>
      <c r="BG493" t="s">
        <v>74</v>
      </c>
      <c r="BH493" t="s">
        <v>74</v>
      </c>
      <c r="BI493">
        <v>16</v>
      </c>
      <c r="BJ493" t="s">
        <v>605</v>
      </c>
      <c r="BK493" t="s">
        <v>101</v>
      </c>
      <c r="BL493" t="s">
        <v>606</v>
      </c>
      <c r="BM493" t="s">
        <v>9944</v>
      </c>
      <c r="BN493" t="s">
        <v>74</v>
      </c>
      <c r="BO493" t="s">
        <v>210</v>
      </c>
      <c r="BP493" t="s">
        <v>74</v>
      </c>
      <c r="BQ493" t="s">
        <v>74</v>
      </c>
      <c r="BR493" t="s">
        <v>105</v>
      </c>
      <c r="BS493" t="s">
        <v>9945</v>
      </c>
      <c r="BT493" t="str">
        <f>HYPERLINK("https%3A%2F%2Fwww.webofscience.com%2Fwos%2Fwoscc%2Ffull-record%2FWOS:000716782800001","View Full Record in Web of Science")</f>
        <v>View Full Record in Web of Science</v>
      </c>
    </row>
    <row r="494" spans="1:72" x14ac:dyDescent="0.15">
      <c r="A494" t="s">
        <v>72</v>
      </c>
      <c r="B494" t="s">
        <v>9946</v>
      </c>
      <c r="C494" t="s">
        <v>74</v>
      </c>
      <c r="D494" t="s">
        <v>74</v>
      </c>
      <c r="E494" t="s">
        <v>74</v>
      </c>
      <c r="F494" t="s">
        <v>9947</v>
      </c>
      <c r="G494" t="s">
        <v>74</v>
      </c>
      <c r="H494" t="s">
        <v>74</v>
      </c>
      <c r="I494" t="s">
        <v>9948</v>
      </c>
      <c r="J494" t="s">
        <v>4222</v>
      </c>
      <c r="K494" t="s">
        <v>74</v>
      </c>
      <c r="L494" t="s">
        <v>74</v>
      </c>
      <c r="M494" t="s">
        <v>78</v>
      </c>
      <c r="N494" t="s">
        <v>79</v>
      </c>
      <c r="O494" t="s">
        <v>74</v>
      </c>
      <c r="P494" t="s">
        <v>74</v>
      </c>
      <c r="Q494" t="s">
        <v>74</v>
      </c>
      <c r="R494" t="s">
        <v>74</v>
      </c>
      <c r="S494" t="s">
        <v>74</v>
      </c>
      <c r="T494" t="s">
        <v>9949</v>
      </c>
      <c r="U494" t="s">
        <v>9950</v>
      </c>
      <c r="V494" t="s">
        <v>9951</v>
      </c>
      <c r="W494" t="s">
        <v>9952</v>
      </c>
      <c r="X494" t="s">
        <v>9953</v>
      </c>
      <c r="Y494" t="s">
        <v>9954</v>
      </c>
      <c r="Z494" t="s">
        <v>9955</v>
      </c>
      <c r="AA494" t="s">
        <v>9956</v>
      </c>
      <c r="AB494" t="s">
        <v>9957</v>
      </c>
      <c r="AC494" t="s">
        <v>9958</v>
      </c>
      <c r="AD494" t="s">
        <v>9959</v>
      </c>
      <c r="AE494" t="s">
        <v>9960</v>
      </c>
      <c r="AF494" t="s">
        <v>74</v>
      </c>
      <c r="AG494">
        <v>48</v>
      </c>
      <c r="AH494">
        <v>15</v>
      </c>
      <c r="AI494">
        <v>17</v>
      </c>
      <c r="AJ494">
        <v>5</v>
      </c>
      <c r="AK494">
        <v>37</v>
      </c>
      <c r="AL494" t="s">
        <v>4192</v>
      </c>
      <c r="AM494" t="s">
        <v>4193</v>
      </c>
      <c r="AN494" t="s">
        <v>4194</v>
      </c>
      <c r="AO494" t="s">
        <v>74</v>
      </c>
      <c r="AP494" t="s">
        <v>4233</v>
      </c>
      <c r="AQ494" t="s">
        <v>74</v>
      </c>
      <c r="AR494" t="s">
        <v>4234</v>
      </c>
      <c r="AS494" t="s">
        <v>4235</v>
      </c>
      <c r="AT494" t="s">
        <v>7760</v>
      </c>
      <c r="AU494">
        <v>2021</v>
      </c>
      <c r="AV494">
        <v>13</v>
      </c>
      <c r="AW494">
        <v>20</v>
      </c>
      <c r="AX494" t="s">
        <v>74</v>
      </c>
      <c r="AY494" t="s">
        <v>74</v>
      </c>
      <c r="AZ494" t="s">
        <v>74</v>
      </c>
      <c r="BA494" t="s">
        <v>74</v>
      </c>
      <c r="BB494" t="s">
        <v>74</v>
      </c>
      <c r="BC494" t="s">
        <v>74</v>
      </c>
      <c r="BD494">
        <v>4118</v>
      </c>
      <c r="BE494" t="s">
        <v>9961</v>
      </c>
      <c r="BF494" t="str">
        <f>HYPERLINK("http://dx.doi.org/10.3390/rs13204118","http://dx.doi.org/10.3390/rs13204118")</f>
        <v>http://dx.doi.org/10.3390/rs13204118</v>
      </c>
      <c r="BG494" t="s">
        <v>74</v>
      </c>
      <c r="BH494" t="s">
        <v>74</v>
      </c>
      <c r="BI494">
        <v>21</v>
      </c>
      <c r="BJ494" t="s">
        <v>4237</v>
      </c>
      <c r="BK494" t="s">
        <v>101</v>
      </c>
      <c r="BL494" t="s">
        <v>4238</v>
      </c>
      <c r="BM494" t="s">
        <v>9962</v>
      </c>
      <c r="BN494" t="s">
        <v>74</v>
      </c>
      <c r="BO494" t="s">
        <v>210</v>
      </c>
      <c r="BP494" t="s">
        <v>74</v>
      </c>
      <c r="BQ494" t="s">
        <v>74</v>
      </c>
      <c r="BR494" t="s">
        <v>105</v>
      </c>
      <c r="BS494" t="s">
        <v>9963</v>
      </c>
      <c r="BT494" t="str">
        <f>HYPERLINK("https%3A%2F%2Fwww.webofscience.com%2Fwos%2Fwoscc%2Ffull-record%2FWOS:000714052500001","View Full Record in Web of Science")</f>
        <v>View Full Record in Web of Science</v>
      </c>
    </row>
    <row r="495" spans="1:72" x14ac:dyDescent="0.15">
      <c r="A495" t="s">
        <v>72</v>
      </c>
      <c r="B495" t="s">
        <v>9964</v>
      </c>
      <c r="C495" t="s">
        <v>74</v>
      </c>
      <c r="D495" t="s">
        <v>74</v>
      </c>
      <c r="E495" t="s">
        <v>74</v>
      </c>
      <c r="F495" t="s">
        <v>9965</v>
      </c>
      <c r="G495" t="s">
        <v>74</v>
      </c>
      <c r="H495" t="s">
        <v>74</v>
      </c>
      <c r="I495" t="s">
        <v>9966</v>
      </c>
      <c r="J495" t="s">
        <v>4968</v>
      </c>
      <c r="K495" t="s">
        <v>74</v>
      </c>
      <c r="L495" t="s">
        <v>74</v>
      </c>
      <c r="M495" t="s">
        <v>78</v>
      </c>
      <c r="N495" t="s">
        <v>79</v>
      </c>
      <c r="O495" t="s">
        <v>74</v>
      </c>
      <c r="P495" t="s">
        <v>74</v>
      </c>
      <c r="Q495" t="s">
        <v>74</v>
      </c>
      <c r="R495" t="s">
        <v>74</v>
      </c>
      <c r="S495" t="s">
        <v>74</v>
      </c>
      <c r="T495" t="s">
        <v>9967</v>
      </c>
      <c r="U495" t="s">
        <v>74</v>
      </c>
      <c r="V495" t="s">
        <v>9968</v>
      </c>
      <c r="W495" t="s">
        <v>9969</v>
      </c>
      <c r="X495" t="s">
        <v>3544</v>
      </c>
      <c r="Y495" t="s">
        <v>9970</v>
      </c>
      <c r="Z495" t="s">
        <v>9971</v>
      </c>
      <c r="AA495" t="s">
        <v>9972</v>
      </c>
      <c r="AB495" t="s">
        <v>9973</v>
      </c>
      <c r="AC495" t="s">
        <v>9974</v>
      </c>
      <c r="AD495" t="s">
        <v>9975</v>
      </c>
      <c r="AE495" t="s">
        <v>9976</v>
      </c>
      <c r="AF495" t="s">
        <v>74</v>
      </c>
      <c r="AG495">
        <v>17</v>
      </c>
      <c r="AH495">
        <v>5</v>
      </c>
      <c r="AI495">
        <v>6</v>
      </c>
      <c r="AJ495">
        <v>1</v>
      </c>
      <c r="AK495">
        <v>23</v>
      </c>
      <c r="AL495" t="s">
        <v>4192</v>
      </c>
      <c r="AM495" t="s">
        <v>4193</v>
      </c>
      <c r="AN495" t="s">
        <v>4194</v>
      </c>
      <c r="AO495" t="s">
        <v>74</v>
      </c>
      <c r="AP495" t="s">
        <v>4979</v>
      </c>
      <c r="AQ495" t="s">
        <v>74</v>
      </c>
      <c r="AR495" t="s">
        <v>4980</v>
      </c>
      <c r="AS495" t="s">
        <v>4981</v>
      </c>
      <c r="AT495" t="s">
        <v>7760</v>
      </c>
      <c r="AU495">
        <v>2021</v>
      </c>
      <c r="AV495">
        <v>19</v>
      </c>
      <c r="AW495">
        <v>10</v>
      </c>
      <c r="AX495" t="s">
        <v>74</v>
      </c>
      <c r="AY495" t="s">
        <v>74</v>
      </c>
      <c r="AZ495" t="s">
        <v>74</v>
      </c>
      <c r="BA495" t="s">
        <v>74</v>
      </c>
      <c r="BB495" t="s">
        <v>74</v>
      </c>
      <c r="BC495" t="s">
        <v>74</v>
      </c>
      <c r="BD495">
        <v>575</v>
      </c>
      <c r="BE495" t="s">
        <v>9977</v>
      </c>
      <c r="BF495" t="str">
        <f>HYPERLINK("http://dx.doi.org/10.3390/md19100575","http://dx.doi.org/10.3390/md19100575")</f>
        <v>http://dx.doi.org/10.3390/md19100575</v>
      </c>
      <c r="BG495" t="s">
        <v>74</v>
      </c>
      <c r="BH495" t="s">
        <v>74</v>
      </c>
      <c r="BI495">
        <v>9</v>
      </c>
      <c r="BJ495" t="s">
        <v>4983</v>
      </c>
      <c r="BK495" t="s">
        <v>101</v>
      </c>
      <c r="BL495" t="s">
        <v>4984</v>
      </c>
      <c r="BM495" t="s">
        <v>9978</v>
      </c>
      <c r="BN495">
        <v>34677474</v>
      </c>
      <c r="BO495" t="s">
        <v>394</v>
      </c>
      <c r="BP495" t="s">
        <v>74</v>
      </c>
      <c r="BQ495" t="s">
        <v>74</v>
      </c>
      <c r="BR495" t="s">
        <v>105</v>
      </c>
      <c r="BS495" t="s">
        <v>9979</v>
      </c>
      <c r="BT495" t="str">
        <f>HYPERLINK("https%3A%2F%2Fwww.webofscience.com%2Fwos%2Fwoscc%2Ffull-record%2FWOS:000713957300001","View Full Record in Web of Science")</f>
        <v>View Full Record in Web of Science</v>
      </c>
    </row>
    <row r="496" spans="1:72" x14ac:dyDescent="0.15">
      <c r="A496" t="s">
        <v>72</v>
      </c>
      <c r="B496" t="s">
        <v>9980</v>
      </c>
      <c r="C496" t="s">
        <v>74</v>
      </c>
      <c r="D496" t="s">
        <v>74</v>
      </c>
      <c r="E496" t="s">
        <v>74</v>
      </c>
      <c r="F496" t="s">
        <v>9981</v>
      </c>
      <c r="G496" t="s">
        <v>74</v>
      </c>
      <c r="H496" t="s">
        <v>74</v>
      </c>
      <c r="I496" t="s">
        <v>9982</v>
      </c>
      <c r="J496" t="s">
        <v>9983</v>
      </c>
      <c r="K496" t="s">
        <v>74</v>
      </c>
      <c r="L496" t="s">
        <v>74</v>
      </c>
      <c r="M496" t="s">
        <v>9984</v>
      </c>
      <c r="N496" t="s">
        <v>79</v>
      </c>
      <c r="O496" t="s">
        <v>74</v>
      </c>
      <c r="P496" t="s">
        <v>74</v>
      </c>
      <c r="Q496" t="s">
        <v>74</v>
      </c>
      <c r="R496" t="s">
        <v>74</v>
      </c>
      <c r="S496" t="s">
        <v>74</v>
      </c>
      <c r="T496" t="s">
        <v>9985</v>
      </c>
      <c r="U496" t="s">
        <v>9986</v>
      </c>
      <c r="V496" t="s">
        <v>9987</v>
      </c>
      <c r="W496" t="s">
        <v>9988</v>
      </c>
      <c r="X496" t="s">
        <v>9989</v>
      </c>
      <c r="Y496" t="s">
        <v>9990</v>
      </c>
      <c r="Z496" t="s">
        <v>9991</v>
      </c>
      <c r="AA496" t="s">
        <v>9992</v>
      </c>
      <c r="AB496" t="s">
        <v>74</v>
      </c>
      <c r="AC496" t="s">
        <v>74</v>
      </c>
      <c r="AD496" t="s">
        <v>74</v>
      </c>
      <c r="AE496" t="s">
        <v>74</v>
      </c>
      <c r="AF496" t="s">
        <v>74</v>
      </c>
      <c r="AG496">
        <v>39</v>
      </c>
      <c r="AH496">
        <v>0</v>
      </c>
      <c r="AI496">
        <v>1</v>
      </c>
      <c r="AJ496">
        <v>1</v>
      </c>
      <c r="AK496">
        <v>5</v>
      </c>
      <c r="AL496" t="s">
        <v>9993</v>
      </c>
      <c r="AM496" t="s">
        <v>9994</v>
      </c>
      <c r="AN496" t="s">
        <v>9995</v>
      </c>
      <c r="AO496" t="s">
        <v>9996</v>
      </c>
      <c r="AP496" t="s">
        <v>74</v>
      </c>
      <c r="AQ496" t="s">
        <v>74</v>
      </c>
      <c r="AR496" t="s">
        <v>9997</v>
      </c>
      <c r="AS496" t="s">
        <v>9998</v>
      </c>
      <c r="AT496" t="s">
        <v>7760</v>
      </c>
      <c r="AU496">
        <v>2021</v>
      </c>
      <c r="AV496">
        <v>64</v>
      </c>
      <c r="AW496">
        <v>10</v>
      </c>
      <c r="AX496" t="s">
        <v>74</v>
      </c>
      <c r="AY496" t="s">
        <v>74</v>
      </c>
      <c r="AZ496" t="s">
        <v>74</v>
      </c>
      <c r="BA496" t="s">
        <v>74</v>
      </c>
      <c r="BB496">
        <v>3567</v>
      </c>
      <c r="BC496">
        <v>3575</v>
      </c>
      <c r="BD496" t="s">
        <v>74</v>
      </c>
      <c r="BE496" t="s">
        <v>9999</v>
      </c>
      <c r="BF496" t="str">
        <f>HYPERLINK("http://dx.doi.org/10.6038/cjg2021O0470","http://dx.doi.org/10.6038/cjg2021O0470")</f>
        <v>http://dx.doi.org/10.6038/cjg2021O0470</v>
      </c>
      <c r="BG496" t="s">
        <v>74</v>
      </c>
      <c r="BH496" t="s">
        <v>74</v>
      </c>
      <c r="BI496">
        <v>9</v>
      </c>
      <c r="BJ496" t="s">
        <v>365</v>
      </c>
      <c r="BK496" t="s">
        <v>101</v>
      </c>
      <c r="BL496" t="s">
        <v>365</v>
      </c>
      <c r="BM496" t="s">
        <v>10000</v>
      </c>
      <c r="BN496" t="s">
        <v>74</v>
      </c>
      <c r="BO496" t="s">
        <v>74</v>
      </c>
      <c r="BP496" t="s">
        <v>74</v>
      </c>
      <c r="BQ496" t="s">
        <v>74</v>
      </c>
      <c r="BR496" t="s">
        <v>105</v>
      </c>
      <c r="BS496" t="s">
        <v>10001</v>
      </c>
      <c r="BT496" t="str">
        <f>HYPERLINK("https%3A%2F%2Fwww.webofscience.com%2Fwos%2Fwoscc%2Ffull-record%2FWOS:000708366100013","View Full Record in Web of Science")</f>
        <v>View Full Record in Web of Science</v>
      </c>
    </row>
    <row r="497" spans="1:72" x14ac:dyDescent="0.15">
      <c r="A497" t="s">
        <v>72</v>
      </c>
      <c r="B497" t="s">
        <v>10002</v>
      </c>
      <c r="C497" t="s">
        <v>74</v>
      </c>
      <c r="D497" t="s">
        <v>74</v>
      </c>
      <c r="E497" t="s">
        <v>74</v>
      </c>
      <c r="F497" t="s">
        <v>10003</v>
      </c>
      <c r="G497" t="s">
        <v>74</v>
      </c>
      <c r="H497" t="s">
        <v>74</v>
      </c>
      <c r="I497" t="s">
        <v>10004</v>
      </c>
      <c r="J497" t="s">
        <v>4924</v>
      </c>
      <c r="K497" t="s">
        <v>74</v>
      </c>
      <c r="L497" t="s">
        <v>74</v>
      </c>
      <c r="M497" t="s">
        <v>78</v>
      </c>
      <c r="N497" t="s">
        <v>79</v>
      </c>
      <c r="O497" t="s">
        <v>74</v>
      </c>
      <c r="P497" t="s">
        <v>74</v>
      </c>
      <c r="Q497" t="s">
        <v>74</v>
      </c>
      <c r="R497" t="s">
        <v>74</v>
      </c>
      <c r="S497" t="s">
        <v>74</v>
      </c>
      <c r="T497" t="s">
        <v>10005</v>
      </c>
      <c r="U497" t="s">
        <v>10006</v>
      </c>
      <c r="V497" t="s">
        <v>10007</v>
      </c>
      <c r="W497" t="s">
        <v>10008</v>
      </c>
      <c r="X497" t="s">
        <v>10009</v>
      </c>
      <c r="Y497" t="s">
        <v>10010</v>
      </c>
      <c r="Z497" t="s">
        <v>10011</v>
      </c>
      <c r="AA497" t="s">
        <v>10012</v>
      </c>
      <c r="AB497" t="s">
        <v>10013</v>
      </c>
      <c r="AC497" t="s">
        <v>10014</v>
      </c>
      <c r="AD497" t="s">
        <v>10015</v>
      </c>
      <c r="AE497" t="s">
        <v>10016</v>
      </c>
      <c r="AF497" t="s">
        <v>74</v>
      </c>
      <c r="AG497">
        <v>101</v>
      </c>
      <c r="AH497">
        <v>4</v>
      </c>
      <c r="AI497">
        <v>4</v>
      </c>
      <c r="AJ497">
        <v>0</v>
      </c>
      <c r="AK497">
        <v>1</v>
      </c>
      <c r="AL497" t="s">
        <v>4192</v>
      </c>
      <c r="AM497" t="s">
        <v>4193</v>
      </c>
      <c r="AN497" t="s">
        <v>4194</v>
      </c>
      <c r="AO497" t="s">
        <v>74</v>
      </c>
      <c r="AP497" t="s">
        <v>4937</v>
      </c>
      <c r="AQ497" t="s">
        <v>74</v>
      </c>
      <c r="AR497" t="s">
        <v>4924</v>
      </c>
      <c r="AS497" t="s">
        <v>4938</v>
      </c>
      <c r="AT497" t="s">
        <v>7760</v>
      </c>
      <c r="AU497">
        <v>2021</v>
      </c>
      <c r="AV497">
        <v>11</v>
      </c>
      <c r="AW497">
        <v>10</v>
      </c>
      <c r="AX497" t="s">
        <v>74</v>
      </c>
      <c r="AY497" t="s">
        <v>74</v>
      </c>
      <c r="AZ497" t="s">
        <v>74</v>
      </c>
      <c r="BA497" t="s">
        <v>74</v>
      </c>
      <c r="BB497" t="s">
        <v>74</v>
      </c>
      <c r="BC497" t="s">
        <v>74</v>
      </c>
      <c r="BD497">
        <v>428</v>
      </c>
      <c r="BE497" t="s">
        <v>10017</v>
      </c>
      <c r="BF497" t="str">
        <f>HYPERLINK("http://dx.doi.org/10.3390/geosciences11100428","http://dx.doi.org/10.3390/geosciences11100428")</f>
        <v>http://dx.doi.org/10.3390/geosciences11100428</v>
      </c>
      <c r="BG497" t="s">
        <v>74</v>
      </c>
      <c r="BH497" t="s">
        <v>74</v>
      </c>
      <c r="BI497">
        <v>23</v>
      </c>
      <c r="BJ497" t="s">
        <v>236</v>
      </c>
      <c r="BK497" t="s">
        <v>1629</v>
      </c>
      <c r="BL497" t="s">
        <v>237</v>
      </c>
      <c r="BM497" t="s">
        <v>10018</v>
      </c>
      <c r="BN497" t="s">
        <v>74</v>
      </c>
      <c r="BO497" t="s">
        <v>4963</v>
      </c>
      <c r="BP497" t="s">
        <v>74</v>
      </c>
      <c r="BQ497" t="s">
        <v>74</v>
      </c>
      <c r="BR497" t="s">
        <v>105</v>
      </c>
      <c r="BS497" t="s">
        <v>10019</v>
      </c>
      <c r="BT497" t="str">
        <f>HYPERLINK("https%3A%2F%2Fwww.webofscience.com%2Fwos%2Fwoscc%2Ffull-record%2FWOS:000715712500001","View Full Record in Web of Science")</f>
        <v>View Full Record in Web of Science</v>
      </c>
    </row>
    <row r="498" spans="1:72" x14ac:dyDescent="0.15">
      <c r="A498" t="s">
        <v>72</v>
      </c>
      <c r="B498" t="s">
        <v>10020</v>
      </c>
      <c r="C498" t="s">
        <v>74</v>
      </c>
      <c r="D498" t="s">
        <v>74</v>
      </c>
      <c r="E498" t="s">
        <v>74</v>
      </c>
      <c r="F498" t="s">
        <v>10021</v>
      </c>
      <c r="G498" t="s">
        <v>74</v>
      </c>
      <c r="H498" t="s">
        <v>74</v>
      </c>
      <c r="I498" t="s">
        <v>10022</v>
      </c>
      <c r="J498" t="s">
        <v>4682</v>
      </c>
      <c r="K498" t="s">
        <v>74</v>
      </c>
      <c r="L498" t="s">
        <v>74</v>
      </c>
      <c r="M498" t="s">
        <v>78</v>
      </c>
      <c r="N498" t="s">
        <v>79</v>
      </c>
      <c r="O498" t="s">
        <v>74</v>
      </c>
      <c r="P498" t="s">
        <v>74</v>
      </c>
      <c r="Q498" t="s">
        <v>74</v>
      </c>
      <c r="R498" t="s">
        <v>74</v>
      </c>
      <c r="S498" t="s">
        <v>74</v>
      </c>
      <c r="T498" t="s">
        <v>74</v>
      </c>
      <c r="U498" t="s">
        <v>10023</v>
      </c>
      <c r="V498" t="s">
        <v>10024</v>
      </c>
      <c r="W498" t="s">
        <v>10025</v>
      </c>
      <c r="X498" t="s">
        <v>10026</v>
      </c>
      <c r="Y498" t="s">
        <v>10027</v>
      </c>
      <c r="Z498" t="s">
        <v>10028</v>
      </c>
      <c r="AA498" t="s">
        <v>10029</v>
      </c>
      <c r="AB498" t="s">
        <v>10030</v>
      </c>
      <c r="AC498" t="s">
        <v>10031</v>
      </c>
      <c r="AD498" t="s">
        <v>10032</v>
      </c>
      <c r="AE498" t="s">
        <v>10033</v>
      </c>
      <c r="AF498" t="s">
        <v>74</v>
      </c>
      <c r="AG498">
        <v>45</v>
      </c>
      <c r="AH498">
        <v>4</v>
      </c>
      <c r="AI498">
        <v>4</v>
      </c>
      <c r="AJ498">
        <v>2</v>
      </c>
      <c r="AK498">
        <v>16</v>
      </c>
      <c r="AL498" t="s">
        <v>760</v>
      </c>
      <c r="AM498" t="s">
        <v>438</v>
      </c>
      <c r="AN498" t="s">
        <v>761</v>
      </c>
      <c r="AO498" t="s">
        <v>4695</v>
      </c>
      <c r="AP498" t="s">
        <v>4696</v>
      </c>
      <c r="AQ498" t="s">
        <v>74</v>
      </c>
      <c r="AR498" t="s">
        <v>4697</v>
      </c>
      <c r="AS498" t="s">
        <v>4698</v>
      </c>
      <c r="AT498" t="s">
        <v>7760</v>
      </c>
      <c r="AU498">
        <v>2021</v>
      </c>
      <c r="AV498">
        <v>126</v>
      </c>
      <c r="AW498">
        <v>10</v>
      </c>
      <c r="AX498" t="s">
        <v>74</v>
      </c>
      <c r="AY498" t="s">
        <v>74</v>
      </c>
      <c r="AZ498" t="s">
        <v>74</v>
      </c>
      <c r="BA498" t="s">
        <v>74</v>
      </c>
      <c r="BB498" t="s">
        <v>74</v>
      </c>
      <c r="BC498" t="s">
        <v>74</v>
      </c>
      <c r="BD498" t="s">
        <v>10034</v>
      </c>
      <c r="BE498" t="s">
        <v>10035</v>
      </c>
      <c r="BF498" t="str">
        <f>HYPERLINK("http://dx.doi.org/10.1029/2021JC017329","http://dx.doi.org/10.1029/2021JC017329")</f>
        <v>http://dx.doi.org/10.1029/2021JC017329</v>
      </c>
      <c r="BG498" t="s">
        <v>74</v>
      </c>
      <c r="BH498" t="s">
        <v>74</v>
      </c>
      <c r="BI498">
        <v>19</v>
      </c>
      <c r="BJ498" t="s">
        <v>264</v>
      </c>
      <c r="BK498" t="s">
        <v>101</v>
      </c>
      <c r="BL498" t="s">
        <v>264</v>
      </c>
      <c r="BM498" t="s">
        <v>10036</v>
      </c>
      <c r="BN498" t="s">
        <v>74</v>
      </c>
      <c r="BO498" t="s">
        <v>74</v>
      </c>
      <c r="BP498" t="s">
        <v>74</v>
      </c>
      <c r="BQ498" t="s">
        <v>74</v>
      </c>
      <c r="BR498" t="s">
        <v>105</v>
      </c>
      <c r="BS498" t="s">
        <v>10037</v>
      </c>
      <c r="BT498" t="str">
        <f>HYPERLINK("https%3A%2F%2Fwww.webofscience.com%2Fwos%2Fwoscc%2Ffull-record%2FWOS:000714344600020","View Full Record in Web of Science")</f>
        <v>View Full Record in Web of Science</v>
      </c>
    </row>
    <row r="499" spans="1:72" x14ac:dyDescent="0.15">
      <c r="A499" t="s">
        <v>72</v>
      </c>
      <c r="B499" t="s">
        <v>10038</v>
      </c>
      <c r="C499" t="s">
        <v>74</v>
      </c>
      <c r="D499" t="s">
        <v>74</v>
      </c>
      <c r="E499" t="s">
        <v>74</v>
      </c>
      <c r="F499" t="s">
        <v>10039</v>
      </c>
      <c r="G499" t="s">
        <v>74</v>
      </c>
      <c r="H499" t="s">
        <v>74</v>
      </c>
      <c r="I499" t="s">
        <v>10040</v>
      </c>
      <c r="J499" t="s">
        <v>4682</v>
      </c>
      <c r="K499" t="s">
        <v>74</v>
      </c>
      <c r="L499" t="s">
        <v>74</v>
      </c>
      <c r="M499" t="s">
        <v>78</v>
      </c>
      <c r="N499" t="s">
        <v>79</v>
      </c>
      <c r="O499" t="s">
        <v>74</v>
      </c>
      <c r="P499" t="s">
        <v>74</v>
      </c>
      <c r="Q499" t="s">
        <v>74</v>
      </c>
      <c r="R499" t="s">
        <v>74</v>
      </c>
      <c r="S499" t="s">
        <v>74</v>
      </c>
      <c r="T499" t="s">
        <v>10041</v>
      </c>
      <c r="U499" t="s">
        <v>10042</v>
      </c>
      <c r="V499" t="s">
        <v>10043</v>
      </c>
      <c r="W499" t="s">
        <v>10044</v>
      </c>
      <c r="X499" t="s">
        <v>10045</v>
      </c>
      <c r="Y499" t="s">
        <v>10046</v>
      </c>
      <c r="Z499" t="s">
        <v>10047</v>
      </c>
      <c r="AA499" t="s">
        <v>74</v>
      </c>
      <c r="AB499" t="s">
        <v>10048</v>
      </c>
      <c r="AC499" t="s">
        <v>10049</v>
      </c>
      <c r="AD499" t="s">
        <v>5096</v>
      </c>
      <c r="AE499" t="s">
        <v>10050</v>
      </c>
      <c r="AF499" t="s">
        <v>74</v>
      </c>
      <c r="AG499">
        <v>49</v>
      </c>
      <c r="AH499">
        <v>7</v>
      </c>
      <c r="AI499">
        <v>8</v>
      </c>
      <c r="AJ499">
        <v>0</v>
      </c>
      <c r="AK499">
        <v>12</v>
      </c>
      <c r="AL499" t="s">
        <v>760</v>
      </c>
      <c r="AM499" t="s">
        <v>438</v>
      </c>
      <c r="AN499" t="s">
        <v>761</v>
      </c>
      <c r="AO499" t="s">
        <v>4695</v>
      </c>
      <c r="AP499" t="s">
        <v>4696</v>
      </c>
      <c r="AQ499" t="s">
        <v>74</v>
      </c>
      <c r="AR499" t="s">
        <v>4697</v>
      </c>
      <c r="AS499" t="s">
        <v>4698</v>
      </c>
      <c r="AT499" t="s">
        <v>7760</v>
      </c>
      <c r="AU499">
        <v>2021</v>
      </c>
      <c r="AV499">
        <v>126</v>
      </c>
      <c r="AW499">
        <v>10</v>
      </c>
      <c r="AX499" t="s">
        <v>74</v>
      </c>
      <c r="AY499" t="s">
        <v>74</v>
      </c>
      <c r="AZ499" t="s">
        <v>74</v>
      </c>
      <c r="BA499" t="s">
        <v>74</v>
      </c>
      <c r="BB499" t="s">
        <v>74</v>
      </c>
      <c r="BC499" t="s">
        <v>74</v>
      </c>
      <c r="BD499" t="s">
        <v>10051</v>
      </c>
      <c r="BE499" t="s">
        <v>10052</v>
      </c>
      <c r="BF499" t="str">
        <f>HYPERLINK("http://dx.doi.org/10.1029/2021JC017643","http://dx.doi.org/10.1029/2021JC017643")</f>
        <v>http://dx.doi.org/10.1029/2021JC017643</v>
      </c>
      <c r="BG499" t="s">
        <v>74</v>
      </c>
      <c r="BH499" t="s">
        <v>74</v>
      </c>
      <c r="BI499">
        <v>18</v>
      </c>
      <c r="BJ499" t="s">
        <v>264</v>
      </c>
      <c r="BK499" t="s">
        <v>101</v>
      </c>
      <c r="BL499" t="s">
        <v>264</v>
      </c>
      <c r="BM499" t="s">
        <v>10036</v>
      </c>
      <c r="BN499" t="s">
        <v>74</v>
      </c>
      <c r="BO499" t="s">
        <v>74</v>
      </c>
      <c r="BP499" t="s">
        <v>74</v>
      </c>
      <c r="BQ499" t="s">
        <v>74</v>
      </c>
      <c r="BR499" t="s">
        <v>105</v>
      </c>
      <c r="BS499" t="s">
        <v>10053</v>
      </c>
      <c r="BT499" t="str">
        <f>HYPERLINK("https%3A%2F%2Fwww.webofscience.com%2Fwos%2Fwoscc%2Ffull-record%2FWOS:000714344600006","View Full Record in Web of Science")</f>
        <v>View Full Record in Web of Science</v>
      </c>
    </row>
    <row r="500" spans="1:72" x14ac:dyDescent="0.15">
      <c r="A500" t="s">
        <v>72</v>
      </c>
      <c r="B500" t="s">
        <v>10054</v>
      </c>
      <c r="C500" t="s">
        <v>74</v>
      </c>
      <c r="D500" t="s">
        <v>74</v>
      </c>
      <c r="E500" t="s">
        <v>74</v>
      </c>
      <c r="F500" t="s">
        <v>10055</v>
      </c>
      <c r="G500" t="s">
        <v>74</v>
      </c>
      <c r="H500" t="s">
        <v>74</v>
      </c>
      <c r="I500" t="s">
        <v>10056</v>
      </c>
      <c r="J500" t="s">
        <v>4682</v>
      </c>
      <c r="K500" t="s">
        <v>74</v>
      </c>
      <c r="L500" t="s">
        <v>74</v>
      </c>
      <c r="M500" t="s">
        <v>78</v>
      </c>
      <c r="N500" t="s">
        <v>79</v>
      </c>
      <c r="O500" t="s">
        <v>74</v>
      </c>
      <c r="P500" t="s">
        <v>74</v>
      </c>
      <c r="Q500" t="s">
        <v>74</v>
      </c>
      <c r="R500" t="s">
        <v>74</v>
      </c>
      <c r="S500" t="s">
        <v>74</v>
      </c>
      <c r="T500" t="s">
        <v>74</v>
      </c>
      <c r="U500" t="s">
        <v>10057</v>
      </c>
      <c r="V500" t="s">
        <v>10058</v>
      </c>
      <c r="W500" t="s">
        <v>10059</v>
      </c>
      <c r="X500" t="s">
        <v>10060</v>
      </c>
      <c r="Y500" t="s">
        <v>10061</v>
      </c>
      <c r="Z500" t="s">
        <v>10062</v>
      </c>
      <c r="AA500" t="s">
        <v>74</v>
      </c>
      <c r="AB500" t="s">
        <v>10063</v>
      </c>
      <c r="AC500" t="s">
        <v>10064</v>
      </c>
      <c r="AD500" t="s">
        <v>10065</v>
      </c>
      <c r="AE500" t="s">
        <v>10066</v>
      </c>
      <c r="AF500" t="s">
        <v>74</v>
      </c>
      <c r="AG500">
        <v>50</v>
      </c>
      <c r="AH500">
        <v>1</v>
      </c>
      <c r="AI500">
        <v>1</v>
      </c>
      <c r="AJ500">
        <v>1</v>
      </c>
      <c r="AK500">
        <v>13</v>
      </c>
      <c r="AL500" t="s">
        <v>760</v>
      </c>
      <c r="AM500" t="s">
        <v>438</v>
      </c>
      <c r="AN500" t="s">
        <v>761</v>
      </c>
      <c r="AO500" t="s">
        <v>4695</v>
      </c>
      <c r="AP500" t="s">
        <v>4696</v>
      </c>
      <c r="AQ500" t="s">
        <v>74</v>
      </c>
      <c r="AR500" t="s">
        <v>4697</v>
      </c>
      <c r="AS500" t="s">
        <v>4698</v>
      </c>
      <c r="AT500" t="s">
        <v>7760</v>
      </c>
      <c r="AU500">
        <v>2021</v>
      </c>
      <c r="AV500">
        <v>126</v>
      </c>
      <c r="AW500">
        <v>10</v>
      </c>
      <c r="AX500" t="s">
        <v>74</v>
      </c>
      <c r="AY500" t="s">
        <v>74</v>
      </c>
      <c r="AZ500" t="s">
        <v>74</v>
      </c>
      <c r="BA500" t="s">
        <v>74</v>
      </c>
      <c r="BB500" t="s">
        <v>74</v>
      </c>
      <c r="BC500" t="s">
        <v>74</v>
      </c>
      <c r="BD500" t="s">
        <v>10067</v>
      </c>
      <c r="BE500" t="s">
        <v>10068</v>
      </c>
      <c r="BF500" t="str">
        <f>HYPERLINK("http://dx.doi.org/10.1029/2021JC017179","http://dx.doi.org/10.1029/2021JC017179")</f>
        <v>http://dx.doi.org/10.1029/2021JC017179</v>
      </c>
      <c r="BG500" t="s">
        <v>74</v>
      </c>
      <c r="BH500" t="s">
        <v>74</v>
      </c>
      <c r="BI500">
        <v>17</v>
      </c>
      <c r="BJ500" t="s">
        <v>264</v>
      </c>
      <c r="BK500" t="s">
        <v>101</v>
      </c>
      <c r="BL500" t="s">
        <v>264</v>
      </c>
      <c r="BM500" t="s">
        <v>10036</v>
      </c>
      <c r="BN500" t="s">
        <v>74</v>
      </c>
      <c r="BO500" t="s">
        <v>74</v>
      </c>
      <c r="BP500" t="s">
        <v>74</v>
      </c>
      <c r="BQ500" t="s">
        <v>74</v>
      </c>
      <c r="BR500" t="s">
        <v>105</v>
      </c>
      <c r="BS500" t="s">
        <v>10069</v>
      </c>
      <c r="BT500" t="str">
        <f>HYPERLINK("https%3A%2F%2Fwww.webofscience.com%2Fwos%2Fwoscc%2Ffull-record%2FWOS:000714344600014","View Full Record in Web of Science")</f>
        <v>View Full Record in Web of Science</v>
      </c>
    </row>
    <row r="501" spans="1:72" x14ac:dyDescent="0.15">
      <c r="A501" t="s">
        <v>72</v>
      </c>
      <c r="B501" t="s">
        <v>10070</v>
      </c>
      <c r="C501" t="s">
        <v>74</v>
      </c>
      <c r="D501" t="s">
        <v>74</v>
      </c>
      <c r="E501" t="s">
        <v>74</v>
      </c>
      <c r="F501" t="s">
        <v>10071</v>
      </c>
      <c r="G501" t="s">
        <v>74</v>
      </c>
      <c r="H501" t="s">
        <v>74</v>
      </c>
      <c r="I501" t="s">
        <v>10072</v>
      </c>
      <c r="J501" t="s">
        <v>4682</v>
      </c>
      <c r="K501" t="s">
        <v>74</v>
      </c>
      <c r="L501" t="s">
        <v>74</v>
      </c>
      <c r="M501" t="s">
        <v>78</v>
      </c>
      <c r="N501" t="s">
        <v>79</v>
      </c>
      <c r="O501" t="s">
        <v>74</v>
      </c>
      <c r="P501" t="s">
        <v>74</v>
      </c>
      <c r="Q501" t="s">
        <v>74</v>
      </c>
      <c r="R501" t="s">
        <v>74</v>
      </c>
      <c r="S501" t="s">
        <v>74</v>
      </c>
      <c r="T501" t="s">
        <v>74</v>
      </c>
      <c r="U501" t="s">
        <v>10073</v>
      </c>
      <c r="V501" t="s">
        <v>10074</v>
      </c>
      <c r="W501" t="s">
        <v>10075</v>
      </c>
      <c r="X501" t="s">
        <v>940</v>
      </c>
      <c r="Y501" t="s">
        <v>10076</v>
      </c>
      <c r="Z501" t="s">
        <v>10077</v>
      </c>
      <c r="AA501" t="s">
        <v>10078</v>
      </c>
      <c r="AB501" t="s">
        <v>74</v>
      </c>
      <c r="AC501" t="s">
        <v>10079</v>
      </c>
      <c r="AD501" t="s">
        <v>10080</v>
      </c>
      <c r="AE501" t="s">
        <v>10081</v>
      </c>
      <c r="AF501" t="s">
        <v>74</v>
      </c>
      <c r="AG501">
        <v>39</v>
      </c>
      <c r="AH501">
        <v>5</v>
      </c>
      <c r="AI501">
        <v>6</v>
      </c>
      <c r="AJ501">
        <v>0</v>
      </c>
      <c r="AK501">
        <v>3</v>
      </c>
      <c r="AL501" t="s">
        <v>760</v>
      </c>
      <c r="AM501" t="s">
        <v>438</v>
      </c>
      <c r="AN501" t="s">
        <v>761</v>
      </c>
      <c r="AO501" t="s">
        <v>4695</v>
      </c>
      <c r="AP501" t="s">
        <v>4696</v>
      </c>
      <c r="AQ501" t="s">
        <v>74</v>
      </c>
      <c r="AR501" t="s">
        <v>4697</v>
      </c>
      <c r="AS501" t="s">
        <v>4698</v>
      </c>
      <c r="AT501" t="s">
        <v>7760</v>
      </c>
      <c r="AU501">
        <v>2021</v>
      </c>
      <c r="AV501">
        <v>126</v>
      </c>
      <c r="AW501">
        <v>10</v>
      </c>
      <c r="AX501" t="s">
        <v>74</v>
      </c>
      <c r="AY501" t="s">
        <v>74</v>
      </c>
      <c r="AZ501" t="s">
        <v>74</v>
      </c>
      <c r="BA501" t="s">
        <v>74</v>
      </c>
      <c r="BB501" t="s">
        <v>74</v>
      </c>
      <c r="BC501" t="s">
        <v>74</v>
      </c>
      <c r="BD501" t="s">
        <v>10082</v>
      </c>
      <c r="BE501" t="s">
        <v>10083</v>
      </c>
      <c r="BF501" t="str">
        <f>HYPERLINK("http://dx.doi.org/10.1029/2021JC017290","http://dx.doi.org/10.1029/2021JC017290")</f>
        <v>http://dx.doi.org/10.1029/2021JC017290</v>
      </c>
      <c r="BG501" t="s">
        <v>74</v>
      </c>
      <c r="BH501" t="s">
        <v>74</v>
      </c>
      <c r="BI501">
        <v>23</v>
      </c>
      <c r="BJ501" t="s">
        <v>264</v>
      </c>
      <c r="BK501" t="s">
        <v>101</v>
      </c>
      <c r="BL501" t="s">
        <v>264</v>
      </c>
      <c r="BM501" t="s">
        <v>10036</v>
      </c>
      <c r="BN501" t="s">
        <v>74</v>
      </c>
      <c r="BO501" t="s">
        <v>314</v>
      </c>
      <c r="BP501" t="s">
        <v>74</v>
      </c>
      <c r="BQ501" t="s">
        <v>74</v>
      </c>
      <c r="BR501" t="s">
        <v>105</v>
      </c>
      <c r="BS501" t="s">
        <v>10084</v>
      </c>
      <c r="BT501" t="str">
        <f>HYPERLINK("https%3A%2F%2Fwww.webofscience.com%2Fwos%2Fwoscc%2Ffull-record%2FWOS:000714344600001","View Full Record in Web of Science")</f>
        <v>View Full Record in Web of Science</v>
      </c>
    </row>
    <row r="502" spans="1:72" x14ac:dyDescent="0.15">
      <c r="A502" t="s">
        <v>72</v>
      </c>
      <c r="B502" t="s">
        <v>10085</v>
      </c>
      <c r="C502" t="s">
        <v>74</v>
      </c>
      <c r="D502" t="s">
        <v>74</v>
      </c>
      <c r="E502" t="s">
        <v>74</v>
      </c>
      <c r="F502" t="s">
        <v>10086</v>
      </c>
      <c r="G502" t="s">
        <v>74</v>
      </c>
      <c r="H502" t="s">
        <v>74</v>
      </c>
      <c r="I502" t="s">
        <v>10087</v>
      </c>
      <c r="J502" t="s">
        <v>4682</v>
      </c>
      <c r="K502" t="s">
        <v>74</v>
      </c>
      <c r="L502" t="s">
        <v>74</v>
      </c>
      <c r="M502" t="s">
        <v>78</v>
      </c>
      <c r="N502" t="s">
        <v>79</v>
      </c>
      <c r="O502" t="s">
        <v>74</v>
      </c>
      <c r="P502" t="s">
        <v>74</v>
      </c>
      <c r="Q502" t="s">
        <v>74</v>
      </c>
      <c r="R502" t="s">
        <v>74</v>
      </c>
      <c r="S502" t="s">
        <v>74</v>
      </c>
      <c r="T502" t="s">
        <v>74</v>
      </c>
      <c r="U502" t="s">
        <v>10088</v>
      </c>
      <c r="V502" t="s">
        <v>10089</v>
      </c>
      <c r="W502" t="s">
        <v>10090</v>
      </c>
      <c r="X502" t="s">
        <v>10091</v>
      </c>
      <c r="Y502" t="s">
        <v>10092</v>
      </c>
      <c r="Z502" t="s">
        <v>10093</v>
      </c>
      <c r="AA502" t="s">
        <v>10094</v>
      </c>
      <c r="AB502" t="s">
        <v>10095</v>
      </c>
      <c r="AC502" t="s">
        <v>10096</v>
      </c>
      <c r="AD502" t="s">
        <v>10097</v>
      </c>
      <c r="AE502" t="s">
        <v>10098</v>
      </c>
      <c r="AF502" t="s">
        <v>74</v>
      </c>
      <c r="AG502">
        <v>62</v>
      </c>
      <c r="AH502">
        <v>6</v>
      </c>
      <c r="AI502">
        <v>6</v>
      </c>
      <c r="AJ502">
        <v>1</v>
      </c>
      <c r="AK502">
        <v>11</v>
      </c>
      <c r="AL502" t="s">
        <v>760</v>
      </c>
      <c r="AM502" t="s">
        <v>438</v>
      </c>
      <c r="AN502" t="s">
        <v>761</v>
      </c>
      <c r="AO502" t="s">
        <v>4695</v>
      </c>
      <c r="AP502" t="s">
        <v>4696</v>
      </c>
      <c r="AQ502" t="s">
        <v>74</v>
      </c>
      <c r="AR502" t="s">
        <v>4697</v>
      </c>
      <c r="AS502" t="s">
        <v>4698</v>
      </c>
      <c r="AT502" t="s">
        <v>7760</v>
      </c>
      <c r="AU502">
        <v>2021</v>
      </c>
      <c r="AV502">
        <v>126</v>
      </c>
      <c r="AW502">
        <v>10</v>
      </c>
      <c r="AX502" t="s">
        <v>74</v>
      </c>
      <c r="AY502" t="s">
        <v>74</v>
      </c>
      <c r="AZ502" t="s">
        <v>74</v>
      </c>
      <c r="BA502" t="s">
        <v>74</v>
      </c>
      <c r="BB502" t="s">
        <v>74</v>
      </c>
      <c r="BC502" t="s">
        <v>74</v>
      </c>
      <c r="BD502" t="s">
        <v>10099</v>
      </c>
      <c r="BE502" t="s">
        <v>10100</v>
      </c>
      <c r="BF502" t="str">
        <f>HYPERLINK("http://dx.doi.org/10.1029/2021JC017422","http://dx.doi.org/10.1029/2021JC017422")</f>
        <v>http://dx.doi.org/10.1029/2021JC017422</v>
      </c>
      <c r="BG502" t="s">
        <v>74</v>
      </c>
      <c r="BH502" t="s">
        <v>74</v>
      </c>
      <c r="BI502">
        <v>19</v>
      </c>
      <c r="BJ502" t="s">
        <v>264</v>
      </c>
      <c r="BK502" t="s">
        <v>101</v>
      </c>
      <c r="BL502" t="s">
        <v>264</v>
      </c>
      <c r="BM502" t="s">
        <v>10036</v>
      </c>
      <c r="BN502" t="s">
        <v>74</v>
      </c>
      <c r="BO502" t="s">
        <v>1614</v>
      </c>
      <c r="BP502" t="s">
        <v>74</v>
      </c>
      <c r="BQ502" t="s">
        <v>74</v>
      </c>
      <c r="BR502" t="s">
        <v>105</v>
      </c>
      <c r="BS502" t="s">
        <v>10101</v>
      </c>
      <c r="BT502" t="str">
        <f>HYPERLINK("https%3A%2F%2Fwww.webofscience.com%2Fwos%2Fwoscc%2Ffull-record%2FWOS:000714344600018","View Full Record in Web of Science")</f>
        <v>View Full Record in Web of Science</v>
      </c>
    </row>
    <row r="503" spans="1:72" x14ac:dyDescent="0.15">
      <c r="A503" t="s">
        <v>72</v>
      </c>
      <c r="B503" t="s">
        <v>10102</v>
      </c>
      <c r="C503" t="s">
        <v>74</v>
      </c>
      <c r="D503" t="s">
        <v>74</v>
      </c>
      <c r="E503" t="s">
        <v>74</v>
      </c>
      <c r="F503" t="s">
        <v>10103</v>
      </c>
      <c r="G503" t="s">
        <v>74</v>
      </c>
      <c r="H503" t="s">
        <v>74</v>
      </c>
      <c r="I503" t="s">
        <v>10104</v>
      </c>
      <c r="J503" t="s">
        <v>10105</v>
      </c>
      <c r="K503" t="s">
        <v>74</v>
      </c>
      <c r="L503" t="s">
        <v>74</v>
      </c>
      <c r="M503" t="s">
        <v>78</v>
      </c>
      <c r="N503" t="s">
        <v>79</v>
      </c>
      <c r="O503" t="s">
        <v>74</v>
      </c>
      <c r="P503" t="s">
        <v>74</v>
      </c>
      <c r="Q503" t="s">
        <v>74</v>
      </c>
      <c r="R503" t="s">
        <v>74</v>
      </c>
      <c r="S503" t="s">
        <v>74</v>
      </c>
      <c r="T503" t="s">
        <v>10106</v>
      </c>
      <c r="U503" t="s">
        <v>10107</v>
      </c>
      <c r="V503" t="s">
        <v>10108</v>
      </c>
      <c r="W503" t="s">
        <v>10109</v>
      </c>
      <c r="X503" t="s">
        <v>10110</v>
      </c>
      <c r="Y503" t="s">
        <v>10111</v>
      </c>
      <c r="Z503" t="s">
        <v>10112</v>
      </c>
      <c r="AA503" t="s">
        <v>10113</v>
      </c>
      <c r="AB503" t="s">
        <v>10114</v>
      </c>
      <c r="AC503" t="s">
        <v>10115</v>
      </c>
      <c r="AD503" t="s">
        <v>10116</v>
      </c>
      <c r="AE503" t="s">
        <v>10117</v>
      </c>
      <c r="AF503" t="s">
        <v>74</v>
      </c>
      <c r="AG503">
        <v>64</v>
      </c>
      <c r="AH503">
        <v>4</v>
      </c>
      <c r="AI503">
        <v>4</v>
      </c>
      <c r="AJ503">
        <v>3</v>
      </c>
      <c r="AK503">
        <v>35</v>
      </c>
      <c r="AL503" t="s">
        <v>4192</v>
      </c>
      <c r="AM503" t="s">
        <v>4193</v>
      </c>
      <c r="AN503" t="s">
        <v>4194</v>
      </c>
      <c r="AO503" t="s">
        <v>74</v>
      </c>
      <c r="AP503" t="s">
        <v>10118</v>
      </c>
      <c r="AQ503" t="s">
        <v>74</v>
      </c>
      <c r="AR503" t="s">
        <v>10119</v>
      </c>
      <c r="AS503" t="s">
        <v>10120</v>
      </c>
      <c r="AT503" t="s">
        <v>7760</v>
      </c>
      <c r="AU503">
        <v>2021</v>
      </c>
      <c r="AV503">
        <v>9</v>
      </c>
      <c r="AW503">
        <v>10</v>
      </c>
      <c r="AX503" t="s">
        <v>74</v>
      </c>
      <c r="AY503" t="s">
        <v>74</v>
      </c>
      <c r="AZ503" t="s">
        <v>74</v>
      </c>
      <c r="BA503" t="s">
        <v>74</v>
      </c>
      <c r="BB503" t="s">
        <v>74</v>
      </c>
      <c r="BC503" t="s">
        <v>74</v>
      </c>
      <c r="BD503">
        <v>1145</v>
      </c>
      <c r="BE503" t="s">
        <v>10121</v>
      </c>
      <c r="BF503" t="str">
        <f>HYPERLINK("http://dx.doi.org/10.3390/jmse9101145","http://dx.doi.org/10.3390/jmse9101145")</f>
        <v>http://dx.doi.org/10.3390/jmse9101145</v>
      </c>
      <c r="BG503" t="s">
        <v>74</v>
      </c>
      <c r="BH503" t="s">
        <v>74</v>
      </c>
      <c r="BI503">
        <v>15</v>
      </c>
      <c r="BJ503" t="s">
        <v>10122</v>
      </c>
      <c r="BK503" t="s">
        <v>101</v>
      </c>
      <c r="BL503" t="s">
        <v>3965</v>
      </c>
      <c r="BM503" t="s">
        <v>10123</v>
      </c>
      <c r="BN503" t="s">
        <v>74</v>
      </c>
      <c r="BO503" t="s">
        <v>210</v>
      </c>
      <c r="BP503" t="s">
        <v>74</v>
      </c>
      <c r="BQ503" t="s">
        <v>74</v>
      </c>
      <c r="BR503" t="s">
        <v>105</v>
      </c>
      <c r="BS503" t="s">
        <v>10124</v>
      </c>
      <c r="BT503" t="str">
        <f>HYPERLINK("https%3A%2F%2Fwww.webofscience.com%2Fwos%2Fwoscc%2Ffull-record%2FWOS:000713659100001","View Full Record in Web of Science")</f>
        <v>View Full Record in Web of Science</v>
      </c>
    </row>
    <row r="504" spans="1:72" x14ac:dyDescent="0.15">
      <c r="A504" t="s">
        <v>72</v>
      </c>
      <c r="B504" t="s">
        <v>10125</v>
      </c>
      <c r="C504" t="s">
        <v>74</v>
      </c>
      <c r="D504" t="s">
        <v>74</v>
      </c>
      <c r="E504" t="s">
        <v>74</v>
      </c>
      <c r="F504" t="s">
        <v>10126</v>
      </c>
      <c r="G504" t="s">
        <v>74</v>
      </c>
      <c r="H504" t="s">
        <v>74</v>
      </c>
      <c r="I504" t="s">
        <v>10127</v>
      </c>
      <c r="J504" t="s">
        <v>5414</v>
      </c>
      <c r="K504" t="s">
        <v>74</v>
      </c>
      <c r="L504" t="s">
        <v>74</v>
      </c>
      <c r="M504" t="s">
        <v>78</v>
      </c>
      <c r="N504" t="s">
        <v>79</v>
      </c>
      <c r="O504" t="s">
        <v>74</v>
      </c>
      <c r="P504" t="s">
        <v>74</v>
      </c>
      <c r="Q504" t="s">
        <v>74</v>
      </c>
      <c r="R504" t="s">
        <v>74</v>
      </c>
      <c r="S504" t="s">
        <v>74</v>
      </c>
      <c r="T504" t="s">
        <v>10128</v>
      </c>
      <c r="U504" t="s">
        <v>10129</v>
      </c>
      <c r="V504" t="s">
        <v>10130</v>
      </c>
      <c r="W504" t="s">
        <v>10131</v>
      </c>
      <c r="X504" t="s">
        <v>10132</v>
      </c>
      <c r="Y504" t="s">
        <v>10133</v>
      </c>
      <c r="Z504" t="s">
        <v>10134</v>
      </c>
      <c r="AA504" t="s">
        <v>10135</v>
      </c>
      <c r="AB504" t="s">
        <v>10136</v>
      </c>
      <c r="AC504" t="s">
        <v>74</v>
      </c>
      <c r="AD504" t="s">
        <v>74</v>
      </c>
      <c r="AE504" t="s">
        <v>74</v>
      </c>
      <c r="AF504" t="s">
        <v>74</v>
      </c>
      <c r="AG504">
        <v>42</v>
      </c>
      <c r="AH504">
        <v>1</v>
      </c>
      <c r="AI504">
        <v>1</v>
      </c>
      <c r="AJ504">
        <v>1</v>
      </c>
      <c r="AK504">
        <v>10</v>
      </c>
      <c r="AL504" t="s">
        <v>4192</v>
      </c>
      <c r="AM504" t="s">
        <v>4193</v>
      </c>
      <c r="AN504" t="s">
        <v>4194</v>
      </c>
      <c r="AO504" t="s">
        <v>74</v>
      </c>
      <c r="AP504" t="s">
        <v>5426</v>
      </c>
      <c r="AQ504" t="s">
        <v>74</v>
      </c>
      <c r="AR504" t="s">
        <v>5414</v>
      </c>
      <c r="AS504" t="s">
        <v>5427</v>
      </c>
      <c r="AT504" t="s">
        <v>7760</v>
      </c>
      <c r="AU504">
        <v>2021</v>
      </c>
      <c r="AV504">
        <v>26</v>
      </c>
      <c r="AW504">
        <v>20</v>
      </c>
      <c r="AX504" t="s">
        <v>74</v>
      </c>
      <c r="AY504" t="s">
        <v>74</v>
      </c>
      <c r="AZ504" t="s">
        <v>74</v>
      </c>
      <c r="BA504" t="s">
        <v>74</v>
      </c>
      <c r="BB504" t="s">
        <v>74</v>
      </c>
      <c r="BC504" t="s">
        <v>74</v>
      </c>
      <c r="BD504">
        <v>6237</v>
      </c>
      <c r="BE504" t="s">
        <v>10137</v>
      </c>
      <c r="BF504" t="str">
        <f>HYPERLINK("http://dx.doi.org/10.3390/molecules26206237","http://dx.doi.org/10.3390/molecules26206237")</f>
        <v>http://dx.doi.org/10.3390/molecules26206237</v>
      </c>
      <c r="BG504" t="s">
        <v>74</v>
      </c>
      <c r="BH504" t="s">
        <v>74</v>
      </c>
      <c r="BI504">
        <v>19</v>
      </c>
      <c r="BJ504" t="s">
        <v>5429</v>
      </c>
      <c r="BK504" t="s">
        <v>101</v>
      </c>
      <c r="BL504" t="s">
        <v>5430</v>
      </c>
      <c r="BM504" t="s">
        <v>10138</v>
      </c>
      <c r="BN504">
        <v>34684818</v>
      </c>
      <c r="BO504" t="s">
        <v>1094</v>
      </c>
      <c r="BP504" t="s">
        <v>74</v>
      </c>
      <c r="BQ504" t="s">
        <v>74</v>
      </c>
      <c r="BR504" t="s">
        <v>105</v>
      </c>
      <c r="BS504" t="s">
        <v>10139</v>
      </c>
      <c r="BT504" t="str">
        <f>HYPERLINK("https%3A%2F%2Fwww.webofscience.com%2Fwos%2Fwoscc%2Ffull-record%2FWOS:000714588600001","View Full Record in Web of Science")</f>
        <v>View Full Record in Web of Science</v>
      </c>
    </row>
    <row r="505" spans="1:72" x14ac:dyDescent="0.15">
      <c r="A505" t="s">
        <v>72</v>
      </c>
      <c r="B505" t="s">
        <v>10140</v>
      </c>
      <c r="C505" t="s">
        <v>74</v>
      </c>
      <c r="D505" t="s">
        <v>74</v>
      </c>
      <c r="E505" t="s">
        <v>74</v>
      </c>
      <c r="F505" t="s">
        <v>10141</v>
      </c>
      <c r="G505" t="s">
        <v>74</v>
      </c>
      <c r="H505" t="s">
        <v>74</v>
      </c>
      <c r="I505" t="s">
        <v>10142</v>
      </c>
      <c r="J505" t="s">
        <v>10143</v>
      </c>
      <c r="K505" t="s">
        <v>74</v>
      </c>
      <c r="L505" t="s">
        <v>74</v>
      </c>
      <c r="M505" t="s">
        <v>78</v>
      </c>
      <c r="N505" t="s">
        <v>79</v>
      </c>
      <c r="O505" t="s">
        <v>74</v>
      </c>
      <c r="P505" t="s">
        <v>74</v>
      </c>
      <c r="Q505" t="s">
        <v>74</v>
      </c>
      <c r="R505" t="s">
        <v>74</v>
      </c>
      <c r="S505" t="s">
        <v>74</v>
      </c>
      <c r="T505" t="s">
        <v>10144</v>
      </c>
      <c r="U505" t="s">
        <v>10145</v>
      </c>
      <c r="V505" t="s">
        <v>10146</v>
      </c>
      <c r="W505" t="s">
        <v>10147</v>
      </c>
      <c r="X505" t="s">
        <v>10148</v>
      </c>
      <c r="Y505" t="s">
        <v>10149</v>
      </c>
      <c r="Z505" t="s">
        <v>10150</v>
      </c>
      <c r="AA505" t="s">
        <v>10151</v>
      </c>
      <c r="AB505" t="s">
        <v>10152</v>
      </c>
      <c r="AC505" t="s">
        <v>10153</v>
      </c>
      <c r="AD505" t="s">
        <v>10154</v>
      </c>
      <c r="AE505" t="s">
        <v>10155</v>
      </c>
      <c r="AF505" t="s">
        <v>74</v>
      </c>
      <c r="AG505">
        <v>63</v>
      </c>
      <c r="AH505">
        <v>10</v>
      </c>
      <c r="AI505">
        <v>10</v>
      </c>
      <c r="AJ505">
        <v>14</v>
      </c>
      <c r="AK505">
        <v>63</v>
      </c>
      <c r="AL505" t="s">
        <v>4192</v>
      </c>
      <c r="AM505" t="s">
        <v>4193</v>
      </c>
      <c r="AN505" t="s">
        <v>4194</v>
      </c>
      <c r="AO505" t="s">
        <v>74</v>
      </c>
      <c r="AP505" t="s">
        <v>10156</v>
      </c>
      <c r="AQ505" t="s">
        <v>74</v>
      </c>
      <c r="AR505" t="s">
        <v>10143</v>
      </c>
      <c r="AS505" t="s">
        <v>10157</v>
      </c>
      <c r="AT505" t="s">
        <v>7760</v>
      </c>
      <c r="AU505">
        <v>2021</v>
      </c>
      <c r="AV505">
        <v>10</v>
      </c>
      <c r="AW505">
        <v>10</v>
      </c>
      <c r="AX505" t="s">
        <v>74</v>
      </c>
      <c r="AY505" t="s">
        <v>74</v>
      </c>
      <c r="AZ505" t="s">
        <v>74</v>
      </c>
      <c r="BA505" t="s">
        <v>74</v>
      </c>
      <c r="BB505" t="s">
        <v>74</v>
      </c>
      <c r="BC505" t="s">
        <v>74</v>
      </c>
      <c r="BD505">
        <v>1004</v>
      </c>
      <c r="BE505" t="s">
        <v>10158</v>
      </c>
      <c r="BF505" t="str">
        <f>HYPERLINK("http://dx.doi.org/10.3390/biology10101004","http://dx.doi.org/10.3390/biology10101004")</f>
        <v>http://dx.doi.org/10.3390/biology10101004</v>
      </c>
      <c r="BG505" t="s">
        <v>74</v>
      </c>
      <c r="BH505" t="s">
        <v>74</v>
      </c>
      <c r="BI505">
        <v>16</v>
      </c>
      <c r="BJ505" t="s">
        <v>10159</v>
      </c>
      <c r="BK505" t="s">
        <v>101</v>
      </c>
      <c r="BL505" t="s">
        <v>10160</v>
      </c>
      <c r="BM505" t="s">
        <v>10161</v>
      </c>
      <c r="BN505">
        <v>34681103</v>
      </c>
      <c r="BO505" t="s">
        <v>1094</v>
      </c>
      <c r="BP505" t="s">
        <v>74</v>
      </c>
      <c r="BQ505" t="s">
        <v>74</v>
      </c>
      <c r="BR505" t="s">
        <v>105</v>
      </c>
      <c r="BS505" t="s">
        <v>10162</v>
      </c>
      <c r="BT505" t="str">
        <f>HYPERLINK("https%3A%2F%2Fwww.webofscience.com%2Fwos%2Fwoscc%2Ffull-record%2FWOS:000712293800001","View Full Record in Web of Science")</f>
        <v>View Full Record in Web of Science</v>
      </c>
    </row>
    <row r="506" spans="1:72" x14ac:dyDescent="0.15">
      <c r="A506" t="s">
        <v>72</v>
      </c>
      <c r="B506" t="s">
        <v>10163</v>
      </c>
      <c r="C506" t="s">
        <v>74</v>
      </c>
      <c r="D506" t="s">
        <v>74</v>
      </c>
      <c r="E506" t="s">
        <v>74</v>
      </c>
      <c r="F506" t="s">
        <v>10164</v>
      </c>
      <c r="G506" t="s">
        <v>74</v>
      </c>
      <c r="H506" t="s">
        <v>74</v>
      </c>
      <c r="I506" t="s">
        <v>10165</v>
      </c>
      <c r="J506" t="s">
        <v>5187</v>
      </c>
      <c r="K506" t="s">
        <v>74</v>
      </c>
      <c r="L506" t="s">
        <v>74</v>
      </c>
      <c r="M506" t="s">
        <v>78</v>
      </c>
      <c r="N506" t="s">
        <v>79</v>
      </c>
      <c r="O506" t="s">
        <v>74</v>
      </c>
      <c r="P506" t="s">
        <v>74</v>
      </c>
      <c r="Q506" t="s">
        <v>74</v>
      </c>
      <c r="R506" t="s">
        <v>74</v>
      </c>
      <c r="S506" t="s">
        <v>74</v>
      </c>
      <c r="T506" t="s">
        <v>10166</v>
      </c>
      <c r="U506" t="s">
        <v>10167</v>
      </c>
      <c r="V506" t="s">
        <v>10168</v>
      </c>
      <c r="W506" t="s">
        <v>10169</v>
      </c>
      <c r="X506" t="s">
        <v>10170</v>
      </c>
      <c r="Y506" t="s">
        <v>10171</v>
      </c>
      <c r="Z506" t="s">
        <v>10172</v>
      </c>
      <c r="AA506" t="s">
        <v>10173</v>
      </c>
      <c r="AB506" t="s">
        <v>10174</v>
      </c>
      <c r="AC506" t="s">
        <v>10175</v>
      </c>
      <c r="AD506" t="s">
        <v>10176</v>
      </c>
      <c r="AE506" t="s">
        <v>10177</v>
      </c>
      <c r="AF506" t="s">
        <v>74</v>
      </c>
      <c r="AG506">
        <v>105</v>
      </c>
      <c r="AH506">
        <v>1</v>
      </c>
      <c r="AI506">
        <v>1</v>
      </c>
      <c r="AJ506">
        <v>2</v>
      </c>
      <c r="AK506">
        <v>6</v>
      </c>
      <c r="AL506" t="s">
        <v>760</v>
      </c>
      <c r="AM506" t="s">
        <v>438</v>
      </c>
      <c r="AN506" t="s">
        <v>761</v>
      </c>
      <c r="AO506" t="s">
        <v>5200</v>
      </c>
      <c r="AP506" t="s">
        <v>5201</v>
      </c>
      <c r="AQ506" t="s">
        <v>74</v>
      </c>
      <c r="AR506" t="s">
        <v>5202</v>
      </c>
      <c r="AS506" t="s">
        <v>5203</v>
      </c>
      <c r="AT506" t="s">
        <v>7760</v>
      </c>
      <c r="AU506">
        <v>2021</v>
      </c>
      <c r="AV506">
        <v>126</v>
      </c>
      <c r="AW506">
        <v>10</v>
      </c>
      <c r="AX506" t="s">
        <v>74</v>
      </c>
      <c r="AY506" t="s">
        <v>74</v>
      </c>
      <c r="AZ506" t="s">
        <v>74</v>
      </c>
      <c r="BA506" t="s">
        <v>74</v>
      </c>
      <c r="BB506" t="s">
        <v>74</v>
      </c>
      <c r="BC506" t="s">
        <v>74</v>
      </c>
      <c r="BD506" t="s">
        <v>10178</v>
      </c>
      <c r="BE506" t="s">
        <v>10179</v>
      </c>
      <c r="BF506" t="str">
        <f>HYPERLINK("http://dx.doi.org/10.1029/2021JG006404","http://dx.doi.org/10.1029/2021JG006404")</f>
        <v>http://dx.doi.org/10.1029/2021JG006404</v>
      </c>
      <c r="BG506" t="s">
        <v>74</v>
      </c>
      <c r="BH506" t="s">
        <v>74</v>
      </c>
      <c r="BI506">
        <v>17</v>
      </c>
      <c r="BJ506" t="s">
        <v>5206</v>
      </c>
      <c r="BK506" t="s">
        <v>101</v>
      </c>
      <c r="BL506" t="s">
        <v>1573</v>
      </c>
      <c r="BM506" t="s">
        <v>10180</v>
      </c>
      <c r="BN506" t="s">
        <v>74</v>
      </c>
      <c r="BO506" t="s">
        <v>74</v>
      </c>
      <c r="BP506" t="s">
        <v>74</v>
      </c>
      <c r="BQ506" t="s">
        <v>74</v>
      </c>
      <c r="BR506" t="s">
        <v>105</v>
      </c>
      <c r="BS506" t="s">
        <v>10181</v>
      </c>
      <c r="BT506" t="str">
        <f>HYPERLINK("https%3A%2F%2Fwww.webofscience.com%2Fwos%2Fwoscc%2Ffull-record%2FWOS:000711969900012","View Full Record in Web of Science")</f>
        <v>View Full Record in Web of Science</v>
      </c>
    </row>
    <row r="507" spans="1:72" x14ac:dyDescent="0.15">
      <c r="A507" t="s">
        <v>72</v>
      </c>
      <c r="B507" t="s">
        <v>10182</v>
      </c>
      <c r="C507" t="s">
        <v>74</v>
      </c>
      <c r="D507" t="s">
        <v>74</v>
      </c>
      <c r="E507" t="s">
        <v>74</v>
      </c>
      <c r="F507" t="s">
        <v>10183</v>
      </c>
      <c r="G507" t="s">
        <v>74</v>
      </c>
      <c r="H507" t="s">
        <v>74</v>
      </c>
      <c r="I507" t="s">
        <v>10184</v>
      </c>
      <c r="J507" t="s">
        <v>4759</v>
      </c>
      <c r="K507" t="s">
        <v>74</v>
      </c>
      <c r="L507" t="s">
        <v>74</v>
      </c>
      <c r="M507" t="s">
        <v>78</v>
      </c>
      <c r="N507" t="s">
        <v>79</v>
      </c>
      <c r="O507" t="s">
        <v>74</v>
      </c>
      <c r="P507" t="s">
        <v>74</v>
      </c>
      <c r="Q507" t="s">
        <v>74</v>
      </c>
      <c r="R507" t="s">
        <v>74</v>
      </c>
      <c r="S507" t="s">
        <v>74</v>
      </c>
      <c r="T507" t="s">
        <v>10185</v>
      </c>
      <c r="U507" t="s">
        <v>10186</v>
      </c>
      <c r="V507" t="s">
        <v>10187</v>
      </c>
      <c r="W507" t="s">
        <v>10188</v>
      </c>
      <c r="X507" t="s">
        <v>10189</v>
      </c>
      <c r="Y507" t="s">
        <v>10190</v>
      </c>
      <c r="Z507" t="s">
        <v>10191</v>
      </c>
      <c r="AA507" t="s">
        <v>10192</v>
      </c>
      <c r="AB507" t="s">
        <v>10193</v>
      </c>
      <c r="AC507" t="s">
        <v>10194</v>
      </c>
      <c r="AD507" t="s">
        <v>10195</v>
      </c>
      <c r="AE507" t="s">
        <v>10196</v>
      </c>
      <c r="AF507" t="s">
        <v>74</v>
      </c>
      <c r="AG507">
        <v>56</v>
      </c>
      <c r="AH507">
        <v>2</v>
      </c>
      <c r="AI507">
        <v>2</v>
      </c>
      <c r="AJ507">
        <v>0</v>
      </c>
      <c r="AK507">
        <v>5</v>
      </c>
      <c r="AL507" t="s">
        <v>760</v>
      </c>
      <c r="AM507" t="s">
        <v>438</v>
      </c>
      <c r="AN507" t="s">
        <v>761</v>
      </c>
      <c r="AO507" t="s">
        <v>4771</v>
      </c>
      <c r="AP507" t="s">
        <v>4772</v>
      </c>
      <c r="AQ507" t="s">
        <v>74</v>
      </c>
      <c r="AR507" t="s">
        <v>4773</v>
      </c>
      <c r="AS507" t="s">
        <v>4774</v>
      </c>
      <c r="AT507" t="s">
        <v>7760</v>
      </c>
      <c r="AU507">
        <v>2021</v>
      </c>
      <c r="AV507">
        <v>126</v>
      </c>
      <c r="AW507">
        <v>10</v>
      </c>
      <c r="AX507" t="s">
        <v>74</v>
      </c>
      <c r="AY507" t="s">
        <v>74</v>
      </c>
      <c r="AZ507" t="s">
        <v>74</v>
      </c>
      <c r="BA507" t="s">
        <v>74</v>
      </c>
      <c r="BB507" t="s">
        <v>74</v>
      </c>
      <c r="BC507" t="s">
        <v>74</v>
      </c>
      <c r="BD507" t="s">
        <v>10197</v>
      </c>
      <c r="BE507" t="s">
        <v>10198</v>
      </c>
      <c r="BF507" t="str">
        <f>HYPERLINK("http://dx.doi.org/10.1029/2021JB022741","http://dx.doi.org/10.1029/2021JB022741")</f>
        <v>http://dx.doi.org/10.1029/2021JB022741</v>
      </c>
      <c r="BG507" t="s">
        <v>74</v>
      </c>
      <c r="BH507" t="s">
        <v>74</v>
      </c>
      <c r="BI507">
        <v>16</v>
      </c>
      <c r="BJ507" t="s">
        <v>365</v>
      </c>
      <c r="BK507" t="s">
        <v>101</v>
      </c>
      <c r="BL507" t="s">
        <v>365</v>
      </c>
      <c r="BM507" t="s">
        <v>10199</v>
      </c>
      <c r="BN507" t="s">
        <v>74</v>
      </c>
      <c r="BO507" t="s">
        <v>74</v>
      </c>
      <c r="BP507" t="s">
        <v>74</v>
      </c>
      <c r="BQ507" t="s">
        <v>74</v>
      </c>
      <c r="BR507" t="s">
        <v>105</v>
      </c>
      <c r="BS507" t="s">
        <v>10200</v>
      </c>
      <c r="BT507" t="str">
        <f>HYPERLINK("https%3A%2F%2Fwww.webofscience.com%2Fwos%2Fwoscc%2Ffull-record%2FWOS:000711968800035","View Full Record in Web of Science")</f>
        <v>View Full Record in Web of Science</v>
      </c>
    </row>
    <row r="508" spans="1:72" x14ac:dyDescent="0.15">
      <c r="A508" t="s">
        <v>72</v>
      </c>
      <c r="B508" t="s">
        <v>10201</v>
      </c>
      <c r="C508" t="s">
        <v>74</v>
      </c>
      <c r="D508" t="s">
        <v>74</v>
      </c>
      <c r="E508" t="s">
        <v>74</v>
      </c>
      <c r="F508" t="s">
        <v>10202</v>
      </c>
      <c r="G508" t="s">
        <v>74</v>
      </c>
      <c r="H508" t="s">
        <v>74</v>
      </c>
      <c r="I508" t="s">
        <v>10203</v>
      </c>
      <c r="J508" t="s">
        <v>10204</v>
      </c>
      <c r="K508" t="s">
        <v>74</v>
      </c>
      <c r="L508" t="s">
        <v>74</v>
      </c>
      <c r="M508" t="s">
        <v>78</v>
      </c>
      <c r="N508" t="s">
        <v>79</v>
      </c>
      <c r="O508" t="s">
        <v>74</v>
      </c>
      <c r="P508" t="s">
        <v>74</v>
      </c>
      <c r="Q508" t="s">
        <v>74</v>
      </c>
      <c r="R508" t="s">
        <v>74</v>
      </c>
      <c r="S508" t="s">
        <v>74</v>
      </c>
      <c r="T508" t="s">
        <v>10205</v>
      </c>
      <c r="U508" t="s">
        <v>10206</v>
      </c>
      <c r="V508" t="s">
        <v>10207</v>
      </c>
      <c r="W508" t="s">
        <v>10208</v>
      </c>
      <c r="X508" t="s">
        <v>10209</v>
      </c>
      <c r="Y508" t="s">
        <v>10210</v>
      </c>
      <c r="Z508" t="s">
        <v>10211</v>
      </c>
      <c r="AA508" t="s">
        <v>10212</v>
      </c>
      <c r="AB508" t="s">
        <v>10213</v>
      </c>
      <c r="AC508" t="s">
        <v>10214</v>
      </c>
      <c r="AD508" t="s">
        <v>10215</v>
      </c>
      <c r="AE508" t="s">
        <v>10216</v>
      </c>
      <c r="AF508" t="s">
        <v>74</v>
      </c>
      <c r="AG508">
        <v>60</v>
      </c>
      <c r="AH508">
        <v>7</v>
      </c>
      <c r="AI508">
        <v>7</v>
      </c>
      <c r="AJ508">
        <v>11</v>
      </c>
      <c r="AK508">
        <v>69</v>
      </c>
      <c r="AL508" t="s">
        <v>4192</v>
      </c>
      <c r="AM508" t="s">
        <v>4193</v>
      </c>
      <c r="AN508" t="s">
        <v>4194</v>
      </c>
      <c r="AO508" t="s">
        <v>74</v>
      </c>
      <c r="AP508" t="s">
        <v>10217</v>
      </c>
      <c r="AQ508" t="s">
        <v>74</v>
      </c>
      <c r="AR508" t="s">
        <v>10204</v>
      </c>
      <c r="AS508" t="s">
        <v>10218</v>
      </c>
      <c r="AT508" t="s">
        <v>7760</v>
      </c>
      <c r="AU508">
        <v>2021</v>
      </c>
      <c r="AV508">
        <v>9</v>
      </c>
      <c r="AW508">
        <v>10</v>
      </c>
      <c r="AX508" t="s">
        <v>74</v>
      </c>
      <c r="AY508" t="s">
        <v>74</v>
      </c>
      <c r="AZ508" t="s">
        <v>74</v>
      </c>
      <c r="BA508" t="s">
        <v>74</v>
      </c>
      <c r="BB508" t="s">
        <v>74</v>
      </c>
      <c r="BC508" t="s">
        <v>74</v>
      </c>
      <c r="BD508">
        <v>2077</v>
      </c>
      <c r="BE508" t="s">
        <v>10219</v>
      </c>
      <c r="BF508" t="str">
        <f>HYPERLINK("http://dx.doi.org/10.3390/microorganisms9102077","http://dx.doi.org/10.3390/microorganisms9102077")</f>
        <v>http://dx.doi.org/10.3390/microorganisms9102077</v>
      </c>
      <c r="BG508" t="s">
        <v>74</v>
      </c>
      <c r="BH508" t="s">
        <v>74</v>
      </c>
      <c r="BI508">
        <v>22</v>
      </c>
      <c r="BJ508" t="s">
        <v>975</v>
      </c>
      <c r="BK508" t="s">
        <v>101</v>
      </c>
      <c r="BL508" t="s">
        <v>975</v>
      </c>
      <c r="BM508" t="s">
        <v>10220</v>
      </c>
      <c r="BN508">
        <v>34683398</v>
      </c>
      <c r="BO508" t="s">
        <v>1094</v>
      </c>
      <c r="BP508" t="s">
        <v>74</v>
      </c>
      <c r="BQ508" t="s">
        <v>74</v>
      </c>
      <c r="BR508" t="s">
        <v>105</v>
      </c>
      <c r="BS508" t="s">
        <v>10221</v>
      </c>
      <c r="BT508" t="str">
        <f>HYPERLINK("https%3A%2F%2Fwww.webofscience.com%2Fwos%2Fwoscc%2Ffull-record%2FWOS:000712238700001","View Full Record in Web of Science")</f>
        <v>View Full Record in Web of Science</v>
      </c>
    </row>
    <row r="509" spans="1:72" x14ac:dyDescent="0.15">
      <c r="A509" t="s">
        <v>72</v>
      </c>
      <c r="B509" t="s">
        <v>10222</v>
      </c>
      <c r="C509" t="s">
        <v>74</v>
      </c>
      <c r="D509" t="s">
        <v>74</v>
      </c>
      <c r="E509" t="s">
        <v>74</v>
      </c>
      <c r="F509" t="s">
        <v>10223</v>
      </c>
      <c r="G509" t="s">
        <v>74</v>
      </c>
      <c r="H509" t="s">
        <v>74</v>
      </c>
      <c r="I509" t="s">
        <v>10224</v>
      </c>
      <c r="J509" t="s">
        <v>10204</v>
      </c>
      <c r="K509" t="s">
        <v>74</v>
      </c>
      <c r="L509" t="s">
        <v>74</v>
      </c>
      <c r="M509" t="s">
        <v>78</v>
      </c>
      <c r="N509" t="s">
        <v>79</v>
      </c>
      <c r="O509" t="s">
        <v>74</v>
      </c>
      <c r="P509" t="s">
        <v>74</v>
      </c>
      <c r="Q509" t="s">
        <v>74</v>
      </c>
      <c r="R509" t="s">
        <v>74</v>
      </c>
      <c r="S509" t="s">
        <v>74</v>
      </c>
      <c r="T509" t="s">
        <v>10225</v>
      </c>
      <c r="U509" t="s">
        <v>10226</v>
      </c>
      <c r="V509" t="s">
        <v>10227</v>
      </c>
      <c r="W509" t="s">
        <v>10228</v>
      </c>
      <c r="X509" t="s">
        <v>10229</v>
      </c>
      <c r="Y509" t="s">
        <v>10230</v>
      </c>
      <c r="Z509" t="s">
        <v>10231</v>
      </c>
      <c r="AA509" t="s">
        <v>10232</v>
      </c>
      <c r="AB509" t="s">
        <v>10233</v>
      </c>
      <c r="AC509" t="s">
        <v>10234</v>
      </c>
      <c r="AD509" t="s">
        <v>10235</v>
      </c>
      <c r="AE509" t="s">
        <v>10236</v>
      </c>
      <c r="AF509" t="s">
        <v>74</v>
      </c>
      <c r="AG509">
        <v>79</v>
      </c>
      <c r="AH509">
        <v>3</v>
      </c>
      <c r="AI509">
        <v>3</v>
      </c>
      <c r="AJ509">
        <v>1</v>
      </c>
      <c r="AK509">
        <v>6</v>
      </c>
      <c r="AL509" t="s">
        <v>4192</v>
      </c>
      <c r="AM509" t="s">
        <v>4193</v>
      </c>
      <c r="AN509" t="s">
        <v>4194</v>
      </c>
      <c r="AO509" t="s">
        <v>74</v>
      </c>
      <c r="AP509" t="s">
        <v>10217</v>
      </c>
      <c r="AQ509" t="s">
        <v>74</v>
      </c>
      <c r="AR509" t="s">
        <v>10204</v>
      </c>
      <c r="AS509" t="s">
        <v>10218</v>
      </c>
      <c r="AT509" t="s">
        <v>7760</v>
      </c>
      <c r="AU509">
        <v>2021</v>
      </c>
      <c r="AV509">
        <v>9</v>
      </c>
      <c r="AW509">
        <v>10</v>
      </c>
      <c r="AX509" t="s">
        <v>74</v>
      </c>
      <c r="AY509" t="s">
        <v>74</v>
      </c>
      <c r="AZ509" t="s">
        <v>74</v>
      </c>
      <c r="BA509" t="s">
        <v>74</v>
      </c>
      <c r="BB509" t="s">
        <v>74</v>
      </c>
      <c r="BC509" t="s">
        <v>74</v>
      </c>
      <c r="BD509">
        <v>2069</v>
      </c>
      <c r="BE509" t="s">
        <v>10237</v>
      </c>
      <c r="BF509" t="str">
        <f>HYPERLINK("http://dx.doi.org/10.3390/microorganisms9102069","http://dx.doi.org/10.3390/microorganisms9102069")</f>
        <v>http://dx.doi.org/10.3390/microorganisms9102069</v>
      </c>
      <c r="BG509" t="s">
        <v>74</v>
      </c>
      <c r="BH509" t="s">
        <v>74</v>
      </c>
      <c r="BI509">
        <v>15</v>
      </c>
      <c r="BJ509" t="s">
        <v>975</v>
      </c>
      <c r="BK509" t="s">
        <v>101</v>
      </c>
      <c r="BL509" t="s">
        <v>975</v>
      </c>
      <c r="BM509" t="s">
        <v>10238</v>
      </c>
      <c r="BN509">
        <v>34683390</v>
      </c>
      <c r="BO509" t="s">
        <v>394</v>
      </c>
      <c r="BP509" t="s">
        <v>74</v>
      </c>
      <c r="BQ509" t="s">
        <v>74</v>
      </c>
      <c r="BR509" t="s">
        <v>105</v>
      </c>
      <c r="BS509" t="s">
        <v>10239</v>
      </c>
      <c r="BT509" t="str">
        <f>HYPERLINK("https%3A%2F%2Fwww.webofscience.com%2Fwos%2Fwoscc%2Ffull-record%2FWOS:000711890100001","View Full Record in Web of Science")</f>
        <v>View Full Record in Web of Science</v>
      </c>
    </row>
    <row r="510" spans="1:72" x14ac:dyDescent="0.15">
      <c r="A510" t="s">
        <v>72</v>
      </c>
      <c r="B510" t="s">
        <v>10240</v>
      </c>
      <c r="C510" t="s">
        <v>74</v>
      </c>
      <c r="D510" t="s">
        <v>74</v>
      </c>
      <c r="E510" t="s">
        <v>74</v>
      </c>
      <c r="F510" t="s">
        <v>10241</v>
      </c>
      <c r="G510" t="s">
        <v>74</v>
      </c>
      <c r="H510" t="s">
        <v>74</v>
      </c>
      <c r="I510" t="s">
        <v>10242</v>
      </c>
      <c r="J510" t="s">
        <v>10243</v>
      </c>
      <c r="K510" t="s">
        <v>74</v>
      </c>
      <c r="L510" t="s">
        <v>74</v>
      </c>
      <c r="M510" t="s">
        <v>78</v>
      </c>
      <c r="N510" t="s">
        <v>79</v>
      </c>
      <c r="O510" t="s">
        <v>74</v>
      </c>
      <c r="P510" t="s">
        <v>74</v>
      </c>
      <c r="Q510" t="s">
        <v>74</v>
      </c>
      <c r="R510" t="s">
        <v>74</v>
      </c>
      <c r="S510" t="s">
        <v>74</v>
      </c>
      <c r="T510" t="s">
        <v>74</v>
      </c>
      <c r="U510" t="s">
        <v>10244</v>
      </c>
      <c r="V510" t="s">
        <v>10245</v>
      </c>
      <c r="W510" t="s">
        <v>10246</v>
      </c>
      <c r="X510" t="s">
        <v>10247</v>
      </c>
      <c r="Y510" t="s">
        <v>10248</v>
      </c>
      <c r="Z510" t="s">
        <v>10249</v>
      </c>
      <c r="AA510" t="s">
        <v>10250</v>
      </c>
      <c r="AB510" t="s">
        <v>10251</v>
      </c>
      <c r="AC510" t="s">
        <v>10252</v>
      </c>
      <c r="AD510" t="s">
        <v>10253</v>
      </c>
      <c r="AE510" t="s">
        <v>10254</v>
      </c>
      <c r="AF510" t="s">
        <v>74</v>
      </c>
      <c r="AG510">
        <v>49</v>
      </c>
      <c r="AH510">
        <v>10</v>
      </c>
      <c r="AI510">
        <v>11</v>
      </c>
      <c r="AJ510">
        <v>2</v>
      </c>
      <c r="AK510">
        <v>8</v>
      </c>
      <c r="AL510" t="s">
        <v>3835</v>
      </c>
      <c r="AM510" t="s">
        <v>438</v>
      </c>
      <c r="AN510" t="s">
        <v>3836</v>
      </c>
      <c r="AO510" t="s">
        <v>10255</v>
      </c>
      <c r="AP510" t="s">
        <v>74</v>
      </c>
      <c r="AQ510" t="s">
        <v>74</v>
      </c>
      <c r="AR510" t="s">
        <v>10256</v>
      </c>
      <c r="AS510" t="s">
        <v>10257</v>
      </c>
      <c r="AT510" t="s">
        <v>7760</v>
      </c>
      <c r="AU510">
        <v>2021</v>
      </c>
      <c r="AV510">
        <v>7</v>
      </c>
      <c r="AW510">
        <v>43</v>
      </c>
      <c r="AX510" t="s">
        <v>74</v>
      </c>
      <c r="AY510" t="s">
        <v>74</v>
      </c>
      <c r="AZ510" t="s">
        <v>74</v>
      </c>
      <c r="BA510" t="s">
        <v>74</v>
      </c>
      <c r="BB510" t="s">
        <v>74</v>
      </c>
      <c r="BC510" t="s">
        <v>74</v>
      </c>
      <c r="BD510" t="s">
        <v>10258</v>
      </c>
      <c r="BE510" t="s">
        <v>10259</v>
      </c>
      <c r="BF510" t="str">
        <f>HYPERLINK("http://dx.doi.org/10.1126/sciadv.abi5738","http://dx.doi.org/10.1126/sciadv.abi5738")</f>
        <v>http://dx.doi.org/10.1126/sciadv.abi5738</v>
      </c>
      <c r="BG510" t="s">
        <v>74</v>
      </c>
      <c r="BH510" t="s">
        <v>74</v>
      </c>
      <c r="BI510">
        <v>8</v>
      </c>
      <c r="BJ510" t="s">
        <v>126</v>
      </c>
      <c r="BK510" t="s">
        <v>101</v>
      </c>
      <c r="BL510" t="s">
        <v>127</v>
      </c>
      <c r="BM510" t="s">
        <v>10260</v>
      </c>
      <c r="BN510">
        <v>34678060</v>
      </c>
      <c r="BO510" t="s">
        <v>582</v>
      </c>
      <c r="BP510" t="s">
        <v>74</v>
      </c>
      <c r="BQ510" t="s">
        <v>74</v>
      </c>
      <c r="BR510" t="s">
        <v>105</v>
      </c>
      <c r="BS510" t="s">
        <v>10261</v>
      </c>
      <c r="BT510" t="str">
        <f>HYPERLINK("https%3A%2F%2Fwww.webofscience.com%2Fwos%2Fwoscc%2Ffull-record%2FWOS:000711845800019","View Full Record in Web of Science")</f>
        <v>View Full Record in Web of Science</v>
      </c>
    </row>
    <row r="511" spans="1:72" x14ac:dyDescent="0.15">
      <c r="A511" t="s">
        <v>72</v>
      </c>
      <c r="B511" t="s">
        <v>10262</v>
      </c>
      <c r="C511" t="s">
        <v>74</v>
      </c>
      <c r="D511" t="s">
        <v>74</v>
      </c>
      <c r="E511" t="s">
        <v>74</v>
      </c>
      <c r="F511" t="s">
        <v>10263</v>
      </c>
      <c r="G511" t="s">
        <v>74</v>
      </c>
      <c r="H511" t="s">
        <v>74</v>
      </c>
      <c r="I511" t="s">
        <v>10264</v>
      </c>
      <c r="J511" t="s">
        <v>10265</v>
      </c>
      <c r="K511" t="s">
        <v>74</v>
      </c>
      <c r="L511" t="s">
        <v>74</v>
      </c>
      <c r="M511" t="s">
        <v>78</v>
      </c>
      <c r="N511" t="s">
        <v>79</v>
      </c>
      <c r="O511" t="s">
        <v>74</v>
      </c>
      <c r="P511" t="s">
        <v>74</v>
      </c>
      <c r="Q511" t="s">
        <v>74</v>
      </c>
      <c r="R511" t="s">
        <v>74</v>
      </c>
      <c r="S511" t="s">
        <v>74</v>
      </c>
      <c r="T511" t="s">
        <v>74</v>
      </c>
      <c r="U511" t="s">
        <v>10266</v>
      </c>
      <c r="V511" t="s">
        <v>10267</v>
      </c>
      <c r="W511" t="s">
        <v>10268</v>
      </c>
      <c r="X511" t="s">
        <v>10269</v>
      </c>
      <c r="Y511" t="s">
        <v>10270</v>
      </c>
      <c r="Z511" t="s">
        <v>10271</v>
      </c>
      <c r="AA511" t="s">
        <v>10272</v>
      </c>
      <c r="AB511" t="s">
        <v>10273</v>
      </c>
      <c r="AC511" t="s">
        <v>10274</v>
      </c>
      <c r="AD511" t="s">
        <v>10275</v>
      </c>
      <c r="AE511" t="s">
        <v>10276</v>
      </c>
      <c r="AF511" t="s">
        <v>74</v>
      </c>
      <c r="AG511">
        <v>22</v>
      </c>
      <c r="AH511">
        <v>31</v>
      </c>
      <c r="AI511">
        <v>34</v>
      </c>
      <c r="AJ511">
        <v>2</v>
      </c>
      <c r="AK511">
        <v>19</v>
      </c>
      <c r="AL511" t="s">
        <v>760</v>
      </c>
      <c r="AM511" t="s">
        <v>438</v>
      </c>
      <c r="AN511" t="s">
        <v>761</v>
      </c>
      <c r="AO511" t="s">
        <v>74</v>
      </c>
      <c r="AP511" t="s">
        <v>10277</v>
      </c>
      <c r="AQ511" t="s">
        <v>74</v>
      </c>
      <c r="AR511" t="s">
        <v>10278</v>
      </c>
      <c r="AS511" t="s">
        <v>10279</v>
      </c>
      <c r="AT511" t="s">
        <v>7760</v>
      </c>
      <c r="AU511">
        <v>2021</v>
      </c>
      <c r="AV511">
        <v>8</v>
      </c>
      <c r="AW511">
        <v>10</v>
      </c>
      <c r="AX511" t="s">
        <v>74</v>
      </c>
      <c r="AY511" t="s">
        <v>74</v>
      </c>
      <c r="AZ511" t="s">
        <v>74</v>
      </c>
      <c r="BA511" t="s">
        <v>74</v>
      </c>
      <c r="BB511" t="s">
        <v>74</v>
      </c>
      <c r="BC511" t="s">
        <v>74</v>
      </c>
      <c r="BD511" t="s">
        <v>10280</v>
      </c>
      <c r="BE511" t="s">
        <v>10281</v>
      </c>
      <c r="BF511" t="str">
        <f>HYPERLINK("http://dx.doi.org/10.1029/2020EA001414","http://dx.doi.org/10.1029/2020EA001414")</f>
        <v>http://dx.doi.org/10.1029/2020EA001414</v>
      </c>
      <c r="BG511" t="s">
        <v>74</v>
      </c>
      <c r="BH511" t="s">
        <v>74</v>
      </c>
      <c r="BI511">
        <v>9</v>
      </c>
      <c r="BJ511" t="s">
        <v>10282</v>
      </c>
      <c r="BK511" t="s">
        <v>101</v>
      </c>
      <c r="BL511" t="s">
        <v>10283</v>
      </c>
      <c r="BM511" t="s">
        <v>10284</v>
      </c>
      <c r="BN511" t="s">
        <v>74</v>
      </c>
      <c r="BO511" t="s">
        <v>74</v>
      </c>
      <c r="BP511" t="s">
        <v>74</v>
      </c>
      <c r="BQ511" t="s">
        <v>74</v>
      </c>
      <c r="BR511" t="s">
        <v>105</v>
      </c>
      <c r="BS511" t="s">
        <v>10285</v>
      </c>
      <c r="BT511" t="str">
        <f>HYPERLINK("https%3A%2F%2Fwww.webofscience.com%2Fwos%2Fwoscc%2Ffull-record%2FWOS:000711969700002","View Full Record in Web of Science")</f>
        <v>View Full Record in Web of Science</v>
      </c>
    </row>
    <row r="512" spans="1:72" x14ac:dyDescent="0.15">
      <c r="A512" t="s">
        <v>72</v>
      </c>
      <c r="B512" t="s">
        <v>10286</v>
      </c>
      <c r="C512" t="s">
        <v>74</v>
      </c>
      <c r="D512" t="s">
        <v>74</v>
      </c>
      <c r="E512" t="s">
        <v>74</v>
      </c>
      <c r="F512" t="s">
        <v>10287</v>
      </c>
      <c r="G512" t="s">
        <v>74</v>
      </c>
      <c r="H512" t="s">
        <v>74</v>
      </c>
      <c r="I512" t="s">
        <v>10288</v>
      </c>
      <c r="J512" t="s">
        <v>5133</v>
      </c>
      <c r="K512" t="s">
        <v>74</v>
      </c>
      <c r="L512" t="s">
        <v>74</v>
      </c>
      <c r="M512" t="s">
        <v>78</v>
      </c>
      <c r="N512" t="s">
        <v>79</v>
      </c>
      <c r="O512" t="s">
        <v>74</v>
      </c>
      <c r="P512" t="s">
        <v>74</v>
      </c>
      <c r="Q512" t="s">
        <v>74</v>
      </c>
      <c r="R512" t="s">
        <v>74</v>
      </c>
      <c r="S512" t="s">
        <v>74</v>
      </c>
      <c r="T512" t="s">
        <v>10289</v>
      </c>
      <c r="U512" t="s">
        <v>10290</v>
      </c>
      <c r="V512" t="s">
        <v>10291</v>
      </c>
      <c r="W512" t="s">
        <v>10292</v>
      </c>
      <c r="X512" t="s">
        <v>10293</v>
      </c>
      <c r="Y512" t="s">
        <v>10294</v>
      </c>
      <c r="Z512" t="s">
        <v>10295</v>
      </c>
      <c r="AA512" t="s">
        <v>10296</v>
      </c>
      <c r="AB512" t="s">
        <v>10297</v>
      </c>
      <c r="AC512" t="s">
        <v>10298</v>
      </c>
      <c r="AD512" t="s">
        <v>10299</v>
      </c>
      <c r="AE512" t="s">
        <v>10300</v>
      </c>
      <c r="AF512" t="s">
        <v>74</v>
      </c>
      <c r="AG512">
        <v>90</v>
      </c>
      <c r="AH512">
        <v>25</v>
      </c>
      <c r="AI512">
        <v>25</v>
      </c>
      <c r="AJ512">
        <v>1</v>
      </c>
      <c r="AK512">
        <v>11</v>
      </c>
      <c r="AL512" t="s">
        <v>760</v>
      </c>
      <c r="AM512" t="s">
        <v>438</v>
      </c>
      <c r="AN512" t="s">
        <v>761</v>
      </c>
      <c r="AO512" t="s">
        <v>74</v>
      </c>
      <c r="AP512" t="s">
        <v>5146</v>
      </c>
      <c r="AQ512" t="s">
        <v>74</v>
      </c>
      <c r="AR512" t="s">
        <v>5147</v>
      </c>
      <c r="AS512" t="s">
        <v>5148</v>
      </c>
      <c r="AT512" t="s">
        <v>7760</v>
      </c>
      <c r="AU512">
        <v>2021</v>
      </c>
      <c r="AV512">
        <v>13</v>
      </c>
      <c r="AW512">
        <v>10</v>
      </c>
      <c r="AX512" t="s">
        <v>74</v>
      </c>
      <c r="AY512" t="s">
        <v>74</v>
      </c>
      <c r="AZ512" t="s">
        <v>74</v>
      </c>
      <c r="BA512" t="s">
        <v>74</v>
      </c>
      <c r="BB512" t="s">
        <v>74</v>
      </c>
      <c r="BC512" t="s">
        <v>74</v>
      </c>
      <c r="BD512" t="s">
        <v>10301</v>
      </c>
      <c r="BE512" t="s">
        <v>10302</v>
      </c>
      <c r="BF512" t="str">
        <f>HYPERLINK("http://dx.doi.org/10.1029/2021MS002520","http://dx.doi.org/10.1029/2021MS002520")</f>
        <v>http://dx.doi.org/10.1029/2021MS002520</v>
      </c>
      <c r="BG512" t="s">
        <v>74</v>
      </c>
      <c r="BH512" t="s">
        <v>74</v>
      </c>
      <c r="BI512">
        <v>33</v>
      </c>
      <c r="BJ512" t="s">
        <v>829</v>
      </c>
      <c r="BK512" t="s">
        <v>101</v>
      </c>
      <c r="BL512" t="s">
        <v>829</v>
      </c>
      <c r="BM512" t="s">
        <v>10303</v>
      </c>
      <c r="BN512" t="s">
        <v>74</v>
      </c>
      <c r="BO512" t="s">
        <v>104</v>
      </c>
      <c r="BP512" t="s">
        <v>74</v>
      </c>
      <c r="BQ512" t="s">
        <v>74</v>
      </c>
      <c r="BR512" t="s">
        <v>105</v>
      </c>
      <c r="BS512" t="s">
        <v>10304</v>
      </c>
      <c r="BT512" t="str">
        <f>HYPERLINK("https%3A%2F%2Fwww.webofscience.com%2Fwos%2Fwoscc%2Ffull-record%2FWOS:000711976500002","View Full Record in Web of Science")</f>
        <v>View Full Record in Web of Science</v>
      </c>
    </row>
    <row r="513" spans="1:72" x14ac:dyDescent="0.15">
      <c r="A513" t="s">
        <v>72</v>
      </c>
      <c r="B513" t="s">
        <v>10305</v>
      </c>
      <c r="C513" t="s">
        <v>74</v>
      </c>
      <c r="D513" t="s">
        <v>74</v>
      </c>
      <c r="E513" t="s">
        <v>74</v>
      </c>
      <c r="F513" t="s">
        <v>10306</v>
      </c>
      <c r="G513" t="s">
        <v>74</v>
      </c>
      <c r="H513" t="s">
        <v>74</v>
      </c>
      <c r="I513" t="s">
        <v>10307</v>
      </c>
      <c r="J513" t="s">
        <v>10308</v>
      </c>
      <c r="K513" t="s">
        <v>74</v>
      </c>
      <c r="L513" t="s">
        <v>74</v>
      </c>
      <c r="M513" t="s">
        <v>78</v>
      </c>
      <c r="N513" t="s">
        <v>79</v>
      </c>
      <c r="O513" t="s">
        <v>74</v>
      </c>
      <c r="P513" t="s">
        <v>74</v>
      </c>
      <c r="Q513" t="s">
        <v>74</v>
      </c>
      <c r="R513" t="s">
        <v>74</v>
      </c>
      <c r="S513" t="s">
        <v>74</v>
      </c>
      <c r="T513" t="s">
        <v>74</v>
      </c>
      <c r="U513" t="s">
        <v>10309</v>
      </c>
      <c r="V513" t="s">
        <v>10310</v>
      </c>
      <c r="W513" t="s">
        <v>10311</v>
      </c>
      <c r="X513" t="s">
        <v>10312</v>
      </c>
      <c r="Y513" t="s">
        <v>10313</v>
      </c>
      <c r="Z513" t="s">
        <v>10314</v>
      </c>
      <c r="AA513" t="s">
        <v>10315</v>
      </c>
      <c r="AB513" t="s">
        <v>10316</v>
      </c>
      <c r="AC513" t="s">
        <v>10317</v>
      </c>
      <c r="AD513" t="s">
        <v>10318</v>
      </c>
      <c r="AE513" t="s">
        <v>10319</v>
      </c>
      <c r="AF513" t="s">
        <v>74</v>
      </c>
      <c r="AG513">
        <v>75</v>
      </c>
      <c r="AH513">
        <v>12</v>
      </c>
      <c r="AI513">
        <v>13</v>
      </c>
      <c r="AJ513">
        <v>0</v>
      </c>
      <c r="AK513">
        <v>2</v>
      </c>
      <c r="AL513" t="s">
        <v>760</v>
      </c>
      <c r="AM513" t="s">
        <v>438</v>
      </c>
      <c r="AN513" t="s">
        <v>761</v>
      </c>
      <c r="AO513" t="s">
        <v>10320</v>
      </c>
      <c r="AP513" t="s">
        <v>10321</v>
      </c>
      <c r="AQ513" t="s">
        <v>74</v>
      </c>
      <c r="AR513" t="s">
        <v>10322</v>
      </c>
      <c r="AS513" t="s">
        <v>10323</v>
      </c>
      <c r="AT513" t="s">
        <v>7760</v>
      </c>
      <c r="AU513">
        <v>2021</v>
      </c>
      <c r="AV513">
        <v>126</v>
      </c>
      <c r="AW513">
        <v>10</v>
      </c>
      <c r="AX513" t="s">
        <v>74</v>
      </c>
      <c r="AY513" t="s">
        <v>74</v>
      </c>
      <c r="AZ513" t="s">
        <v>74</v>
      </c>
      <c r="BA513" t="s">
        <v>74</v>
      </c>
      <c r="BB513" t="s">
        <v>74</v>
      </c>
      <c r="BC513" t="s">
        <v>74</v>
      </c>
      <c r="BD513" t="s">
        <v>10324</v>
      </c>
      <c r="BE513" t="s">
        <v>10325</v>
      </c>
      <c r="BF513" t="str">
        <f>HYPERLINK("http://dx.doi.org/10.1029/2021JF006296","http://dx.doi.org/10.1029/2021JF006296")</f>
        <v>http://dx.doi.org/10.1029/2021JF006296</v>
      </c>
      <c r="BG513" t="s">
        <v>74</v>
      </c>
      <c r="BH513" t="s">
        <v>74</v>
      </c>
      <c r="BI513">
        <v>17</v>
      </c>
      <c r="BJ513" t="s">
        <v>236</v>
      </c>
      <c r="BK513" t="s">
        <v>101</v>
      </c>
      <c r="BL513" t="s">
        <v>237</v>
      </c>
      <c r="BM513" t="s">
        <v>10326</v>
      </c>
      <c r="BN513">
        <v>35865452</v>
      </c>
      <c r="BO513" t="s">
        <v>1902</v>
      </c>
      <c r="BP513" t="s">
        <v>74</v>
      </c>
      <c r="BQ513" t="s">
        <v>74</v>
      </c>
      <c r="BR513" t="s">
        <v>105</v>
      </c>
      <c r="BS513" t="s">
        <v>10327</v>
      </c>
      <c r="BT513" t="str">
        <f>HYPERLINK("https%3A%2F%2Fwww.webofscience.com%2Fwos%2Fwoscc%2Ffull-record%2FWOS:000711971800001","View Full Record in Web of Science")</f>
        <v>View Full Record in Web of Science</v>
      </c>
    </row>
    <row r="514" spans="1:72" x14ac:dyDescent="0.15">
      <c r="A514" t="s">
        <v>72</v>
      </c>
      <c r="B514" t="s">
        <v>10328</v>
      </c>
      <c r="C514" t="s">
        <v>74</v>
      </c>
      <c r="D514" t="s">
        <v>74</v>
      </c>
      <c r="E514" t="s">
        <v>74</v>
      </c>
      <c r="F514" t="s">
        <v>10329</v>
      </c>
      <c r="G514" t="s">
        <v>74</v>
      </c>
      <c r="H514" t="s">
        <v>74</v>
      </c>
      <c r="I514" t="s">
        <v>10330</v>
      </c>
      <c r="J514" t="s">
        <v>10308</v>
      </c>
      <c r="K514" t="s">
        <v>74</v>
      </c>
      <c r="L514" t="s">
        <v>74</v>
      </c>
      <c r="M514" t="s">
        <v>78</v>
      </c>
      <c r="N514" t="s">
        <v>79</v>
      </c>
      <c r="O514" t="s">
        <v>74</v>
      </c>
      <c r="P514" t="s">
        <v>74</v>
      </c>
      <c r="Q514" t="s">
        <v>74</v>
      </c>
      <c r="R514" t="s">
        <v>74</v>
      </c>
      <c r="S514" t="s">
        <v>74</v>
      </c>
      <c r="T514" t="s">
        <v>10331</v>
      </c>
      <c r="U514" t="s">
        <v>10332</v>
      </c>
      <c r="V514" t="s">
        <v>10333</v>
      </c>
      <c r="W514" t="s">
        <v>10334</v>
      </c>
      <c r="X514" t="s">
        <v>10335</v>
      </c>
      <c r="Y514" t="s">
        <v>10336</v>
      </c>
      <c r="Z514" t="s">
        <v>10337</v>
      </c>
      <c r="AA514" t="s">
        <v>74</v>
      </c>
      <c r="AB514" t="s">
        <v>10338</v>
      </c>
      <c r="AC514" t="s">
        <v>10339</v>
      </c>
      <c r="AD514" t="s">
        <v>10340</v>
      </c>
      <c r="AE514" t="s">
        <v>10341</v>
      </c>
      <c r="AF514" t="s">
        <v>74</v>
      </c>
      <c r="AG514">
        <v>76</v>
      </c>
      <c r="AH514">
        <v>5</v>
      </c>
      <c r="AI514">
        <v>5</v>
      </c>
      <c r="AJ514">
        <v>1</v>
      </c>
      <c r="AK514">
        <v>3</v>
      </c>
      <c r="AL514" t="s">
        <v>760</v>
      </c>
      <c r="AM514" t="s">
        <v>438</v>
      </c>
      <c r="AN514" t="s">
        <v>761</v>
      </c>
      <c r="AO514" t="s">
        <v>10320</v>
      </c>
      <c r="AP514" t="s">
        <v>10321</v>
      </c>
      <c r="AQ514" t="s">
        <v>74</v>
      </c>
      <c r="AR514" t="s">
        <v>10322</v>
      </c>
      <c r="AS514" t="s">
        <v>10323</v>
      </c>
      <c r="AT514" t="s">
        <v>7760</v>
      </c>
      <c r="AU514">
        <v>2021</v>
      </c>
      <c r="AV514">
        <v>126</v>
      </c>
      <c r="AW514">
        <v>10</v>
      </c>
      <c r="AX514" t="s">
        <v>74</v>
      </c>
      <c r="AY514" t="s">
        <v>74</v>
      </c>
      <c r="AZ514" t="s">
        <v>74</v>
      </c>
      <c r="BA514" t="s">
        <v>74</v>
      </c>
      <c r="BB514" t="s">
        <v>74</v>
      </c>
      <c r="BC514" t="s">
        <v>74</v>
      </c>
      <c r="BD514" t="s">
        <v>10342</v>
      </c>
      <c r="BE514" t="s">
        <v>10343</v>
      </c>
      <c r="BF514" t="str">
        <f>HYPERLINK("http://dx.doi.org/10.1029/2021JF006342","http://dx.doi.org/10.1029/2021JF006342")</f>
        <v>http://dx.doi.org/10.1029/2021JF006342</v>
      </c>
      <c r="BG514" t="s">
        <v>74</v>
      </c>
      <c r="BH514" t="s">
        <v>74</v>
      </c>
      <c r="BI514">
        <v>16</v>
      </c>
      <c r="BJ514" t="s">
        <v>236</v>
      </c>
      <c r="BK514" t="s">
        <v>101</v>
      </c>
      <c r="BL514" t="s">
        <v>237</v>
      </c>
      <c r="BM514" t="s">
        <v>10326</v>
      </c>
      <c r="BN514" t="s">
        <v>74</v>
      </c>
      <c r="BO514" t="s">
        <v>180</v>
      </c>
      <c r="BP514" t="s">
        <v>74</v>
      </c>
      <c r="BQ514" t="s">
        <v>74</v>
      </c>
      <c r="BR514" t="s">
        <v>105</v>
      </c>
      <c r="BS514" t="s">
        <v>10344</v>
      </c>
      <c r="BT514" t="str">
        <f>HYPERLINK("https%3A%2F%2Fwww.webofscience.com%2Fwos%2Fwoscc%2Ffull-record%2FWOS:000711971800016","View Full Record in Web of Science")</f>
        <v>View Full Record in Web of Science</v>
      </c>
    </row>
    <row r="515" spans="1:72" x14ac:dyDescent="0.15">
      <c r="A515" t="s">
        <v>72</v>
      </c>
      <c r="B515" t="s">
        <v>10345</v>
      </c>
      <c r="C515" t="s">
        <v>74</v>
      </c>
      <c r="D515" t="s">
        <v>74</v>
      </c>
      <c r="E515" t="s">
        <v>74</v>
      </c>
      <c r="F515" t="s">
        <v>10346</v>
      </c>
      <c r="G515" t="s">
        <v>74</v>
      </c>
      <c r="H515" t="s">
        <v>74</v>
      </c>
      <c r="I515" t="s">
        <v>10347</v>
      </c>
      <c r="J515" t="s">
        <v>10348</v>
      </c>
      <c r="K515" t="s">
        <v>74</v>
      </c>
      <c r="L515" t="s">
        <v>74</v>
      </c>
      <c r="M515" t="s">
        <v>78</v>
      </c>
      <c r="N515" t="s">
        <v>79</v>
      </c>
      <c r="O515" t="s">
        <v>74</v>
      </c>
      <c r="P515" t="s">
        <v>74</v>
      </c>
      <c r="Q515" t="s">
        <v>74</v>
      </c>
      <c r="R515" t="s">
        <v>74</v>
      </c>
      <c r="S515" t="s">
        <v>74</v>
      </c>
      <c r="T515" t="s">
        <v>10349</v>
      </c>
      <c r="U515" t="s">
        <v>10350</v>
      </c>
      <c r="V515" t="s">
        <v>10351</v>
      </c>
      <c r="W515" t="s">
        <v>10352</v>
      </c>
      <c r="X515" t="s">
        <v>10353</v>
      </c>
      <c r="Y515" t="s">
        <v>10354</v>
      </c>
      <c r="Z515" t="s">
        <v>10355</v>
      </c>
      <c r="AA515" t="s">
        <v>10356</v>
      </c>
      <c r="AB515" t="s">
        <v>10357</v>
      </c>
      <c r="AC515" t="s">
        <v>10358</v>
      </c>
      <c r="AD515" t="s">
        <v>10359</v>
      </c>
      <c r="AE515" t="s">
        <v>10360</v>
      </c>
      <c r="AF515" t="s">
        <v>74</v>
      </c>
      <c r="AG515">
        <v>54</v>
      </c>
      <c r="AH515">
        <v>16</v>
      </c>
      <c r="AI515">
        <v>17</v>
      </c>
      <c r="AJ515">
        <v>4</v>
      </c>
      <c r="AK515">
        <v>22</v>
      </c>
      <c r="AL515" t="s">
        <v>572</v>
      </c>
      <c r="AM515" t="s">
        <v>573</v>
      </c>
      <c r="AN515" t="s">
        <v>574</v>
      </c>
      <c r="AO515" t="s">
        <v>10361</v>
      </c>
      <c r="AP515" t="s">
        <v>74</v>
      </c>
      <c r="AQ515" t="s">
        <v>74</v>
      </c>
      <c r="AR515" t="s">
        <v>10348</v>
      </c>
      <c r="AS515" t="s">
        <v>10362</v>
      </c>
      <c r="AT515" t="s">
        <v>7760</v>
      </c>
      <c r="AU515">
        <v>2021</v>
      </c>
      <c r="AV515">
        <v>10</v>
      </c>
      <c r="AW515">
        <v>5</v>
      </c>
      <c r="AX515" t="s">
        <v>74</v>
      </c>
      <c r="AY515" t="s">
        <v>74</v>
      </c>
      <c r="AZ515" t="s">
        <v>74</v>
      </c>
      <c r="BA515" t="s">
        <v>74</v>
      </c>
      <c r="BB515" t="s">
        <v>74</v>
      </c>
      <c r="BC515" t="s">
        <v>74</v>
      </c>
      <c r="BD515" t="s">
        <v>10363</v>
      </c>
      <c r="BE515" t="s">
        <v>10364</v>
      </c>
      <c r="BF515" t="str">
        <f>HYPERLINK("http://dx.doi.org/10.1002/mbo3.1219","http://dx.doi.org/10.1002/mbo3.1219")</f>
        <v>http://dx.doi.org/10.1002/mbo3.1219</v>
      </c>
      <c r="BG515" t="s">
        <v>74</v>
      </c>
      <c r="BH515" t="s">
        <v>74</v>
      </c>
      <c r="BI515">
        <v>14</v>
      </c>
      <c r="BJ515" t="s">
        <v>975</v>
      </c>
      <c r="BK515" t="s">
        <v>101</v>
      </c>
      <c r="BL515" t="s">
        <v>975</v>
      </c>
      <c r="BM515" t="s">
        <v>10365</v>
      </c>
      <c r="BN515">
        <v>34713606</v>
      </c>
      <c r="BO515" t="s">
        <v>343</v>
      </c>
      <c r="BP515" t="s">
        <v>74</v>
      </c>
      <c r="BQ515" t="s">
        <v>74</v>
      </c>
      <c r="BR515" t="s">
        <v>105</v>
      </c>
      <c r="BS515" t="s">
        <v>10366</v>
      </c>
      <c r="BT515" t="str">
        <f>HYPERLINK("https%3A%2F%2Fwww.webofscience.com%2Fwos%2Fwoscc%2Ffull-record%2FWOS:000712037200013","View Full Record in Web of Science")</f>
        <v>View Full Record in Web of Science</v>
      </c>
    </row>
    <row r="516" spans="1:72" x14ac:dyDescent="0.15">
      <c r="A516" t="s">
        <v>72</v>
      </c>
      <c r="B516" t="s">
        <v>10367</v>
      </c>
      <c r="C516" t="s">
        <v>74</v>
      </c>
      <c r="D516" t="s">
        <v>74</v>
      </c>
      <c r="E516" t="s">
        <v>74</v>
      </c>
      <c r="F516" t="s">
        <v>10368</v>
      </c>
      <c r="G516" t="s">
        <v>74</v>
      </c>
      <c r="H516" t="s">
        <v>74</v>
      </c>
      <c r="I516" t="s">
        <v>10369</v>
      </c>
      <c r="J516" t="s">
        <v>372</v>
      </c>
      <c r="K516" t="s">
        <v>74</v>
      </c>
      <c r="L516" t="s">
        <v>74</v>
      </c>
      <c r="M516" t="s">
        <v>78</v>
      </c>
      <c r="N516" t="s">
        <v>111</v>
      </c>
      <c r="O516" t="s">
        <v>74</v>
      </c>
      <c r="P516" t="s">
        <v>74</v>
      </c>
      <c r="Q516" t="s">
        <v>74</v>
      </c>
      <c r="R516" t="s">
        <v>74</v>
      </c>
      <c r="S516" t="s">
        <v>74</v>
      </c>
      <c r="T516" t="s">
        <v>10370</v>
      </c>
      <c r="U516" t="s">
        <v>74</v>
      </c>
      <c r="V516" t="s">
        <v>74</v>
      </c>
      <c r="W516" t="s">
        <v>10371</v>
      </c>
      <c r="X516" t="s">
        <v>1167</v>
      </c>
      <c r="Y516" t="s">
        <v>10372</v>
      </c>
      <c r="Z516" t="s">
        <v>10373</v>
      </c>
      <c r="AA516" t="s">
        <v>10374</v>
      </c>
      <c r="AB516" t="s">
        <v>74</v>
      </c>
      <c r="AC516" t="s">
        <v>74</v>
      </c>
      <c r="AD516" t="s">
        <v>74</v>
      </c>
      <c r="AE516" t="s">
        <v>74</v>
      </c>
      <c r="AF516" t="s">
        <v>74</v>
      </c>
      <c r="AG516">
        <v>3</v>
      </c>
      <c r="AH516">
        <v>0</v>
      </c>
      <c r="AI516">
        <v>0</v>
      </c>
      <c r="AJ516">
        <v>0</v>
      </c>
      <c r="AK516">
        <v>2</v>
      </c>
      <c r="AL516" t="s">
        <v>383</v>
      </c>
      <c r="AM516" t="s">
        <v>384</v>
      </c>
      <c r="AN516" t="s">
        <v>385</v>
      </c>
      <c r="AO516" t="s">
        <v>74</v>
      </c>
      <c r="AP516" t="s">
        <v>386</v>
      </c>
      <c r="AQ516" t="s">
        <v>74</v>
      </c>
      <c r="AR516" t="s">
        <v>387</v>
      </c>
      <c r="AS516" t="s">
        <v>388</v>
      </c>
      <c r="AT516" t="s">
        <v>10375</v>
      </c>
      <c r="AU516">
        <v>2021</v>
      </c>
      <c r="AV516">
        <v>8</v>
      </c>
      <c r="AW516" t="s">
        <v>74</v>
      </c>
      <c r="AX516" t="s">
        <v>74</v>
      </c>
      <c r="AY516" t="s">
        <v>74</v>
      </c>
      <c r="AZ516" t="s">
        <v>74</v>
      </c>
      <c r="BA516" t="s">
        <v>74</v>
      </c>
      <c r="BB516" t="s">
        <v>74</v>
      </c>
      <c r="BC516" t="s">
        <v>74</v>
      </c>
      <c r="BD516">
        <v>719111</v>
      </c>
      <c r="BE516" t="s">
        <v>10376</v>
      </c>
      <c r="BF516" t="str">
        <f>HYPERLINK("http://dx.doi.org/10.3389/fmars.2021.719111","http://dx.doi.org/10.3389/fmars.2021.719111")</f>
        <v>http://dx.doi.org/10.3389/fmars.2021.719111</v>
      </c>
      <c r="BG516" t="s">
        <v>74</v>
      </c>
      <c r="BH516" t="s">
        <v>74</v>
      </c>
      <c r="BI516">
        <v>2</v>
      </c>
      <c r="BJ516" t="s">
        <v>391</v>
      </c>
      <c r="BK516" t="s">
        <v>101</v>
      </c>
      <c r="BL516" t="s">
        <v>392</v>
      </c>
      <c r="BM516" t="s">
        <v>10377</v>
      </c>
      <c r="BN516" t="s">
        <v>74</v>
      </c>
      <c r="BO516" t="s">
        <v>210</v>
      </c>
      <c r="BP516" t="s">
        <v>74</v>
      </c>
      <c r="BQ516" t="s">
        <v>74</v>
      </c>
      <c r="BR516" t="s">
        <v>105</v>
      </c>
      <c r="BS516" t="s">
        <v>10378</v>
      </c>
      <c r="BT516" t="str">
        <f>HYPERLINK("https%3A%2F%2Fwww.webofscience.com%2Fwos%2Fwoscc%2Ffull-record%2FWOS:000710503800001","View Full Record in Web of Science")</f>
        <v>View Full Record in Web of Science</v>
      </c>
    </row>
    <row r="517" spans="1:72" x14ac:dyDescent="0.15">
      <c r="A517" t="s">
        <v>72</v>
      </c>
      <c r="B517" t="s">
        <v>10379</v>
      </c>
      <c r="C517" t="s">
        <v>74</v>
      </c>
      <c r="D517" t="s">
        <v>74</v>
      </c>
      <c r="E517" t="s">
        <v>74</v>
      </c>
      <c r="F517" t="s">
        <v>10380</v>
      </c>
      <c r="G517" t="s">
        <v>74</v>
      </c>
      <c r="H517" t="s">
        <v>74</v>
      </c>
      <c r="I517" t="s">
        <v>10381</v>
      </c>
      <c r="J517" t="s">
        <v>5212</v>
      </c>
      <c r="K517" t="s">
        <v>74</v>
      </c>
      <c r="L517" t="s">
        <v>74</v>
      </c>
      <c r="M517" t="s">
        <v>78</v>
      </c>
      <c r="N517" t="s">
        <v>79</v>
      </c>
      <c r="O517" t="s">
        <v>74</v>
      </c>
      <c r="P517" t="s">
        <v>74</v>
      </c>
      <c r="Q517" t="s">
        <v>74</v>
      </c>
      <c r="R517" t="s">
        <v>74</v>
      </c>
      <c r="S517" t="s">
        <v>74</v>
      </c>
      <c r="T517" t="s">
        <v>74</v>
      </c>
      <c r="U517" t="s">
        <v>10382</v>
      </c>
      <c r="V517" t="s">
        <v>10383</v>
      </c>
      <c r="W517" t="s">
        <v>10384</v>
      </c>
      <c r="X517" t="s">
        <v>10385</v>
      </c>
      <c r="Y517" t="s">
        <v>10386</v>
      </c>
      <c r="Z517" t="s">
        <v>10387</v>
      </c>
      <c r="AA517" t="s">
        <v>10388</v>
      </c>
      <c r="AB517" t="s">
        <v>10389</v>
      </c>
      <c r="AC517" t="s">
        <v>10390</v>
      </c>
      <c r="AD517" t="s">
        <v>10391</v>
      </c>
      <c r="AE517" t="s">
        <v>10392</v>
      </c>
      <c r="AF517" t="s">
        <v>74</v>
      </c>
      <c r="AG517">
        <v>57</v>
      </c>
      <c r="AH517">
        <v>9</v>
      </c>
      <c r="AI517">
        <v>10</v>
      </c>
      <c r="AJ517">
        <v>0</v>
      </c>
      <c r="AK517">
        <v>5</v>
      </c>
      <c r="AL517" t="s">
        <v>760</v>
      </c>
      <c r="AM517" t="s">
        <v>438</v>
      </c>
      <c r="AN517" t="s">
        <v>761</v>
      </c>
      <c r="AO517" t="s">
        <v>5224</v>
      </c>
      <c r="AP517" t="s">
        <v>5225</v>
      </c>
      <c r="AQ517" t="s">
        <v>74</v>
      </c>
      <c r="AR517" t="s">
        <v>5226</v>
      </c>
      <c r="AS517" t="s">
        <v>5227</v>
      </c>
      <c r="AT517" t="s">
        <v>7760</v>
      </c>
      <c r="AU517">
        <v>2021</v>
      </c>
      <c r="AV517">
        <v>126</v>
      </c>
      <c r="AW517">
        <v>10</v>
      </c>
      <c r="AX517" t="s">
        <v>74</v>
      </c>
      <c r="AY517" t="s">
        <v>74</v>
      </c>
      <c r="AZ517" t="s">
        <v>74</v>
      </c>
      <c r="BA517" t="s">
        <v>74</v>
      </c>
      <c r="BB517" t="s">
        <v>74</v>
      </c>
      <c r="BC517" t="s">
        <v>74</v>
      </c>
      <c r="BD517" t="s">
        <v>10393</v>
      </c>
      <c r="BE517" t="s">
        <v>10394</v>
      </c>
      <c r="BF517" t="str">
        <f>HYPERLINK("http://dx.doi.org/10.1029/2021JA029802","http://dx.doi.org/10.1029/2021JA029802")</f>
        <v>http://dx.doi.org/10.1029/2021JA029802</v>
      </c>
      <c r="BG517" t="s">
        <v>74</v>
      </c>
      <c r="BH517" t="s">
        <v>74</v>
      </c>
      <c r="BI517">
        <v>14</v>
      </c>
      <c r="BJ517" t="s">
        <v>1721</v>
      </c>
      <c r="BK517" t="s">
        <v>101</v>
      </c>
      <c r="BL517" t="s">
        <v>1721</v>
      </c>
      <c r="BM517" t="s">
        <v>10395</v>
      </c>
      <c r="BN517" t="s">
        <v>74</v>
      </c>
      <c r="BO517" t="s">
        <v>3843</v>
      </c>
      <c r="BP517" t="s">
        <v>74</v>
      </c>
      <c r="BQ517" t="s">
        <v>74</v>
      </c>
      <c r="BR517" t="s">
        <v>105</v>
      </c>
      <c r="BS517" t="s">
        <v>10396</v>
      </c>
      <c r="BT517" t="str">
        <f>HYPERLINK("https%3A%2F%2Fwww.webofscience.com%2Fwos%2Fwoscc%2Ffull-record%2FWOS:000711498900054","View Full Record in Web of Science")</f>
        <v>View Full Record in Web of Science</v>
      </c>
    </row>
    <row r="518" spans="1:72" x14ac:dyDescent="0.15">
      <c r="A518" t="s">
        <v>72</v>
      </c>
      <c r="B518" t="s">
        <v>10397</v>
      </c>
      <c r="C518" t="s">
        <v>74</v>
      </c>
      <c r="D518" t="s">
        <v>74</v>
      </c>
      <c r="E518" t="s">
        <v>74</v>
      </c>
      <c r="F518" t="s">
        <v>10398</v>
      </c>
      <c r="G518" t="s">
        <v>74</v>
      </c>
      <c r="H518" t="s">
        <v>74</v>
      </c>
      <c r="I518" t="s">
        <v>10399</v>
      </c>
      <c r="J518" t="s">
        <v>5212</v>
      </c>
      <c r="K518" t="s">
        <v>74</v>
      </c>
      <c r="L518" t="s">
        <v>74</v>
      </c>
      <c r="M518" t="s">
        <v>78</v>
      </c>
      <c r="N518" t="s">
        <v>79</v>
      </c>
      <c r="O518" t="s">
        <v>74</v>
      </c>
      <c r="P518" t="s">
        <v>74</v>
      </c>
      <c r="Q518" t="s">
        <v>74</v>
      </c>
      <c r="R518" t="s">
        <v>74</v>
      </c>
      <c r="S518" t="s">
        <v>74</v>
      </c>
      <c r="T518" t="s">
        <v>10400</v>
      </c>
      <c r="U518" t="s">
        <v>10401</v>
      </c>
      <c r="V518" t="s">
        <v>10402</v>
      </c>
      <c r="W518" t="s">
        <v>10403</v>
      </c>
      <c r="X518" t="s">
        <v>10404</v>
      </c>
      <c r="Y518" t="s">
        <v>10405</v>
      </c>
      <c r="Z518" t="s">
        <v>10406</v>
      </c>
      <c r="AA518" t="s">
        <v>10407</v>
      </c>
      <c r="AB518" t="s">
        <v>10408</v>
      </c>
      <c r="AC518" t="s">
        <v>10409</v>
      </c>
      <c r="AD518" t="s">
        <v>10410</v>
      </c>
      <c r="AE518" t="s">
        <v>10411</v>
      </c>
      <c r="AF518" t="s">
        <v>74</v>
      </c>
      <c r="AG518">
        <v>47</v>
      </c>
      <c r="AH518">
        <v>5</v>
      </c>
      <c r="AI518">
        <v>6</v>
      </c>
      <c r="AJ518">
        <v>4</v>
      </c>
      <c r="AK518">
        <v>23</v>
      </c>
      <c r="AL518" t="s">
        <v>760</v>
      </c>
      <c r="AM518" t="s">
        <v>438</v>
      </c>
      <c r="AN518" t="s">
        <v>761</v>
      </c>
      <c r="AO518" t="s">
        <v>5224</v>
      </c>
      <c r="AP518" t="s">
        <v>5225</v>
      </c>
      <c r="AQ518" t="s">
        <v>74</v>
      </c>
      <c r="AR518" t="s">
        <v>5226</v>
      </c>
      <c r="AS518" t="s">
        <v>5227</v>
      </c>
      <c r="AT518" t="s">
        <v>7760</v>
      </c>
      <c r="AU518">
        <v>2021</v>
      </c>
      <c r="AV518">
        <v>126</v>
      </c>
      <c r="AW518">
        <v>10</v>
      </c>
      <c r="AX518" t="s">
        <v>74</v>
      </c>
      <c r="AY518" t="s">
        <v>74</v>
      </c>
      <c r="AZ518" t="s">
        <v>74</v>
      </c>
      <c r="BA518" t="s">
        <v>74</v>
      </c>
      <c r="BB518" t="s">
        <v>74</v>
      </c>
      <c r="BC518" t="s">
        <v>74</v>
      </c>
      <c r="BD518" t="s">
        <v>10412</v>
      </c>
      <c r="BE518" t="s">
        <v>10413</v>
      </c>
      <c r="BF518" t="str">
        <f>HYPERLINK("http://dx.doi.org/10.1029/2020JA028653","http://dx.doi.org/10.1029/2020JA028653")</f>
        <v>http://dx.doi.org/10.1029/2020JA028653</v>
      </c>
      <c r="BG518" t="s">
        <v>74</v>
      </c>
      <c r="BH518" t="s">
        <v>74</v>
      </c>
      <c r="BI518">
        <v>15</v>
      </c>
      <c r="BJ518" t="s">
        <v>1721</v>
      </c>
      <c r="BK518" t="s">
        <v>101</v>
      </c>
      <c r="BL518" t="s">
        <v>1721</v>
      </c>
      <c r="BM518" t="s">
        <v>10395</v>
      </c>
      <c r="BN518" t="s">
        <v>74</v>
      </c>
      <c r="BO518" t="s">
        <v>74</v>
      </c>
      <c r="BP518" t="s">
        <v>74</v>
      </c>
      <c r="BQ518" t="s">
        <v>74</v>
      </c>
      <c r="BR518" t="s">
        <v>105</v>
      </c>
      <c r="BS518" t="s">
        <v>10414</v>
      </c>
      <c r="BT518" t="str">
        <f>HYPERLINK("https%3A%2F%2Fwww.webofscience.com%2Fwos%2Fwoscc%2Ffull-record%2FWOS:000711498900016","View Full Record in Web of Science")</f>
        <v>View Full Record in Web of Science</v>
      </c>
    </row>
    <row r="519" spans="1:72" x14ac:dyDescent="0.15">
      <c r="A519" t="s">
        <v>72</v>
      </c>
      <c r="B519" t="s">
        <v>10415</v>
      </c>
      <c r="C519" t="s">
        <v>74</v>
      </c>
      <c r="D519" t="s">
        <v>74</v>
      </c>
      <c r="E519" t="s">
        <v>74</v>
      </c>
      <c r="F519" t="s">
        <v>10416</v>
      </c>
      <c r="G519" t="s">
        <v>74</v>
      </c>
      <c r="H519" t="s">
        <v>74</v>
      </c>
      <c r="I519" t="s">
        <v>10417</v>
      </c>
      <c r="J519" t="s">
        <v>5212</v>
      </c>
      <c r="K519" t="s">
        <v>74</v>
      </c>
      <c r="L519" t="s">
        <v>74</v>
      </c>
      <c r="M519" t="s">
        <v>78</v>
      </c>
      <c r="N519" t="s">
        <v>79</v>
      </c>
      <c r="O519" t="s">
        <v>74</v>
      </c>
      <c r="P519" t="s">
        <v>74</v>
      </c>
      <c r="Q519" t="s">
        <v>74</v>
      </c>
      <c r="R519" t="s">
        <v>74</v>
      </c>
      <c r="S519" t="s">
        <v>74</v>
      </c>
      <c r="T519" t="s">
        <v>10418</v>
      </c>
      <c r="U519" t="s">
        <v>10419</v>
      </c>
      <c r="V519" t="s">
        <v>10420</v>
      </c>
      <c r="W519" t="s">
        <v>10421</v>
      </c>
      <c r="X519" t="s">
        <v>10422</v>
      </c>
      <c r="Y519" t="s">
        <v>10423</v>
      </c>
      <c r="Z519" t="s">
        <v>10424</v>
      </c>
      <c r="AA519" t="s">
        <v>10425</v>
      </c>
      <c r="AB519" t="s">
        <v>10426</v>
      </c>
      <c r="AC519" t="s">
        <v>10427</v>
      </c>
      <c r="AD519" t="s">
        <v>5096</v>
      </c>
      <c r="AE519" t="s">
        <v>10428</v>
      </c>
      <c r="AF519" t="s">
        <v>74</v>
      </c>
      <c r="AG519">
        <v>79</v>
      </c>
      <c r="AH519">
        <v>3</v>
      </c>
      <c r="AI519">
        <v>3</v>
      </c>
      <c r="AJ519">
        <v>4</v>
      </c>
      <c r="AK519">
        <v>31</v>
      </c>
      <c r="AL519" t="s">
        <v>760</v>
      </c>
      <c r="AM519" t="s">
        <v>438</v>
      </c>
      <c r="AN519" t="s">
        <v>761</v>
      </c>
      <c r="AO519" t="s">
        <v>5224</v>
      </c>
      <c r="AP519" t="s">
        <v>5225</v>
      </c>
      <c r="AQ519" t="s">
        <v>74</v>
      </c>
      <c r="AR519" t="s">
        <v>5226</v>
      </c>
      <c r="AS519" t="s">
        <v>5227</v>
      </c>
      <c r="AT519" t="s">
        <v>7760</v>
      </c>
      <c r="AU519">
        <v>2021</v>
      </c>
      <c r="AV519">
        <v>126</v>
      </c>
      <c r="AW519">
        <v>10</v>
      </c>
      <c r="AX519" t="s">
        <v>74</v>
      </c>
      <c r="AY519" t="s">
        <v>74</v>
      </c>
      <c r="AZ519" t="s">
        <v>74</v>
      </c>
      <c r="BA519" t="s">
        <v>74</v>
      </c>
      <c r="BB519" t="s">
        <v>74</v>
      </c>
      <c r="BC519" t="s">
        <v>74</v>
      </c>
      <c r="BD519" t="s">
        <v>10429</v>
      </c>
      <c r="BE519" t="s">
        <v>10430</v>
      </c>
      <c r="BF519" t="str">
        <f>HYPERLINK("http://dx.doi.org/10.1029/2020JA029050","http://dx.doi.org/10.1029/2020JA029050")</f>
        <v>http://dx.doi.org/10.1029/2020JA029050</v>
      </c>
      <c r="BG519" t="s">
        <v>74</v>
      </c>
      <c r="BH519" t="s">
        <v>74</v>
      </c>
      <c r="BI519">
        <v>19</v>
      </c>
      <c r="BJ519" t="s">
        <v>1721</v>
      </c>
      <c r="BK519" t="s">
        <v>101</v>
      </c>
      <c r="BL519" t="s">
        <v>1721</v>
      </c>
      <c r="BM519" t="s">
        <v>10395</v>
      </c>
      <c r="BN519" t="s">
        <v>74</v>
      </c>
      <c r="BO519" t="s">
        <v>74</v>
      </c>
      <c r="BP519" t="s">
        <v>74</v>
      </c>
      <c r="BQ519" t="s">
        <v>74</v>
      </c>
      <c r="BR519" t="s">
        <v>105</v>
      </c>
      <c r="BS519" t="s">
        <v>10431</v>
      </c>
      <c r="BT519" t="str">
        <f>HYPERLINK("https%3A%2F%2Fwww.webofscience.com%2Fwos%2Fwoscc%2Ffull-record%2FWOS:000711498900065","View Full Record in Web of Science")</f>
        <v>View Full Record in Web of Science</v>
      </c>
    </row>
    <row r="520" spans="1:72" x14ac:dyDescent="0.15">
      <c r="A520" t="s">
        <v>72</v>
      </c>
      <c r="B520" t="s">
        <v>10432</v>
      </c>
      <c r="C520" t="s">
        <v>74</v>
      </c>
      <c r="D520" t="s">
        <v>74</v>
      </c>
      <c r="E520" t="s">
        <v>74</v>
      </c>
      <c r="F520" t="s">
        <v>10433</v>
      </c>
      <c r="G520" t="s">
        <v>74</v>
      </c>
      <c r="H520" t="s">
        <v>74</v>
      </c>
      <c r="I520" t="s">
        <v>10434</v>
      </c>
      <c r="J520" t="s">
        <v>5212</v>
      </c>
      <c r="K520" t="s">
        <v>74</v>
      </c>
      <c r="L520" t="s">
        <v>74</v>
      </c>
      <c r="M520" t="s">
        <v>78</v>
      </c>
      <c r="N520" t="s">
        <v>79</v>
      </c>
      <c r="O520" t="s">
        <v>74</v>
      </c>
      <c r="P520" t="s">
        <v>74</v>
      </c>
      <c r="Q520" t="s">
        <v>74</v>
      </c>
      <c r="R520" t="s">
        <v>74</v>
      </c>
      <c r="S520" t="s">
        <v>74</v>
      </c>
      <c r="T520" t="s">
        <v>10435</v>
      </c>
      <c r="U520" t="s">
        <v>10436</v>
      </c>
      <c r="V520" t="s">
        <v>10437</v>
      </c>
      <c r="W520" t="s">
        <v>10438</v>
      </c>
      <c r="X520" t="s">
        <v>10439</v>
      </c>
      <c r="Y520" t="s">
        <v>10440</v>
      </c>
      <c r="Z520" t="s">
        <v>10441</v>
      </c>
      <c r="AA520" t="s">
        <v>10442</v>
      </c>
      <c r="AB520" t="s">
        <v>10443</v>
      </c>
      <c r="AC520" t="s">
        <v>10444</v>
      </c>
      <c r="AD520" t="s">
        <v>4469</v>
      </c>
      <c r="AE520" t="s">
        <v>10445</v>
      </c>
      <c r="AF520" t="s">
        <v>74</v>
      </c>
      <c r="AG520">
        <v>32</v>
      </c>
      <c r="AH520">
        <v>10</v>
      </c>
      <c r="AI520">
        <v>10</v>
      </c>
      <c r="AJ520">
        <v>0</v>
      </c>
      <c r="AK520">
        <v>4</v>
      </c>
      <c r="AL520" t="s">
        <v>760</v>
      </c>
      <c r="AM520" t="s">
        <v>438</v>
      </c>
      <c r="AN520" t="s">
        <v>761</v>
      </c>
      <c r="AO520" t="s">
        <v>5224</v>
      </c>
      <c r="AP520" t="s">
        <v>5225</v>
      </c>
      <c r="AQ520" t="s">
        <v>74</v>
      </c>
      <c r="AR520" t="s">
        <v>5226</v>
      </c>
      <c r="AS520" t="s">
        <v>5227</v>
      </c>
      <c r="AT520" t="s">
        <v>7760</v>
      </c>
      <c r="AU520">
        <v>2021</v>
      </c>
      <c r="AV520">
        <v>126</v>
      </c>
      <c r="AW520">
        <v>10</v>
      </c>
      <c r="AX520" t="s">
        <v>74</v>
      </c>
      <c r="AY520" t="s">
        <v>74</v>
      </c>
      <c r="AZ520" t="s">
        <v>74</v>
      </c>
      <c r="BA520" t="s">
        <v>74</v>
      </c>
      <c r="BB520" t="s">
        <v>74</v>
      </c>
      <c r="BC520" t="s">
        <v>74</v>
      </c>
      <c r="BD520" t="s">
        <v>10446</v>
      </c>
      <c r="BE520" t="s">
        <v>10447</v>
      </c>
      <c r="BF520" t="str">
        <f>HYPERLINK("http://dx.doi.org/10.1029/2021JA029604","http://dx.doi.org/10.1029/2021JA029604")</f>
        <v>http://dx.doi.org/10.1029/2021JA029604</v>
      </c>
      <c r="BG520" t="s">
        <v>74</v>
      </c>
      <c r="BH520" t="s">
        <v>74</v>
      </c>
      <c r="BI520">
        <v>14</v>
      </c>
      <c r="BJ520" t="s">
        <v>1721</v>
      </c>
      <c r="BK520" t="s">
        <v>101</v>
      </c>
      <c r="BL520" t="s">
        <v>1721</v>
      </c>
      <c r="BM520" t="s">
        <v>10395</v>
      </c>
      <c r="BN520" t="s">
        <v>74</v>
      </c>
      <c r="BO520" t="s">
        <v>74</v>
      </c>
      <c r="BP520" t="s">
        <v>74</v>
      </c>
      <c r="BQ520" t="s">
        <v>74</v>
      </c>
      <c r="BR520" t="s">
        <v>105</v>
      </c>
      <c r="BS520" t="s">
        <v>10448</v>
      </c>
      <c r="BT520" t="str">
        <f>HYPERLINK("https%3A%2F%2Fwww.webofscience.com%2Fwos%2Fwoscc%2Ffull-record%2FWOS:000711498900046","View Full Record in Web of Science")</f>
        <v>View Full Record in Web of Science</v>
      </c>
    </row>
    <row r="521" spans="1:72" x14ac:dyDescent="0.15">
      <c r="A521" t="s">
        <v>72</v>
      </c>
      <c r="B521" t="s">
        <v>10449</v>
      </c>
      <c r="C521" t="s">
        <v>74</v>
      </c>
      <c r="D521" t="s">
        <v>74</v>
      </c>
      <c r="E521" t="s">
        <v>74</v>
      </c>
      <c r="F521" t="s">
        <v>10450</v>
      </c>
      <c r="G521" t="s">
        <v>74</v>
      </c>
      <c r="H521" t="s">
        <v>74</v>
      </c>
      <c r="I521" t="s">
        <v>10451</v>
      </c>
      <c r="J521" t="s">
        <v>5212</v>
      </c>
      <c r="K521" t="s">
        <v>74</v>
      </c>
      <c r="L521" t="s">
        <v>74</v>
      </c>
      <c r="M521" t="s">
        <v>78</v>
      </c>
      <c r="N521" t="s">
        <v>79</v>
      </c>
      <c r="O521" t="s">
        <v>74</v>
      </c>
      <c r="P521" t="s">
        <v>74</v>
      </c>
      <c r="Q521" t="s">
        <v>74</v>
      </c>
      <c r="R521" t="s">
        <v>74</v>
      </c>
      <c r="S521" t="s">
        <v>74</v>
      </c>
      <c r="T521" t="s">
        <v>10452</v>
      </c>
      <c r="U521" t="s">
        <v>10453</v>
      </c>
      <c r="V521" t="s">
        <v>10454</v>
      </c>
      <c r="W521" t="s">
        <v>10455</v>
      </c>
      <c r="X521" t="s">
        <v>10456</v>
      </c>
      <c r="Y521" t="s">
        <v>10457</v>
      </c>
      <c r="Z521" t="s">
        <v>10458</v>
      </c>
      <c r="AA521" t="s">
        <v>10459</v>
      </c>
      <c r="AB521" t="s">
        <v>10460</v>
      </c>
      <c r="AC521" t="s">
        <v>10461</v>
      </c>
      <c r="AD521" t="s">
        <v>10462</v>
      </c>
      <c r="AE521" t="s">
        <v>10463</v>
      </c>
      <c r="AF521" t="s">
        <v>74</v>
      </c>
      <c r="AG521">
        <v>86</v>
      </c>
      <c r="AH521">
        <v>5</v>
      </c>
      <c r="AI521">
        <v>5</v>
      </c>
      <c r="AJ521">
        <v>0</v>
      </c>
      <c r="AK521">
        <v>0</v>
      </c>
      <c r="AL521" t="s">
        <v>760</v>
      </c>
      <c r="AM521" t="s">
        <v>438</v>
      </c>
      <c r="AN521" t="s">
        <v>761</v>
      </c>
      <c r="AO521" t="s">
        <v>5224</v>
      </c>
      <c r="AP521" t="s">
        <v>5225</v>
      </c>
      <c r="AQ521" t="s">
        <v>74</v>
      </c>
      <c r="AR521" t="s">
        <v>5226</v>
      </c>
      <c r="AS521" t="s">
        <v>5227</v>
      </c>
      <c r="AT521" t="s">
        <v>7760</v>
      </c>
      <c r="AU521">
        <v>2021</v>
      </c>
      <c r="AV521">
        <v>126</v>
      </c>
      <c r="AW521">
        <v>10</v>
      </c>
      <c r="AX521" t="s">
        <v>74</v>
      </c>
      <c r="AY521" t="s">
        <v>74</v>
      </c>
      <c r="AZ521" t="s">
        <v>74</v>
      </c>
      <c r="BA521" t="s">
        <v>74</v>
      </c>
      <c r="BB521" t="s">
        <v>74</v>
      </c>
      <c r="BC521" t="s">
        <v>74</v>
      </c>
      <c r="BD521" t="s">
        <v>10464</v>
      </c>
      <c r="BE521" t="s">
        <v>10465</v>
      </c>
      <c r="BF521" t="str">
        <f>HYPERLINK("http://dx.doi.org/10.1029/2021JA029308","http://dx.doi.org/10.1029/2021JA029308")</f>
        <v>http://dx.doi.org/10.1029/2021JA029308</v>
      </c>
      <c r="BG521" t="s">
        <v>74</v>
      </c>
      <c r="BH521" t="s">
        <v>74</v>
      </c>
      <c r="BI521">
        <v>17</v>
      </c>
      <c r="BJ521" t="s">
        <v>1721</v>
      </c>
      <c r="BK521" t="s">
        <v>101</v>
      </c>
      <c r="BL521" t="s">
        <v>1721</v>
      </c>
      <c r="BM521" t="s">
        <v>10395</v>
      </c>
      <c r="BN521" t="s">
        <v>74</v>
      </c>
      <c r="BO521" t="s">
        <v>858</v>
      </c>
      <c r="BP521" t="s">
        <v>74</v>
      </c>
      <c r="BQ521" t="s">
        <v>74</v>
      </c>
      <c r="BR521" t="s">
        <v>105</v>
      </c>
      <c r="BS521" t="s">
        <v>10466</v>
      </c>
      <c r="BT521" t="str">
        <f>HYPERLINK("https%3A%2F%2Fwww.webofscience.com%2Fwos%2Fwoscc%2Ffull-record%2FWOS:000711498900034","View Full Record in Web of Science")</f>
        <v>View Full Record in Web of Science</v>
      </c>
    </row>
    <row r="522" spans="1:72" x14ac:dyDescent="0.15">
      <c r="A522" t="s">
        <v>72</v>
      </c>
      <c r="B522" t="s">
        <v>10467</v>
      </c>
      <c r="C522" t="s">
        <v>74</v>
      </c>
      <c r="D522" t="s">
        <v>74</v>
      </c>
      <c r="E522" t="s">
        <v>74</v>
      </c>
      <c r="F522" t="s">
        <v>10468</v>
      </c>
      <c r="G522" t="s">
        <v>74</v>
      </c>
      <c r="H522" t="s">
        <v>74</v>
      </c>
      <c r="I522" t="s">
        <v>10469</v>
      </c>
      <c r="J522" t="s">
        <v>5086</v>
      </c>
      <c r="K522" t="s">
        <v>74</v>
      </c>
      <c r="L522" t="s">
        <v>74</v>
      </c>
      <c r="M522" t="s">
        <v>78</v>
      </c>
      <c r="N522" t="s">
        <v>79</v>
      </c>
      <c r="O522" t="s">
        <v>74</v>
      </c>
      <c r="P522" t="s">
        <v>74</v>
      </c>
      <c r="Q522" t="s">
        <v>74</v>
      </c>
      <c r="R522" t="s">
        <v>74</v>
      </c>
      <c r="S522" t="s">
        <v>74</v>
      </c>
      <c r="T522" t="s">
        <v>10470</v>
      </c>
      <c r="U522" t="s">
        <v>10471</v>
      </c>
      <c r="V522" t="s">
        <v>10472</v>
      </c>
      <c r="W522" t="s">
        <v>10473</v>
      </c>
      <c r="X522" t="s">
        <v>10474</v>
      </c>
      <c r="Y522" t="s">
        <v>10475</v>
      </c>
      <c r="Z522" t="s">
        <v>10476</v>
      </c>
      <c r="AA522" t="s">
        <v>10477</v>
      </c>
      <c r="AB522" t="s">
        <v>10478</v>
      </c>
      <c r="AC522" t="s">
        <v>10479</v>
      </c>
      <c r="AD522" t="s">
        <v>10480</v>
      </c>
      <c r="AE522" t="s">
        <v>10481</v>
      </c>
      <c r="AF522" t="s">
        <v>74</v>
      </c>
      <c r="AG522">
        <v>51</v>
      </c>
      <c r="AH522">
        <v>1</v>
      </c>
      <c r="AI522">
        <v>1</v>
      </c>
      <c r="AJ522">
        <v>4</v>
      </c>
      <c r="AK522">
        <v>11</v>
      </c>
      <c r="AL522" t="s">
        <v>760</v>
      </c>
      <c r="AM522" t="s">
        <v>438</v>
      </c>
      <c r="AN522" t="s">
        <v>761</v>
      </c>
      <c r="AO522" t="s">
        <v>5098</v>
      </c>
      <c r="AP522" t="s">
        <v>5099</v>
      </c>
      <c r="AQ522" t="s">
        <v>74</v>
      </c>
      <c r="AR522" t="s">
        <v>5100</v>
      </c>
      <c r="AS522" t="s">
        <v>5101</v>
      </c>
      <c r="AT522" t="s">
        <v>7760</v>
      </c>
      <c r="AU522">
        <v>2021</v>
      </c>
      <c r="AV522">
        <v>36</v>
      </c>
      <c r="AW522">
        <v>10</v>
      </c>
      <c r="AX522" t="s">
        <v>74</v>
      </c>
      <c r="AY522" t="s">
        <v>74</v>
      </c>
      <c r="AZ522" t="s">
        <v>74</v>
      </c>
      <c r="BA522" t="s">
        <v>74</v>
      </c>
      <c r="BB522" t="s">
        <v>74</v>
      </c>
      <c r="BC522" t="s">
        <v>74</v>
      </c>
      <c r="BD522" t="s">
        <v>10482</v>
      </c>
      <c r="BE522" t="s">
        <v>10483</v>
      </c>
      <c r="BF522" t="str">
        <f>HYPERLINK("http://dx.doi.org/10.1029/2020PA004183","http://dx.doi.org/10.1029/2020PA004183")</f>
        <v>http://dx.doi.org/10.1029/2020PA004183</v>
      </c>
      <c r="BG522" t="s">
        <v>74</v>
      </c>
      <c r="BH522" t="s">
        <v>74</v>
      </c>
      <c r="BI522">
        <v>20</v>
      </c>
      <c r="BJ522" t="s">
        <v>5104</v>
      </c>
      <c r="BK522" t="s">
        <v>101</v>
      </c>
      <c r="BL522" t="s">
        <v>5105</v>
      </c>
      <c r="BM522" t="s">
        <v>10484</v>
      </c>
      <c r="BN522" t="s">
        <v>74</v>
      </c>
      <c r="BO522" t="s">
        <v>343</v>
      </c>
      <c r="BP522" t="s">
        <v>74</v>
      </c>
      <c r="BQ522" t="s">
        <v>74</v>
      </c>
      <c r="BR522" t="s">
        <v>105</v>
      </c>
      <c r="BS522" t="s">
        <v>10485</v>
      </c>
      <c r="BT522" t="str">
        <f>HYPERLINK("https%3A%2F%2Fwww.webofscience.com%2Fwos%2Fwoscc%2Ffull-record%2FWOS:000711966000015","View Full Record in Web of Science")</f>
        <v>View Full Record in Web of Science</v>
      </c>
    </row>
    <row r="523" spans="1:72" x14ac:dyDescent="0.15">
      <c r="A523" t="s">
        <v>72</v>
      </c>
      <c r="B523" t="s">
        <v>10486</v>
      </c>
      <c r="C523" t="s">
        <v>74</v>
      </c>
      <c r="D523" t="s">
        <v>74</v>
      </c>
      <c r="E523" t="s">
        <v>74</v>
      </c>
      <c r="F523" t="s">
        <v>10487</v>
      </c>
      <c r="G523" t="s">
        <v>74</v>
      </c>
      <c r="H523" t="s">
        <v>74</v>
      </c>
      <c r="I523" t="s">
        <v>10488</v>
      </c>
      <c r="J523" t="s">
        <v>10489</v>
      </c>
      <c r="K523" t="s">
        <v>74</v>
      </c>
      <c r="L523" t="s">
        <v>74</v>
      </c>
      <c r="M523" t="s">
        <v>78</v>
      </c>
      <c r="N523" t="s">
        <v>79</v>
      </c>
      <c r="O523" t="s">
        <v>74</v>
      </c>
      <c r="P523" t="s">
        <v>74</v>
      </c>
      <c r="Q523" t="s">
        <v>74</v>
      </c>
      <c r="R523" t="s">
        <v>74</v>
      </c>
      <c r="S523" t="s">
        <v>74</v>
      </c>
      <c r="T523" t="s">
        <v>10490</v>
      </c>
      <c r="U523" t="s">
        <v>10491</v>
      </c>
      <c r="V523" t="s">
        <v>10492</v>
      </c>
      <c r="W523" t="s">
        <v>10493</v>
      </c>
      <c r="X523" t="s">
        <v>10494</v>
      </c>
      <c r="Y523" t="s">
        <v>10495</v>
      </c>
      <c r="Z523" t="s">
        <v>10496</v>
      </c>
      <c r="AA523" t="s">
        <v>10497</v>
      </c>
      <c r="AB523" t="s">
        <v>10498</v>
      </c>
      <c r="AC523" t="s">
        <v>10499</v>
      </c>
      <c r="AD523" t="s">
        <v>10500</v>
      </c>
      <c r="AE523" t="s">
        <v>10501</v>
      </c>
      <c r="AF523" t="s">
        <v>74</v>
      </c>
      <c r="AG523">
        <v>51</v>
      </c>
      <c r="AH523">
        <v>3</v>
      </c>
      <c r="AI523">
        <v>3</v>
      </c>
      <c r="AJ523">
        <v>1</v>
      </c>
      <c r="AK523">
        <v>3</v>
      </c>
      <c r="AL523" t="s">
        <v>760</v>
      </c>
      <c r="AM523" t="s">
        <v>438</v>
      </c>
      <c r="AN523" t="s">
        <v>761</v>
      </c>
      <c r="AO523" t="s">
        <v>10502</v>
      </c>
      <c r="AP523" t="s">
        <v>10503</v>
      </c>
      <c r="AQ523" t="s">
        <v>74</v>
      </c>
      <c r="AR523" t="s">
        <v>10504</v>
      </c>
      <c r="AS523" t="s">
        <v>10505</v>
      </c>
      <c r="AT523" t="s">
        <v>7760</v>
      </c>
      <c r="AU523">
        <v>2021</v>
      </c>
      <c r="AV523">
        <v>56</v>
      </c>
      <c r="AW523">
        <v>10</v>
      </c>
      <c r="AX523" t="s">
        <v>74</v>
      </c>
      <c r="AY523" t="s">
        <v>74</v>
      </c>
      <c r="AZ523" t="s">
        <v>74</v>
      </c>
      <c r="BA523" t="s">
        <v>74</v>
      </c>
      <c r="BB523" t="s">
        <v>74</v>
      </c>
      <c r="BC523" t="s">
        <v>74</v>
      </c>
      <c r="BD523" t="s">
        <v>10506</v>
      </c>
      <c r="BE523" t="s">
        <v>10507</v>
      </c>
      <c r="BF523" t="str">
        <f>HYPERLINK("http://dx.doi.org/10.1029/2021RS007303","http://dx.doi.org/10.1029/2021RS007303")</f>
        <v>http://dx.doi.org/10.1029/2021RS007303</v>
      </c>
      <c r="BG523" t="s">
        <v>74</v>
      </c>
      <c r="BH523" t="s">
        <v>74</v>
      </c>
      <c r="BI523">
        <v>11</v>
      </c>
      <c r="BJ523" t="s">
        <v>10508</v>
      </c>
      <c r="BK523" t="s">
        <v>101</v>
      </c>
      <c r="BL523" t="s">
        <v>10508</v>
      </c>
      <c r="BM523" t="s">
        <v>10509</v>
      </c>
      <c r="BN523" t="s">
        <v>74</v>
      </c>
      <c r="BO523" t="s">
        <v>74</v>
      </c>
      <c r="BP523" t="s">
        <v>74</v>
      </c>
      <c r="BQ523" t="s">
        <v>74</v>
      </c>
      <c r="BR523" t="s">
        <v>105</v>
      </c>
      <c r="BS523" t="s">
        <v>10510</v>
      </c>
      <c r="BT523" t="str">
        <f>HYPERLINK("https%3A%2F%2Fwww.webofscience.com%2Fwos%2Fwoscc%2Ffull-record%2FWOS:000711964600006","View Full Record in Web of Science")</f>
        <v>View Full Record in Web of Science</v>
      </c>
    </row>
    <row r="524" spans="1:72" x14ac:dyDescent="0.15">
      <c r="A524" t="s">
        <v>72</v>
      </c>
      <c r="B524" t="s">
        <v>10511</v>
      </c>
      <c r="C524" t="s">
        <v>74</v>
      </c>
      <c r="D524" t="s">
        <v>74</v>
      </c>
      <c r="E524" t="s">
        <v>74</v>
      </c>
      <c r="F524" t="s">
        <v>10512</v>
      </c>
      <c r="G524" t="s">
        <v>74</v>
      </c>
      <c r="H524" t="s">
        <v>74</v>
      </c>
      <c r="I524" t="s">
        <v>10513</v>
      </c>
      <c r="J524" t="s">
        <v>10514</v>
      </c>
      <c r="K524" t="s">
        <v>74</v>
      </c>
      <c r="L524" t="s">
        <v>74</v>
      </c>
      <c r="M524" t="s">
        <v>78</v>
      </c>
      <c r="N524" t="s">
        <v>79</v>
      </c>
      <c r="O524" t="s">
        <v>74</v>
      </c>
      <c r="P524" t="s">
        <v>74</v>
      </c>
      <c r="Q524" t="s">
        <v>74</v>
      </c>
      <c r="R524" t="s">
        <v>74</v>
      </c>
      <c r="S524" t="s">
        <v>74</v>
      </c>
      <c r="T524" t="s">
        <v>10515</v>
      </c>
      <c r="U524" t="s">
        <v>10516</v>
      </c>
      <c r="V524" t="s">
        <v>10517</v>
      </c>
      <c r="W524" t="s">
        <v>10518</v>
      </c>
      <c r="X524" t="s">
        <v>10519</v>
      </c>
      <c r="Y524" t="s">
        <v>10520</v>
      </c>
      <c r="Z524" t="s">
        <v>10521</v>
      </c>
      <c r="AA524" t="s">
        <v>74</v>
      </c>
      <c r="AB524" t="s">
        <v>74</v>
      </c>
      <c r="AC524" t="s">
        <v>10522</v>
      </c>
      <c r="AD524" t="s">
        <v>10523</v>
      </c>
      <c r="AE524" t="s">
        <v>10524</v>
      </c>
      <c r="AF524" t="s">
        <v>74</v>
      </c>
      <c r="AG524">
        <v>20</v>
      </c>
      <c r="AH524">
        <v>0</v>
      </c>
      <c r="AI524">
        <v>0</v>
      </c>
      <c r="AJ524">
        <v>1</v>
      </c>
      <c r="AK524">
        <v>1</v>
      </c>
      <c r="AL524" t="s">
        <v>10525</v>
      </c>
      <c r="AM524" t="s">
        <v>9994</v>
      </c>
      <c r="AN524" t="s">
        <v>10526</v>
      </c>
      <c r="AO524" t="s">
        <v>10527</v>
      </c>
      <c r="AP524" t="s">
        <v>10528</v>
      </c>
      <c r="AQ524" t="s">
        <v>74</v>
      </c>
      <c r="AR524" t="s">
        <v>10529</v>
      </c>
      <c r="AS524" t="s">
        <v>10530</v>
      </c>
      <c r="AT524" t="s">
        <v>7760</v>
      </c>
      <c r="AU524">
        <v>2021</v>
      </c>
      <c r="AV524">
        <v>21</v>
      </c>
      <c r="AW524">
        <v>8</v>
      </c>
      <c r="AX524" t="s">
        <v>74</v>
      </c>
      <c r="AY524" t="s">
        <v>74</v>
      </c>
      <c r="AZ524" t="s">
        <v>74</v>
      </c>
      <c r="BA524" t="s">
        <v>74</v>
      </c>
      <c r="BB524" t="s">
        <v>74</v>
      </c>
      <c r="BC524" t="s">
        <v>74</v>
      </c>
      <c r="BD524">
        <v>191</v>
      </c>
      <c r="BE524" t="s">
        <v>10531</v>
      </c>
      <c r="BF524" t="str">
        <f>HYPERLINK("http://dx.doi.org/10.1088/1674-4527/21/8/191","http://dx.doi.org/10.1088/1674-4527/21/8/191")</f>
        <v>http://dx.doi.org/10.1088/1674-4527/21/8/191</v>
      </c>
      <c r="BG524" t="s">
        <v>74</v>
      </c>
      <c r="BH524" t="s">
        <v>74</v>
      </c>
      <c r="BI524">
        <v>16</v>
      </c>
      <c r="BJ524" t="s">
        <v>1721</v>
      </c>
      <c r="BK524" t="s">
        <v>101</v>
      </c>
      <c r="BL524" t="s">
        <v>1721</v>
      </c>
      <c r="BM524" t="s">
        <v>10532</v>
      </c>
      <c r="BN524" t="s">
        <v>74</v>
      </c>
      <c r="BO524" t="s">
        <v>74</v>
      </c>
      <c r="BP524" t="s">
        <v>74</v>
      </c>
      <c r="BQ524" t="s">
        <v>74</v>
      </c>
      <c r="BR524" t="s">
        <v>105</v>
      </c>
      <c r="BS524" t="s">
        <v>10533</v>
      </c>
      <c r="BT524" t="str">
        <f>HYPERLINK("https%3A%2F%2Fwww.webofscience.com%2Fwos%2Fwoscc%2Ffull-record%2FWOS:000711657300001","View Full Record in Web of Science")</f>
        <v>View Full Record in Web of Science</v>
      </c>
    </row>
    <row r="525" spans="1:72" x14ac:dyDescent="0.15">
      <c r="A525" t="s">
        <v>72</v>
      </c>
      <c r="B525" t="s">
        <v>10534</v>
      </c>
      <c r="C525" t="s">
        <v>74</v>
      </c>
      <c r="D525" t="s">
        <v>74</v>
      </c>
      <c r="E525" t="s">
        <v>74</v>
      </c>
      <c r="F525" t="s">
        <v>10535</v>
      </c>
      <c r="G525" t="s">
        <v>74</v>
      </c>
      <c r="H525" t="s">
        <v>74</v>
      </c>
      <c r="I525" t="s">
        <v>10536</v>
      </c>
      <c r="J525" t="s">
        <v>10537</v>
      </c>
      <c r="K525" t="s">
        <v>74</v>
      </c>
      <c r="L525" t="s">
        <v>74</v>
      </c>
      <c r="M525" t="s">
        <v>78</v>
      </c>
      <c r="N525" t="s">
        <v>79</v>
      </c>
      <c r="O525" t="s">
        <v>74</v>
      </c>
      <c r="P525" t="s">
        <v>74</v>
      </c>
      <c r="Q525" t="s">
        <v>74</v>
      </c>
      <c r="R525" t="s">
        <v>74</v>
      </c>
      <c r="S525" t="s">
        <v>74</v>
      </c>
      <c r="T525" t="s">
        <v>10538</v>
      </c>
      <c r="U525" t="s">
        <v>10539</v>
      </c>
      <c r="V525" t="s">
        <v>10540</v>
      </c>
      <c r="W525" t="s">
        <v>10541</v>
      </c>
      <c r="X525" t="s">
        <v>9989</v>
      </c>
      <c r="Y525" t="s">
        <v>10542</v>
      </c>
      <c r="Z525" t="s">
        <v>10543</v>
      </c>
      <c r="AA525" t="s">
        <v>74</v>
      </c>
      <c r="AB525" t="s">
        <v>10544</v>
      </c>
      <c r="AC525" t="s">
        <v>74</v>
      </c>
      <c r="AD525" t="s">
        <v>74</v>
      </c>
      <c r="AE525" t="s">
        <v>74</v>
      </c>
      <c r="AF525" t="s">
        <v>74</v>
      </c>
      <c r="AG525">
        <v>41</v>
      </c>
      <c r="AH525">
        <v>6</v>
      </c>
      <c r="AI525">
        <v>7</v>
      </c>
      <c r="AJ525">
        <v>6</v>
      </c>
      <c r="AK525">
        <v>34</v>
      </c>
      <c r="AL525" t="s">
        <v>9993</v>
      </c>
      <c r="AM525" t="s">
        <v>9994</v>
      </c>
      <c r="AN525" t="s">
        <v>9995</v>
      </c>
      <c r="AO525" t="s">
        <v>10545</v>
      </c>
      <c r="AP525" t="s">
        <v>10546</v>
      </c>
      <c r="AQ525" t="s">
        <v>74</v>
      </c>
      <c r="AR525" t="s">
        <v>10547</v>
      </c>
      <c r="AS525" t="s">
        <v>10548</v>
      </c>
      <c r="AT525" t="s">
        <v>7760</v>
      </c>
      <c r="AU525">
        <v>2021</v>
      </c>
      <c r="AV525">
        <v>18</v>
      </c>
      <c r="AW525">
        <v>10</v>
      </c>
      <c r="AX525" t="s">
        <v>74</v>
      </c>
      <c r="AY525" t="s">
        <v>74</v>
      </c>
      <c r="AZ525" t="s">
        <v>74</v>
      </c>
      <c r="BA525" t="s">
        <v>74</v>
      </c>
      <c r="BB525">
        <v>2626</v>
      </c>
      <c r="BC525">
        <v>2634</v>
      </c>
      <c r="BD525" t="s">
        <v>74</v>
      </c>
      <c r="BE525" t="s">
        <v>10549</v>
      </c>
      <c r="BF525" t="str">
        <f>HYPERLINK("http://dx.doi.org/10.1007/s11629-021-6912-2","http://dx.doi.org/10.1007/s11629-021-6912-2")</f>
        <v>http://dx.doi.org/10.1007/s11629-021-6912-2</v>
      </c>
      <c r="BG525" t="s">
        <v>74</v>
      </c>
      <c r="BH525" t="s">
        <v>74</v>
      </c>
      <c r="BI525">
        <v>9</v>
      </c>
      <c r="BJ525" t="s">
        <v>856</v>
      </c>
      <c r="BK525" t="s">
        <v>101</v>
      </c>
      <c r="BL525" t="s">
        <v>630</v>
      </c>
      <c r="BM525" t="s">
        <v>10550</v>
      </c>
      <c r="BN525" t="s">
        <v>74</v>
      </c>
      <c r="BO525" t="s">
        <v>74</v>
      </c>
      <c r="BP525" t="s">
        <v>74</v>
      </c>
      <c r="BQ525" t="s">
        <v>74</v>
      </c>
      <c r="BR525" t="s">
        <v>105</v>
      </c>
      <c r="BS525" t="s">
        <v>10551</v>
      </c>
      <c r="BT525" t="str">
        <f>HYPERLINK("https%3A%2F%2Fwww.webofscience.com%2Fwos%2Fwoscc%2Ffull-record%2FWOS:000711477100008","View Full Record in Web of Science")</f>
        <v>View Full Record in Web of Science</v>
      </c>
    </row>
    <row r="526" spans="1:72" x14ac:dyDescent="0.15">
      <c r="A526" t="s">
        <v>72</v>
      </c>
      <c r="B526" t="s">
        <v>10552</v>
      </c>
      <c r="C526" t="s">
        <v>74</v>
      </c>
      <c r="D526" t="s">
        <v>74</v>
      </c>
      <c r="E526" t="s">
        <v>74</v>
      </c>
      <c r="F526" t="s">
        <v>10553</v>
      </c>
      <c r="G526" t="s">
        <v>74</v>
      </c>
      <c r="H526" t="s">
        <v>74</v>
      </c>
      <c r="I526" t="s">
        <v>10554</v>
      </c>
      <c r="J526" t="s">
        <v>4222</v>
      </c>
      <c r="K526" t="s">
        <v>74</v>
      </c>
      <c r="L526" t="s">
        <v>74</v>
      </c>
      <c r="M526" t="s">
        <v>78</v>
      </c>
      <c r="N526" t="s">
        <v>79</v>
      </c>
      <c r="O526" t="s">
        <v>74</v>
      </c>
      <c r="P526" t="s">
        <v>74</v>
      </c>
      <c r="Q526" t="s">
        <v>74</v>
      </c>
      <c r="R526" t="s">
        <v>74</v>
      </c>
      <c r="S526" t="s">
        <v>74</v>
      </c>
      <c r="T526" t="s">
        <v>10555</v>
      </c>
      <c r="U526" t="s">
        <v>10556</v>
      </c>
      <c r="V526" t="s">
        <v>10557</v>
      </c>
      <c r="W526" t="s">
        <v>10558</v>
      </c>
      <c r="X526" t="s">
        <v>10559</v>
      </c>
      <c r="Y526" t="s">
        <v>10560</v>
      </c>
      <c r="Z526" t="s">
        <v>10561</v>
      </c>
      <c r="AA526" t="s">
        <v>10562</v>
      </c>
      <c r="AB526" t="s">
        <v>10563</v>
      </c>
      <c r="AC526" t="s">
        <v>10564</v>
      </c>
      <c r="AD526" t="s">
        <v>10565</v>
      </c>
      <c r="AE526" t="s">
        <v>10566</v>
      </c>
      <c r="AF526" t="s">
        <v>74</v>
      </c>
      <c r="AG526">
        <v>62</v>
      </c>
      <c r="AH526">
        <v>7</v>
      </c>
      <c r="AI526">
        <v>7</v>
      </c>
      <c r="AJ526">
        <v>3</v>
      </c>
      <c r="AK526">
        <v>17</v>
      </c>
      <c r="AL526" t="s">
        <v>4192</v>
      </c>
      <c r="AM526" t="s">
        <v>4193</v>
      </c>
      <c r="AN526" t="s">
        <v>4194</v>
      </c>
      <c r="AO526" t="s">
        <v>74</v>
      </c>
      <c r="AP526" t="s">
        <v>4233</v>
      </c>
      <c r="AQ526" t="s">
        <v>74</v>
      </c>
      <c r="AR526" t="s">
        <v>4234</v>
      </c>
      <c r="AS526" t="s">
        <v>4235</v>
      </c>
      <c r="AT526" t="s">
        <v>7760</v>
      </c>
      <c r="AU526">
        <v>2021</v>
      </c>
      <c r="AV526">
        <v>13</v>
      </c>
      <c r="AW526">
        <v>19</v>
      </c>
      <c r="AX526" t="s">
        <v>74</v>
      </c>
      <c r="AY526" t="s">
        <v>74</v>
      </c>
      <c r="AZ526" t="s">
        <v>74</v>
      </c>
      <c r="BA526" t="s">
        <v>74</v>
      </c>
      <c r="BB526" t="s">
        <v>74</v>
      </c>
      <c r="BC526" t="s">
        <v>74</v>
      </c>
      <c r="BD526">
        <v>3901</v>
      </c>
      <c r="BE526" t="s">
        <v>10567</v>
      </c>
      <c r="BF526" t="str">
        <f>HYPERLINK("http://dx.doi.org/10.3390/rs13193901","http://dx.doi.org/10.3390/rs13193901")</f>
        <v>http://dx.doi.org/10.3390/rs13193901</v>
      </c>
      <c r="BG526" t="s">
        <v>74</v>
      </c>
      <c r="BH526" t="s">
        <v>74</v>
      </c>
      <c r="BI526">
        <v>24</v>
      </c>
      <c r="BJ526" t="s">
        <v>4237</v>
      </c>
      <c r="BK526" t="s">
        <v>101</v>
      </c>
      <c r="BL526" t="s">
        <v>4238</v>
      </c>
      <c r="BM526" t="s">
        <v>10568</v>
      </c>
      <c r="BN526" t="s">
        <v>74</v>
      </c>
      <c r="BO526" t="s">
        <v>210</v>
      </c>
      <c r="BP526" t="s">
        <v>74</v>
      </c>
      <c r="BQ526" t="s">
        <v>74</v>
      </c>
      <c r="BR526" t="s">
        <v>105</v>
      </c>
      <c r="BS526" t="s">
        <v>10569</v>
      </c>
      <c r="BT526" t="str">
        <f>HYPERLINK("https%3A%2F%2Fwww.webofscience.com%2Fwos%2Fwoscc%2Ffull-record%2FWOS:000710580200001","View Full Record in Web of Science")</f>
        <v>View Full Record in Web of Science</v>
      </c>
    </row>
    <row r="527" spans="1:72" x14ac:dyDescent="0.15">
      <c r="A527" t="s">
        <v>72</v>
      </c>
      <c r="B527" t="s">
        <v>10570</v>
      </c>
      <c r="C527" t="s">
        <v>74</v>
      </c>
      <c r="D527" t="s">
        <v>74</v>
      </c>
      <c r="E527" t="s">
        <v>74</v>
      </c>
      <c r="F527" t="s">
        <v>10571</v>
      </c>
      <c r="G527" t="s">
        <v>74</v>
      </c>
      <c r="H527" t="s">
        <v>74</v>
      </c>
      <c r="I527" t="s">
        <v>10572</v>
      </c>
      <c r="J527" t="s">
        <v>10573</v>
      </c>
      <c r="K527" t="s">
        <v>74</v>
      </c>
      <c r="L527" t="s">
        <v>74</v>
      </c>
      <c r="M527" t="s">
        <v>78</v>
      </c>
      <c r="N527" t="s">
        <v>79</v>
      </c>
      <c r="O527" t="s">
        <v>74</v>
      </c>
      <c r="P527" t="s">
        <v>74</v>
      </c>
      <c r="Q527" t="s">
        <v>74</v>
      </c>
      <c r="R527" t="s">
        <v>74</v>
      </c>
      <c r="S527" t="s">
        <v>74</v>
      </c>
      <c r="T527" t="s">
        <v>10574</v>
      </c>
      <c r="U527" t="s">
        <v>10575</v>
      </c>
      <c r="V527" t="s">
        <v>10576</v>
      </c>
      <c r="W527" t="s">
        <v>10577</v>
      </c>
      <c r="X527" t="s">
        <v>10578</v>
      </c>
      <c r="Y527" t="s">
        <v>10579</v>
      </c>
      <c r="Z527" t="s">
        <v>10580</v>
      </c>
      <c r="AA527" t="s">
        <v>10581</v>
      </c>
      <c r="AB527" t="s">
        <v>10582</v>
      </c>
      <c r="AC527" t="s">
        <v>10583</v>
      </c>
      <c r="AD527" t="s">
        <v>10584</v>
      </c>
      <c r="AE527" t="s">
        <v>10585</v>
      </c>
      <c r="AF527" t="s">
        <v>74</v>
      </c>
      <c r="AG527">
        <v>41</v>
      </c>
      <c r="AH527">
        <v>0</v>
      </c>
      <c r="AI527">
        <v>0</v>
      </c>
      <c r="AJ527">
        <v>0</v>
      </c>
      <c r="AK527">
        <v>6</v>
      </c>
      <c r="AL527" t="s">
        <v>10586</v>
      </c>
      <c r="AM527" t="s">
        <v>10587</v>
      </c>
      <c r="AN527" t="s">
        <v>10588</v>
      </c>
      <c r="AO527" t="s">
        <v>10589</v>
      </c>
      <c r="AP527" t="s">
        <v>10590</v>
      </c>
      <c r="AQ527" t="s">
        <v>74</v>
      </c>
      <c r="AR527" t="s">
        <v>10591</v>
      </c>
      <c r="AS527" t="s">
        <v>10592</v>
      </c>
      <c r="AT527" t="s">
        <v>7760</v>
      </c>
      <c r="AU527">
        <v>2021</v>
      </c>
      <c r="AV527">
        <v>49</v>
      </c>
      <c r="AW527">
        <v>2</v>
      </c>
      <c r="AX527" t="s">
        <v>74</v>
      </c>
      <c r="AY527" t="s">
        <v>74</v>
      </c>
      <c r="AZ527" t="s">
        <v>74</v>
      </c>
      <c r="BA527" t="s">
        <v>74</v>
      </c>
      <c r="BB527">
        <v>265</v>
      </c>
      <c r="BC527">
        <v>273</v>
      </c>
      <c r="BD527" t="s">
        <v>74</v>
      </c>
      <c r="BE527" t="s">
        <v>74</v>
      </c>
      <c r="BF527" t="s">
        <v>74</v>
      </c>
      <c r="BG527" t="s">
        <v>74</v>
      </c>
      <c r="BH527" t="s">
        <v>74</v>
      </c>
      <c r="BI527">
        <v>9</v>
      </c>
      <c r="BJ527" t="s">
        <v>10593</v>
      </c>
      <c r="BK527" t="s">
        <v>101</v>
      </c>
      <c r="BL527" t="s">
        <v>10594</v>
      </c>
      <c r="BM527" t="s">
        <v>10595</v>
      </c>
      <c r="BN527" t="s">
        <v>74</v>
      </c>
      <c r="BO527" t="s">
        <v>74</v>
      </c>
      <c r="BP527" t="s">
        <v>74</v>
      </c>
      <c r="BQ527" t="s">
        <v>74</v>
      </c>
      <c r="BR527" t="s">
        <v>105</v>
      </c>
      <c r="BS527" t="s">
        <v>10596</v>
      </c>
      <c r="BT527" t="str">
        <f>HYPERLINK("https%3A%2F%2Fwww.webofscience.com%2Fwos%2Fwoscc%2Ffull-record%2FWOS:000708410700013","View Full Record in Web of Science")</f>
        <v>View Full Record in Web of Science</v>
      </c>
    </row>
    <row r="528" spans="1:72" x14ac:dyDescent="0.15">
      <c r="A528" t="s">
        <v>72</v>
      </c>
      <c r="B528" t="s">
        <v>10597</v>
      </c>
      <c r="C528" t="s">
        <v>74</v>
      </c>
      <c r="D528" t="s">
        <v>74</v>
      </c>
      <c r="E528" t="s">
        <v>74</v>
      </c>
      <c r="F528" t="s">
        <v>10598</v>
      </c>
      <c r="G528" t="s">
        <v>74</v>
      </c>
      <c r="H528" t="s">
        <v>74</v>
      </c>
      <c r="I528" t="s">
        <v>10599</v>
      </c>
      <c r="J528" t="s">
        <v>4806</v>
      </c>
      <c r="K528" t="s">
        <v>74</v>
      </c>
      <c r="L528" t="s">
        <v>74</v>
      </c>
      <c r="M528" t="s">
        <v>78</v>
      </c>
      <c r="N528" t="s">
        <v>79</v>
      </c>
      <c r="O528" t="s">
        <v>74</v>
      </c>
      <c r="P528" t="s">
        <v>74</v>
      </c>
      <c r="Q528" t="s">
        <v>74</v>
      </c>
      <c r="R528" t="s">
        <v>74</v>
      </c>
      <c r="S528" t="s">
        <v>74</v>
      </c>
      <c r="T528" t="s">
        <v>10600</v>
      </c>
      <c r="U528" t="s">
        <v>10601</v>
      </c>
      <c r="V528" t="s">
        <v>10602</v>
      </c>
      <c r="W528" t="s">
        <v>10603</v>
      </c>
      <c r="X528" t="s">
        <v>10604</v>
      </c>
      <c r="Y528" t="s">
        <v>10605</v>
      </c>
      <c r="Z528" t="s">
        <v>10606</v>
      </c>
      <c r="AA528" t="s">
        <v>10607</v>
      </c>
      <c r="AB528" t="s">
        <v>10608</v>
      </c>
      <c r="AC528" t="s">
        <v>10609</v>
      </c>
      <c r="AD528" t="s">
        <v>10610</v>
      </c>
      <c r="AE528" t="s">
        <v>10611</v>
      </c>
      <c r="AF528" t="s">
        <v>74</v>
      </c>
      <c r="AG528">
        <v>77</v>
      </c>
      <c r="AH528">
        <v>10</v>
      </c>
      <c r="AI528">
        <v>10</v>
      </c>
      <c r="AJ528">
        <v>4</v>
      </c>
      <c r="AK528">
        <v>19</v>
      </c>
      <c r="AL528" t="s">
        <v>4192</v>
      </c>
      <c r="AM528" t="s">
        <v>4193</v>
      </c>
      <c r="AN528" t="s">
        <v>4194</v>
      </c>
      <c r="AO528" t="s">
        <v>74</v>
      </c>
      <c r="AP528" t="s">
        <v>4818</v>
      </c>
      <c r="AQ528" t="s">
        <v>74</v>
      </c>
      <c r="AR528" t="s">
        <v>4819</v>
      </c>
      <c r="AS528" t="s">
        <v>4820</v>
      </c>
      <c r="AT528" t="s">
        <v>7760</v>
      </c>
      <c r="AU528">
        <v>2021</v>
      </c>
      <c r="AV528">
        <v>13</v>
      </c>
      <c r="AW528">
        <v>19</v>
      </c>
      <c r="AX528" t="s">
        <v>74</v>
      </c>
      <c r="AY528" t="s">
        <v>74</v>
      </c>
      <c r="AZ528" t="s">
        <v>74</v>
      </c>
      <c r="BA528" t="s">
        <v>74</v>
      </c>
      <c r="BB528" t="s">
        <v>74</v>
      </c>
      <c r="BC528" t="s">
        <v>74</v>
      </c>
      <c r="BD528">
        <v>2636</v>
      </c>
      <c r="BE528" t="s">
        <v>10612</v>
      </c>
      <c r="BF528" t="str">
        <f>HYPERLINK("http://dx.doi.org/10.3390/w13192636","http://dx.doi.org/10.3390/w13192636")</f>
        <v>http://dx.doi.org/10.3390/w13192636</v>
      </c>
      <c r="BG528" t="s">
        <v>74</v>
      </c>
      <c r="BH528" t="s">
        <v>74</v>
      </c>
      <c r="BI528">
        <v>16</v>
      </c>
      <c r="BJ528" t="s">
        <v>4822</v>
      </c>
      <c r="BK528" t="s">
        <v>101</v>
      </c>
      <c r="BL528" t="s">
        <v>4823</v>
      </c>
      <c r="BM528" t="s">
        <v>10613</v>
      </c>
      <c r="BN528" t="s">
        <v>74</v>
      </c>
      <c r="BO528" t="s">
        <v>210</v>
      </c>
      <c r="BP528" t="s">
        <v>74</v>
      </c>
      <c r="BQ528" t="s">
        <v>74</v>
      </c>
      <c r="BR528" t="s">
        <v>105</v>
      </c>
      <c r="BS528" t="s">
        <v>10614</v>
      </c>
      <c r="BT528" t="str">
        <f>HYPERLINK("https%3A%2F%2Fwww.webofscience.com%2Fwos%2Fwoscc%2Ffull-record%2FWOS:000708262600001","View Full Record in Web of Science")</f>
        <v>View Full Record in Web of Science</v>
      </c>
    </row>
    <row r="529" spans="1:72" x14ac:dyDescent="0.15">
      <c r="A529" t="s">
        <v>72</v>
      </c>
      <c r="B529" t="s">
        <v>10615</v>
      </c>
      <c r="C529" t="s">
        <v>74</v>
      </c>
      <c r="D529" t="s">
        <v>74</v>
      </c>
      <c r="E529" t="s">
        <v>74</v>
      </c>
      <c r="F529" t="s">
        <v>10616</v>
      </c>
      <c r="G529" t="s">
        <v>74</v>
      </c>
      <c r="H529" t="s">
        <v>74</v>
      </c>
      <c r="I529" t="s">
        <v>10617</v>
      </c>
      <c r="J529" t="s">
        <v>10243</v>
      </c>
      <c r="K529" t="s">
        <v>74</v>
      </c>
      <c r="L529" t="s">
        <v>74</v>
      </c>
      <c r="M529" t="s">
        <v>78</v>
      </c>
      <c r="N529" t="s">
        <v>79</v>
      </c>
      <c r="O529" t="s">
        <v>74</v>
      </c>
      <c r="P529" t="s">
        <v>74</v>
      </c>
      <c r="Q529" t="s">
        <v>74</v>
      </c>
      <c r="R529" t="s">
        <v>74</v>
      </c>
      <c r="S529" t="s">
        <v>74</v>
      </c>
      <c r="T529" t="s">
        <v>74</v>
      </c>
      <c r="U529" t="s">
        <v>10618</v>
      </c>
      <c r="V529" t="s">
        <v>10619</v>
      </c>
      <c r="W529" t="s">
        <v>10620</v>
      </c>
      <c r="X529" t="s">
        <v>10621</v>
      </c>
      <c r="Y529" t="s">
        <v>10622</v>
      </c>
      <c r="Z529" t="s">
        <v>10623</v>
      </c>
      <c r="AA529" t="s">
        <v>10624</v>
      </c>
      <c r="AB529" t="s">
        <v>10625</v>
      </c>
      <c r="AC529" t="s">
        <v>10626</v>
      </c>
      <c r="AD529" t="s">
        <v>10627</v>
      </c>
      <c r="AE529" t="s">
        <v>10628</v>
      </c>
      <c r="AF529" t="s">
        <v>74</v>
      </c>
      <c r="AG529">
        <v>73</v>
      </c>
      <c r="AH529">
        <v>14</v>
      </c>
      <c r="AI529">
        <v>14</v>
      </c>
      <c r="AJ529">
        <v>3</v>
      </c>
      <c r="AK529">
        <v>21</v>
      </c>
      <c r="AL529" t="s">
        <v>3835</v>
      </c>
      <c r="AM529" t="s">
        <v>438</v>
      </c>
      <c r="AN529" t="s">
        <v>3836</v>
      </c>
      <c r="AO529" t="s">
        <v>10255</v>
      </c>
      <c r="AP529" t="s">
        <v>74</v>
      </c>
      <c r="AQ529" t="s">
        <v>74</v>
      </c>
      <c r="AR529" t="s">
        <v>10256</v>
      </c>
      <c r="AS529" t="s">
        <v>10257</v>
      </c>
      <c r="AT529" t="s">
        <v>7760</v>
      </c>
      <c r="AU529">
        <v>2021</v>
      </c>
      <c r="AV529">
        <v>7</v>
      </c>
      <c r="AW529">
        <v>42</v>
      </c>
      <c r="AX529" t="s">
        <v>74</v>
      </c>
      <c r="AY529" t="s">
        <v>74</v>
      </c>
      <c r="AZ529" t="s">
        <v>74</v>
      </c>
      <c r="BA529" t="s">
        <v>74</v>
      </c>
      <c r="BB529" t="s">
        <v>74</v>
      </c>
      <c r="BC529" t="s">
        <v>74</v>
      </c>
      <c r="BD529" t="s">
        <v>10629</v>
      </c>
      <c r="BE529" t="s">
        <v>10630</v>
      </c>
      <c r="BF529" t="str">
        <f>HYPERLINK("http://dx.doi.org/10.1126/sciadv.abh2823","http://dx.doi.org/10.1126/sciadv.abh2823")</f>
        <v>http://dx.doi.org/10.1126/sciadv.abh2823</v>
      </c>
      <c r="BG529" t="s">
        <v>74</v>
      </c>
      <c r="BH529" t="s">
        <v>74</v>
      </c>
      <c r="BI529">
        <v>8</v>
      </c>
      <c r="BJ529" t="s">
        <v>126</v>
      </c>
      <c r="BK529" t="s">
        <v>101</v>
      </c>
      <c r="BL529" t="s">
        <v>127</v>
      </c>
      <c r="BM529" t="s">
        <v>10631</v>
      </c>
      <c r="BN529">
        <v>34652948</v>
      </c>
      <c r="BO529" t="s">
        <v>343</v>
      </c>
      <c r="BP529" t="s">
        <v>74</v>
      </c>
      <c r="BQ529" t="s">
        <v>74</v>
      </c>
      <c r="BR529" t="s">
        <v>105</v>
      </c>
      <c r="BS529" t="s">
        <v>10632</v>
      </c>
      <c r="BT529" t="str">
        <f>HYPERLINK("https%3A%2F%2Fwww.webofscience.com%2Fwos%2Fwoscc%2Ffull-record%2FWOS:000707571700017","View Full Record in Web of Science")</f>
        <v>View Full Record in Web of Science</v>
      </c>
    </row>
    <row r="530" spans="1:72" x14ac:dyDescent="0.15">
      <c r="A530" t="s">
        <v>72</v>
      </c>
      <c r="B530" t="s">
        <v>10633</v>
      </c>
      <c r="C530" t="s">
        <v>74</v>
      </c>
      <c r="D530" t="s">
        <v>74</v>
      </c>
      <c r="E530" t="s">
        <v>74</v>
      </c>
      <c r="F530" t="s">
        <v>10634</v>
      </c>
      <c r="G530" t="s">
        <v>74</v>
      </c>
      <c r="H530" t="s">
        <v>74</v>
      </c>
      <c r="I530" t="s">
        <v>10635</v>
      </c>
      <c r="J530" t="s">
        <v>10636</v>
      </c>
      <c r="K530" t="s">
        <v>74</v>
      </c>
      <c r="L530" t="s">
        <v>74</v>
      </c>
      <c r="M530" t="s">
        <v>78</v>
      </c>
      <c r="N530" t="s">
        <v>79</v>
      </c>
      <c r="O530" t="s">
        <v>74</v>
      </c>
      <c r="P530" t="s">
        <v>74</v>
      </c>
      <c r="Q530" t="s">
        <v>74</v>
      </c>
      <c r="R530" t="s">
        <v>74</v>
      </c>
      <c r="S530" t="s">
        <v>74</v>
      </c>
      <c r="T530" t="s">
        <v>10637</v>
      </c>
      <c r="U530" t="s">
        <v>10638</v>
      </c>
      <c r="V530" t="s">
        <v>10639</v>
      </c>
      <c r="W530" t="s">
        <v>10640</v>
      </c>
      <c r="X530" t="s">
        <v>10641</v>
      </c>
      <c r="Y530" t="s">
        <v>10642</v>
      </c>
      <c r="Z530" t="s">
        <v>10643</v>
      </c>
      <c r="AA530" t="s">
        <v>10644</v>
      </c>
      <c r="AB530" t="s">
        <v>10645</v>
      </c>
      <c r="AC530" t="s">
        <v>10646</v>
      </c>
      <c r="AD530" t="s">
        <v>10647</v>
      </c>
      <c r="AE530" t="s">
        <v>10648</v>
      </c>
      <c r="AF530" t="s">
        <v>74</v>
      </c>
      <c r="AG530">
        <v>227</v>
      </c>
      <c r="AH530">
        <v>1</v>
      </c>
      <c r="AI530">
        <v>1</v>
      </c>
      <c r="AJ530">
        <v>2</v>
      </c>
      <c r="AK530">
        <v>8</v>
      </c>
      <c r="AL530" t="s">
        <v>10649</v>
      </c>
      <c r="AM530" t="s">
        <v>10650</v>
      </c>
      <c r="AN530" t="s">
        <v>10651</v>
      </c>
      <c r="AO530" t="s">
        <v>74</v>
      </c>
      <c r="AP530" t="s">
        <v>10652</v>
      </c>
      <c r="AQ530" t="s">
        <v>74</v>
      </c>
      <c r="AR530" t="s">
        <v>10653</v>
      </c>
      <c r="AS530" t="s">
        <v>10654</v>
      </c>
      <c r="AT530" t="s">
        <v>7760</v>
      </c>
      <c r="AU530">
        <v>2021</v>
      </c>
      <c r="AV530">
        <v>54</v>
      </c>
      <c r="AW530" t="s">
        <v>74</v>
      </c>
      <c r="AX530">
        <v>5</v>
      </c>
      <c r="AY530" t="s">
        <v>74</v>
      </c>
      <c r="AZ530" t="s">
        <v>74</v>
      </c>
      <c r="BA530" t="s">
        <v>74</v>
      </c>
      <c r="BB530">
        <v>1455</v>
      </c>
      <c r="BC530">
        <v>1479</v>
      </c>
      <c r="BD530" t="s">
        <v>74</v>
      </c>
      <c r="BE530" t="s">
        <v>10655</v>
      </c>
      <c r="BF530" t="str">
        <f>HYPERLINK("http://dx.doi.org/10.1107/S1600576721008554","http://dx.doi.org/10.1107/S1600576721008554")</f>
        <v>http://dx.doi.org/10.1107/S1600576721008554</v>
      </c>
      <c r="BG530" t="s">
        <v>74</v>
      </c>
      <c r="BH530" t="s">
        <v>74</v>
      </c>
      <c r="BI530">
        <v>25</v>
      </c>
      <c r="BJ530" t="s">
        <v>10656</v>
      </c>
      <c r="BK530" t="s">
        <v>101</v>
      </c>
      <c r="BL530" t="s">
        <v>10657</v>
      </c>
      <c r="BM530" t="s">
        <v>10658</v>
      </c>
      <c r="BN530">
        <v>34667451</v>
      </c>
      <c r="BO530" t="s">
        <v>180</v>
      </c>
      <c r="BP530" t="s">
        <v>74</v>
      </c>
      <c r="BQ530" t="s">
        <v>74</v>
      </c>
      <c r="BR530" t="s">
        <v>105</v>
      </c>
      <c r="BS530" t="s">
        <v>10659</v>
      </c>
      <c r="BT530" t="str">
        <f>HYPERLINK("https%3A%2F%2Fwww.webofscience.com%2Fwos%2Fwoscc%2Ffull-record%2FWOS:000705255400017","View Full Record in Web of Science")</f>
        <v>View Full Record in Web of Science</v>
      </c>
    </row>
    <row r="531" spans="1:72" x14ac:dyDescent="0.15">
      <c r="A531" t="s">
        <v>72</v>
      </c>
      <c r="B531" t="s">
        <v>10660</v>
      </c>
      <c r="C531" t="s">
        <v>74</v>
      </c>
      <c r="D531" t="s">
        <v>74</v>
      </c>
      <c r="E531" t="s">
        <v>74</v>
      </c>
      <c r="F531" t="s">
        <v>10661</v>
      </c>
      <c r="G531" t="s">
        <v>74</v>
      </c>
      <c r="H531" t="s">
        <v>74</v>
      </c>
      <c r="I531" t="s">
        <v>10662</v>
      </c>
      <c r="J531" t="s">
        <v>10663</v>
      </c>
      <c r="K531" t="s">
        <v>74</v>
      </c>
      <c r="L531" t="s">
        <v>74</v>
      </c>
      <c r="M531" t="s">
        <v>78</v>
      </c>
      <c r="N531" t="s">
        <v>79</v>
      </c>
      <c r="O531" t="s">
        <v>74</v>
      </c>
      <c r="P531" t="s">
        <v>74</v>
      </c>
      <c r="Q531" t="s">
        <v>74</v>
      </c>
      <c r="R531" t="s">
        <v>74</v>
      </c>
      <c r="S531" t="s">
        <v>74</v>
      </c>
      <c r="T531" t="s">
        <v>74</v>
      </c>
      <c r="U531" t="s">
        <v>10664</v>
      </c>
      <c r="V531" t="s">
        <v>10665</v>
      </c>
      <c r="W531" t="s">
        <v>10666</v>
      </c>
      <c r="X531" t="s">
        <v>10667</v>
      </c>
      <c r="Y531" t="s">
        <v>10668</v>
      </c>
      <c r="Z531" t="s">
        <v>10669</v>
      </c>
      <c r="AA531" t="s">
        <v>74</v>
      </c>
      <c r="AB531" t="s">
        <v>10670</v>
      </c>
      <c r="AC531" t="s">
        <v>10671</v>
      </c>
      <c r="AD531" t="s">
        <v>10672</v>
      </c>
      <c r="AE531" t="s">
        <v>10673</v>
      </c>
      <c r="AF531" t="s">
        <v>74</v>
      </c>
      <c r="AG531">
        <v>17</v>
      </c>
      <c r="AH531">
        <v>0</v>
      </c>
      <c r="AI531">
        <v>0</v>
      </c>
      <c r="AJ531">
        <v>2</v>
      </c>
      <c r="AK531">
        <v>3</v>
      </c>
      <c r="AL531" t="s">
        <v>4537</v>
      </c>
      <c r="AM531" t="s">
        <v>438</v>
      </c>
      <c r="AN531" t="s">
        <v>4538</v>
      </c>
      <c r="AO531" t="s">
        <v>10674</v>
      </c>
      <c r="AP531" t="s">
        <v>74</v>
      </c>
      <c r="AQ531" t="s">
        <v>74</v>
      </c>
      <c r="AR531" t="s">
        <v>10675</v>
      </c>
      <c r="AS531" t="s">
        <v>10676</v>
      </c>
      <c r="AT531" t="s">
        <v>7760</v>
      </c>
      <c r="AU531">
        <v>2021</v>
      </c>
      <c r="AV531">
        <v>10</v>
      </c>
      <c r="AW531">
        <v>41</v>
      </c>
      <c r="AX531" t="s">
        <v>74</v>
      </c>
      <c r="AY531" t="s">
        <v>74</v>
      </c>
      <c r="AZ531" t="s">
        <v>74</v>
      </c>
      <c r="BA531" t="s">
        <v>74</v>
      </c>
      <c r="BB531" t="s">
        <v>74</v>
      </c>
      <c r="BC531" t="s">
        <v>74</v>
      </c>
      <c r="BD531" t="s">
        <v>10677</v>
      </c>
      <c r="BE531" t="s">
        <v>10678</v>
      </c>
      <c r="BF531" t="str">
        <f>HYPERLINK("http://dx.doi.org/10.1128/MRA.00878-21","http://dx.doi.org/10.1128/MRA.00878-21")</f>
        <v>http://dx.doi.org/10.1128/MRA.00878-21</v>
      </c>
      <c r="BG531" t="s">
        <v>74</v>
      </c>
      <c r="BH531" t="s">
        <v>74</v>
      </c>
      <c r="BI531">
        <v>3</v>
      </c>
      <c r="BJ531" t="s">
        <v>975</v>
      </c>
      <c r="BK531" t="s">
        <v>1629</v>
      </c>
      <c r="BL531" t="s">
        <v>975</v>
      </c>
      <c r="BM531" t="s">
        <v>10679</v>
      </c>
      <c r="BN531">
        <v>34647799</v>
      </c>
      <c r="BO531" t="s">
        <v>343</v>
      </c>
      <c r="BP531" t="s">
        <v>74</v>
      </c>
      <c r="BQ531" t="s">
        <v>74</v>
      </c>
      <c r="BR531" t="s">
        <v>105</v>
      </c>
      <c r="BS531" t="s">
        <v>10680</v>
      </c>
      <c r="BT531" t="str">
        <f>HYPERLINK("https%3A%2F%2Fwww.webofscience.com%2Fwos%2Fwoscc%2Ffull-record%2FWOS:000708314100014","View Full Record in Web of Science")</f>
        <v>View Full Record in Web of Science</v>
      </c>
    </row>
    <row r="532" spans="1:72" x14ac:dyDescent="0.15">
      <c r="A532" t="s">
        <v>72</v>
      </c>
      <c r="B532" t="s">
        <v>10681</v>
      </c>
      <c r="C532" t="s">
        <v>74</v>
      </c>
      <c r="D532" t="s">
        <v>74</v>
      </c>
      <c r="E532" t="s">
        <v>74</v>
      </c>
      <c r="F532" t="s">
        <v>10682</v>
      </c>
      <c r="G532" t="s">
        <v>74</v>
      </c>
      <c r="H532" t="s">
        <v>74</v>
      </c>
      <c r="I532" t="s">
        <v>10683</v>
      </c>
      <c r="J532" t="s">
        <v>10684</v>
      </c>
      <c r="K532" t="s">
        <v>74</v>
      </c>
      <c r="L532" t="s">
        <v>74</v>
      </c>
      <c r="M532" t="s">
        <v>78</v>
      </c>
      <c r="N532" t="s">
        <v>79</v>
      </c>
      <c r="O532" t="s">
        <v>74</v>
      </c>
      <c r="P532" t="s">
        <v>74</v>
      </c>
      <c r="Q532" t="s">
        <v>74</v>
      </c>
      <c r="R532" t="s">
        <v>74</v>
      </c>
      <c r="S532" t="s">
        <v>74</v>
      </c>
      <c r="T532" t="s">
        <v>10685</v>
      </c>
      <c r="U532" t="s">
        <v>10686</v>
      </c>
      <c r="V532" t="s">
        <v>10687</v>
      </c>
      <c r="W532" t="s">
        <v>10688</v>
      </c>
      <c r="X532" t="s">
        <v>10689</v>
      </c>
      <c r="Y532" t="s">
        <v>10690</v>
      </c>
      <c r="Z532" t="s">
        <v>10691</v>
      </c>
      <c r="AA532" t="s">
        <v>10692</v>
      </c>
      <c r="AB532" t="s">
        <v>10693</v>
      </c>
      <c r="AC532" t="s">
        <v>10694</v>
      </c>
      <c r="AD532" t="s">
        <v>10695</v>
      </c>
      <c r="AE532" t="s">
        <v>10696</v>
      </c>
      <c r="AF532" t="s">
        <v>74</v>
      </c>
      <c r="AG532">
        <v>68</v>
      </c>
      <c r="AH532">
        <v>3</v>
      </c>
      <c r="AI532">
        <v>3</v>
      </c>
      <c r="AJ532">
        <v>3</v>
      </c>
      <c r="AK532">
        <v>16</v>
      </c>
      <c r="AL532" t="s">
        <v>4192</v>
      </c>
      <c r="AM532" t="s">
        <v>4193</v>
      </c>
      <c r="AN532" t="s">
        <v>4194</v>
      </c>
      <c r="AO532" t="s">
        <v>74</v>
      </c>
      <c r="AP532" t="s">
        <v>10697</v>
      </c>
      <c r="AQ532" t="s">
        <v>74</v>
      </c>
      <c r="AR532" t="s">
        <v>10698</v>
      </c>
      <c r="AS532" t="s">
        <v>10699</v>
      </c>
      <c r="AT532" t="s">
        <v>7760</v>
      </c>
      <c r="AU532">
        <v>2021</v>
      </c>
      <c r="AV532">
        <v>13</v>
      </c>
      <c r="AW532">
        <v>19</v>
      </c>
      <c r="AX532" t="s">
        <v>74</v>
      </c>
      <c r="AY532" t="s">
        <v>74</v>
      </c>
      <c r="AZ532" t="s">
        <v>74</v>
      </c>
      <c r="BA532" t="s">
        <v>74</v>
      </c>
      <c r="BB532" t="s">
        <v>74</v>
      </c>
      <c r="BC532" t="s">
        <v>74</v>
      </c>
      <c r="BD532">
        <v>10749</v>
      </c>
      <c r="BE532" t="s">
        <v>10700</v>
      </c>
      <c r="BF532" t="str">
        <f>HYPERLINK("http://dx.doi.org/10.3390/su131910749","http://dx.doi.org/10.3390/su131910749")</f>
        <v>http://dx.doi.org/10.3390/su131910749</v>
      </c>
      <c r="BG532" t="s">
        <v>74</v>
      </c>
      <c r="BH532" t="s">
        <v>74</v>
      </c>
      <c r="BI532">
        <v>16</v>
      </c>
      <c r="BJ532" t="s">
        <v>1776</v>
      </c>
      <c r="BK532" t="s">
        <v>207</v>
      </c>
      <c r="BL532" t="s">
        <v>1777</v>
      </c>
      <c r="BM532" t="s">
        <v>10701</v>
      </c>
      <c r="BN532" t="s">
        <v>74</v>
      </c>
      <c r="BO532" t="s">
        <v>1117</v>
      </c>
      <c r="BP532" t="s">
        <v>74</v>
      </c>
      <c r="BQ532" t="s">
        <v>74</v>
      </c>
      <c r="BR532" t="s">
        <v>105</v>
      </c>
      <c r="BS532" t="s">
        <v>10702</v>
      </c>
      <c r="BT532" t="str">
        <f>HYPERLINK("https%3A%2F%2Fwww.webofscience.com%2Fwos%2Fwoscc%2Ffull-record%2FWOS:000708075400001","View Full Record in Web of Science")</f>
        <v>View Full Record in Web of Science</v>
      </c>
    </row>
    <row r="533" spans="1:72" x14ac:dyDescent="0.15">
      <c r="A533" t="s">
        <v>72</v>
      </c>
      <c r="B533" t="s">
        <v>10703</v>
      </c>
      <c r="C533" t="s">
        <v>74</v>
      </c>
      <c r="D533" t="s">
        <v>74</v>
      </c>
      <c r="E533" t="s">
        <v>74</v>
      </c>
      <c r="F533" t="s">
        <v>10704</v>
      </c>
      <c r="G533" t="s">
        <v>74</v>
      </c>
      <c r="H533" t="s">
        <v>74</v>
      </c>
      <c r="I533" t="s">
        <v>10705</v>
      </c>
      <c r="J533" t="s">
        <v>6995</v>
      </c>
      <c r="K533" t="s">
        <v>74</v>
      </c>
      <c r="L533" t="s">
        <v>74</v>
      </c>
      <c r="M533" t="s">
        <v>78</v>
      </c>
      <c r="N533" t="s">
        <v>79</v>
      </c>
      <c r="O533" t="s">
        <v>74</v>
      </c>
      <c r="P533" t="s">
        <v>74</v>
      </c>
      <c r="Q533" t="s">
        <v>74</v>
      </c>
      <c r="R533" t="s">
        <v>74</v>
      </c>
      <c r="S533" t="s">
        <v>74</v>
      </c>
      <c r="T533" t="s">
        <v>10706</v>
      </c>
      <c r="U533" t="s">
        <v>10707</v>
      </c>
      <c r="V533" t="s">
        <v>10708</v>
      </c>
      <c r="W533" t="s">
        <v>10709</v>
      </c>
      <c r="X533" t="s">
        <v>10710</v>
      </c>
      <c r="Y533" t="s">
        <v>10711</v>
      </c>
      <c r="Z533" t="s">
        <v>10712</v>
      </c>
      <c r="AA533" t="s">
        <v>10713</v>
      </c>
      <c r="AB533" t="s">
        <v>10714</v>
      </c>
      <c r="AC533" t="s">
        <v>10715</v>
      </c>
      <c r="AD533" t="s">
        <v>10716</v>
      </c>
      <c r="AE533" t="s">
        <v>10717</v>
      </c>
      <c r="AF533" t="s">
        <v>74</v>
      </c>
      <c r="AG533">
        <v>73</v>
      </c>
      <c r="AH533">
        <v>15</v>
      </c>
      <c r="AI533">
        <v>15</v>
      </c>
      <c r="AJ533">
        <v>4</v>
      </c>
      <c r="AK533">
        <v>23</v>
      </c>
      <c r="AL533" t="s">
        <v>1326</v>
      </c>
      <c r="AM533" t="s">
        <v>256</v>
      </c>
      <c r="AN533" t="s">
        <v>1327</v>
      </c>
      <c r="AO533" t="s">
        <v>7008</v>
      </c>
      <c r="AP533" t="s">
        <v>7009</v>
      </c>
      <c r="AQ533" t="s">
        <v>74</v>
      </c>
      <c r="AR533" t="s">
        <v>7010</v>
      </c>
      <c r="AS533" t="s">
        <v>7011</v>
      </c>
      <c r="AT533" t="s">
        <v>310</v>
      </c>
      <c r="AU533">
        <v>2021</v>
      </c>
      <c r="AV533">
        <v>263</v>
      </c>
      <c r="AW533" t="s">
        <v>74</v>
      </c>
      <c r="AX533" t="s">
        <v>74</v>
      </c>
      <c r="AY533" t="s">
        <v>74</v>
      </c>
      <c r="AZ533" t="s">
        <v>74</v>
      </c>
      <c r="BA533" t="s">
        <v>74</v>
      </c>
      <c r="BB533" t="s">
        <v>74</v>
      </c>
      <c r="BC533" t="s">
        <v>74</v>
      </c>
      <c r="BD533">
        <v>109344</v>
      </c>
      <c r="BE533" t="s">
        <v>10718</v>
      </c>
      <c r="BF533" t="str">
        <f>HYPERLINK("http://dx.doi.org/10.1016/j.biocon.2021.109344","http://dx.doi.org/10.1016/j.biocon.2021.109344")</f>
        <v>http://dx.doi.org/10.1016/j.biocon.2021.109344</v>
      </c>
      <c r="BG533" t="s">
        <v>74</v>
      </c>
      <c r="BH533" t="s">
        <v>5766</v>
      </c>
      <c r="BI533">
        <v>10</v>
      </c>
      <c r="BJ533" t="s">
        <v>1900</v>
      </c>
      <c r="BK533" t="s">
        <v>207</v>
      </c>
      <c r="BL533" t="s">
        <v>606</v>
      </c>
      <c r="BM533" t="s">
        <v>10719</v>
      </c>
      <c r="BN533" t="s">
        <v>74</v>
      </c>
      <c r="BO533" t="s">
        <v>74</v>
      </c>
      <c r="BP533" t="s">
        <v>74</v>
      </c>
      <c r="BQ533" t="s">
        <v>74</v>
      </c>
      <c r="BR533" t="s">
        <v>105</v>
      </c>
      <c r="BS533" t="s">
        <v>10720</v>
      </c>
      <c r="BT533" t="str">
        <f>HYPERLINK("https%3A%2F%2Fwww.webofscience.com%2Fwos%2Fwoscc%2Ffull-record%2FWOS:000704917200010","View Full Record in Web of Science")</f>
        <v>View Full Record in Web of Science</v>
      </c>
    </row>
    <row r="534" spans="1:72" x14ac:dyDescent="0.15">
      <c r="A534" t="s">
        <v>72</v>
      </c>
      <c r="B534" t="s">
        <v>10721</v>
      </c>
      <c r="C534" t="s">
        <v>74</v>
      </c>
      <c r="D534" t="s">
        <v>74</v>
      </c>
      <c r="E534" t="s">
        <v>74</v>
      </c>
      <c r="F534" t="s">
        <v>10722</v>
      </c>
      <c r="G534" t="s">
        <v>74</v>
      </c>
      <c r="H534" t="s">
        <v>74</v>
      </c>
      <c r="I534" t="s">
        <v>10723</v>
      </c>
      <c r="J534" t="s">
        <v>5272</v>
      </c>
      <c r="K534" t="s">
        <v>74</v>
      </c>
      <c r="L534" t="s">
        <v>74</v>
      </c>
      <c r="M534" t="s">
        <v>78</v>
      </c>
      <c r="N534" t="s">
        <v>79</v>
      </c>
      <c r="O534" t="s">
        <v>74</v>
      </c>
      <c r="P534" t="s">
        <v>74</v>
      </c>
      <c r="Q534" t="s">
        <v>74</v>
      </c>
      <c r="R534" t="s">
        <v>74</v>
      </c>
      <c r="S534" t="s">
        <v>74</v>
      </c>
      <c r="T534" t="s">
        <v>74</v>
      </c>
      <c r="U534" t="s">
        <v>10724</v>
      </c>
      <c r="V534" t="s">
        <v>10725</v>
      </c>
      <c r="W534" t="s">
        <v>10726</v>
      </c>
      <c r="X534" t="s">
        <v>10727</v>
      </c>
      <c r="Y534" t="s">
        <v>10728</v>
      </c>
      <c r="Z534" t="s">
        <v>74</v>
      </c>
      <c r="AA534" t="s">
        <v>10729</v>
      </c>
      <c r="AB534" t="s">
        <v>10730</v>
      </c>
      <c r="AC534" t="s">
        <v>10731</v>
      </c>
      <c r="AD534" t="s">
        <v>10732</v>
      </c>
      <c r="AE534" t="s">
        <v>10733</v>
      </c>
      <c r="AF534" t="s">
        <v>74</v>
      </c>
      <c r="AG534">
        <v>35</v>
      </c>
      <c r="AH534">
        <v>4</v>
      </c>
      <c r="AI534">
        <v>4</v>
      </c>
      <c r="AJ534">
        <v>1</v>
      </c>
      <c r="AK534">
        <v>3</v>
      </c>
      <c r="AL534" t="s">
        <v>5278</v>
      </c>
      <c r="AM534" t="s">
        <v>5279</v>
      </c>
      <c r="AN534" t="s">
        <v>5280</v>
      </c>
      <c r="AO534" t="s">
        <v>5281</v>
      </c>
      <c r="AP534" t="s">
        <v>5282</v>
      </c>
      <c r="AQ534" t="s">
        <v>74</v>
      </c>
      <c r="AR534" t="s">
        <v>5272</v>
      </c>
      <c r="AS534" t="s">
        <v>237</v>
      </c>
      <c r="AT534" t="s">
        <v>10375</v>
      </c>
      <c r="AU534">
        <v>2021</v>
      </c>
      <c r="AV534">
        <v>49</v>
      </c>
      <c r="AW534">
        <v>10</v>
      </c>
      <c r="AX534" t="s">
        <v>74</v>
      </c>
      <c r="AY534" t="s">
        <v>74</v>
      </c>
      <c r="AZ534" t="s">
        <v>74</v>
      </c>
      <c r="BA534" t="s">
        <v>74</v>
      </c>
      <c r="BB534">
        <v>1182</v>
      </c>
      <c r="BC534">
        <v>1186</v>
      </c>
      <c r="BD534" t="s">
        <v>74</v>
      </c>
      <c r="BE534" t="s">
        <v>10734</v>
      </c>
      <c r="BF534" t="str">
        <f>HYPERLINK("http://dx.doi.org/10.1130/G48830.1","http://dx.doi.org/10.1130/G48830.1")</f>
        <v>http://dx.doi.org/10.1130/G48830.1</v>
      </c>
      <c r="BG534" t="s">
        <v>74</v>
      </c>
      <c r="BH534" t="s">
        <v>74</v>
      </c>
      <c r="BI534">
        <v>5</v>
      </c>
      <c r="BJ534" t="s">
        <v>237</v>
      </c>
      <c r="BK534" t="s">
        <v>101</v>
      </c>
      <c r="BL534" t="s">
        <v>237</v>
      </c>
      <c r="BM534" t="s">
        <v>10735</v>
      </c>
      <c r="BN534" t="s">
        <v>74</v>
      </c>
      <c r="BO534" t="s">
        <v>74</v>
      </c>
      <c r="BP534" t="s">
        <v>74</v>
      </c>
      <c r="BQ534" t="s">
        <v>74</v>
      </c>
      <c r="BR534" t="s">
        <v>105</v>
      </c>
      <c r="BS534" t="s">
        <v>10736</v>
      </c>
      <c r="BT534" t="str">
        <f>HYPERLINK("https%3A%2F%2Fwww.webofscience.com%2Fwos%2Fwoscc%2Ffull-record%2FWOS:000705084600006","View Full Record in Web of Science")</f>
        <v>View Full Record in Web of Science</v>
      </c>
    </row>
    <row r="535" spans="1:72" x14ac:dyDescent="0.15">
      <c r="A535" t="s">
        <v>72</v>
      </c>
      <c r="B535" t="s">
        <v>10737</v>
      </c>
      <c r="C535" t="s">
        <v>74</v>
      </c>
      <c r="D535" t="s">
        <v>74</v>
      </c>
      <c r="E535" t="s">
        <v>74</v>
      </c>
      <c r="F535" t="s">
        <v>10738</v>
      </c>
      <c r="G535" t="s">
        <v>74</v>
      </c>
      <c r="H535" t="s">
        <v>74</v>
      </c>
      <c r="I535" t="s">
        <v>10739</v>
      </c>
      <c r="J535" t="s">
        <v>10740</v>
      </c>
      <c r="K535" t="s">
        <v>74</v>
      </c>
      <c r="L535" t="s">
        <v>74</v>
      </c>
      <c r="M535" t="s">
        <v>78</v>
      </c>
      <c r="N535" t="s">
        <v>79</v>
      </c>
      <c r="O535" t="s">
        <v>74</v>
      </c>
      <c r="P535" t="s">
        <v>74</v>
      </c>
      <c r="Q535" t="s">
        <v>74</v>
      </c>
      <c r="R535" t="s">
        <v>74</v>
      </c>
      <c r="S535" t="s">
        <v>74</v>
      </c>
      <c r="T535" t="s">
        <v>74</v>
      </c>
      <c r="U535" t="s">
        <v>10741</v>
      </c>
      <c r="V535" t="s">
        <v>10742</v>
      </c>
      <c r="W535" t="s">
        <v>10743</v>
      </c>
      <c r="X535" t="s">
        <v>10744</v>
      </c>
      <c r="Y535" t="s">
        <v>10745</v>
      </c>
      <c r="Z535" t="s">
        <v>10746</v>
      </c>
      <c r="AA535" t="s">
        <v>10747</v>
      </c>
      <c r="AB535" t="s">
        <v>10748</v>
      </c>
      <c r="AC535" t="s">
        <v>10749</v>
      </c>
      <c r="AD535" t="s">
        <v>10750</v>
      </c>
      <c r="AE535" t="s">
        <v>10751</v>
      </c>
      <c r="AF535" t="s">
        <v>74</v>
      </c>
      <c r="AG535">
        <v>38</v>
      </c>
      <c r="AH535">
        <v>4</v>
      </c>
      <c r="AI535">
        <v>5</v>
      </c>
      <c r="AJ535">
        <v>0</v>
      </c>
      <c r="AK535">
        <v>8</v>
      </c>
      <c r="AL535" t="s">
        <v>10752</v>
      </c>
      <c r="AM535" t="s">
        <v>438</v>
      </c>
      <c r="AN535" t="s">
        <v>10753</v>
      </c>
      <c r="AO535" t="s">
        <v>10754</v>
      </c>
      <c r="AP535" t="s">
        <v>10755</v>
      </c>
      <c r="AQ535" t="s">
        <v>74</v>
      </c>
      <c r="AR535" t="s">
        <v>10756</v>
      </c>
      <c r="AS535" t="s">
        <v>10757</v>
      </c>
      <c r="AT535" t="s">
        <v>10375</v>
      </c>
      <c r="AU535">
        <v>2021</v>
      </c>
      <c r="AV535">
        <v>38</v>
      </c>
      <c r="AW535">
        <v>10</v>
      </c>
      <c r="AX535" t="s">
        <v>74</v>
      </c>
      <c r="AY535" t="s">
        <v>74</v>
      </c>
      <c r="AZ535" t="s">
        <v>74</v>
      </c>
      <c r="BA535" t="s">
        <v>74</v>
      </c>
      <c r="BB535" t="s">
        <v>74</v>
      </c>
      <c r="BC535" t="s">
        <v>74</v>
      </c>
      <c r="BD535">
        <v>101483</v>
      </c>
      <c r="BE535" t="s">
        <v>10758</v>
      </c>
      <c r="BF535" t="str">
        <f>HYPERLINK("http://dx.doi.org/10.1364/JOSAA.432106","http://dx.doi.org/10.1364/JOSAA.432106")</f>
        <v>http://dx.doi.org/10.1364/JOSAA.432106</v>
      </c>
      <c r="BG535" t="s">
        <v>74</v>
      </c>
      <c r="BH535" t="s">
        <v>74</v>
      </c>
      <c r="BI535">
        <v>6</v>
      </c>
      <c r="BJ535" t="s">
        <v>10759</v>
      </c>
      <c r="BK535" t="s">
        <v>101</v>
      </c>
      <c r="BL535" t="s">
        <v>10759</v>
      </c>
      <c r="BM535" t="s">
        <v>10760</v>
      </c>
      <c r="BN535">
        <v>34612978</v>
      </c>
      <c r="BO535" t="s">
        <v>74</v>
      </c>
      <c r="BP535" t="s">
        <v>74</v>
      </c>
      <c r="BQ535" t="s">
        <v>74</v>
      </c>
      <c r="BR535" t="s">
        <v>105</v>
      </c>
      <c r="BS535" t="s">
        <v>10761</v>
      </c>
      <c r="BT535" t="str">
        <f>HYPERLINK("https%3A%2F%2Fwww.webofscience.com%2Fwos%2Fwoscc%2Ffull-record%2FWOS:000704993900002","View Full Record in Web of Science")</f>
        <v>View Full Record in Web of Science</v>
      </c>
    </row>
    <row r="536" spans="1:72" x14ac:dyDescent="0.15">
      <c r="A536" t="s">
        <v>72</v>
      </c>
      <c r="B536" t="s">
        <v>10762</v>
      </c>
      <c r="C536" t="s">
        <v>74</v>
      </c>
      <c r="D536" t="s">
        <v>74</v>
      </c>
      <c r="E536" t="s">
        <v>74</v>
      </c>
      <c r="F536" t="s">
        <v>10763</v>
      </c>
      <c r="G536" t="s">
        <v>74</v>
      </c>
      <c r="H536" t="s">
        <v>74</v>
      </c>
      <c r="I536" t="s">
        <v>10764</v>
      </c>
      <c r="J536" t="s">
        <v>2675</v>
      </c>
      <c r="K536" t="s">
        <v>74</v>
      </c>
      <c r="L536" t="s">
        <v>74</v>
      </c>
      <c r="M536" t="s">
        <v>78</v>
      </c>
      <c r="N536" t="s">
        <v>79</v>
      </c>
      <c r="O536" t="s">
        <v>74</v>
      </c>
      <c r="P536" t="s">
        <v>74</v>
      </c>
      <c r="Q536" t="s">
        <v>74</v>
      </c>
      <c r="R536" t="s">
        <v>74</v>
      </c>
      <c r="S536" t="s">
        <v>74</v>
      </c>
      <c r="T536" t="s">
        <v>74</v>
      </c>
      <c r="U536" t="s">
        <v>10765</v>
      </c>
      <c r="V536" t="s">
        <v>10766</v>
      </c>
      <c r="W536" t="s">
        <v>10767</v>
      </c>
      <c r="X536" t="s">
        <v>10768</v>
      </c>
      <c r="Y536" t="s">
        <v>10769</v>
      </c>
      <c r="Z536" t="s">
        <v>10770</v>
      </c>
      <c r="AA536" t="s">
        <v>10771</v>
      </c>
      <c r="AB536" t="s">
        <v>10772</v>
      </c>
      <c r="AC536" t="s">
        <v>10773</v>
      </c>
      <c r="AD536" t="s">
        <v>10774</v>
      </c>
      <c r="AE536" t="s">
        <v>10775</v>
      </c>
      <c r="AF536" t="s">
        <v>74</v>
      </c>
      <c r="AG536">
        <v>57</v>
      </c>
      <c r="AH536">
        <v>8</v>
      </c>
      <c r="AI536">
        <v>8</v>
      </c>
      <c r="AJ536">
        <v>0</v>
      </c>
      <c r="AK536">
        <v>2</v>
      </c>
      <c r="AL536" t="s">
        <v>227</v>
      </c>
      <c r="AM536" t="s">
        <v>228</v>
      </c>
      <c r="AN536" t="s">
        <v>229</v>
      </c>
      <c r="AO536" t="s">
        <v>2687</v>
      </c>
      <c r="AP536" t="s">
        <v>2688</v>
      </c>
      <c r="AQ536" t="s">
        <v>74</v>
      </c>
      <c r="AR536" t="s">
        <v>2689</v>
      </c>
      <c r="AS536" t="s">
        <v>2690</v>
      </c>
      <c r="AT536" t="s">
        <v>10375</v>
      </c>
      <c r="AU536">
        <v>2021</v>
      </c>
      <c r="AV536">
        <v>17</v>
      </c>
      <c r="AW536">
        <v>5</v>
      </c>
      <c r="AX536" t="s">
        <v>74</v>
      </c>
      <c r="AY536" t="s">
        <v>74</v>
      </c>
      <c r="AZ536" t="s">
        <v>74</v>
      </c>
      <c r="BA536" t="s">
        <v>74</v>
      </c>
      <c r="BB536">
        <v>1973</v>
      </c>
      <c r="BC536">
        <v>1987</v>
      </c>
      <c r="BD536" t="s">
        <v>74</v>
      </c>
      <c r="BE536" t="s">
        <v>10776</v>
      </c>
      <c r="BF536" t="str">
        <f>HYPERLINK("http://dx.doi.org/10.5194/cp-17-1973-2021","http://dx.doi.org/10.5194/cp-17-1973-2021")</f>
        <v>http://dx.doi.org/10.5194/cp-17-1973-2021</v>
      </c>
      <c r="BG536" t="s">
        <v>74</v>
      </c>
      <c r="BH536" t="s">
        <v>74</v>
      </c>
      <c r="BI536">
        <v>15</v>
      </c>
      <c r="BJ536" t="s">
        <v>1418</v>
      </c>
      <c r="BK536" t="s">
        <v>101</v>
      </c>
      <c r="BL536" t="s">
        <v>1419</v>
      </c>
      <c r="BM536" t="s">
        <v>10777</v>
      </c>
      <c r="BN536" t="s">
        <v>74</v>
      </c>
      <c r="BO536" t="s">
        <v>1004</v>
      </c>
      <c r="BP536" t="s">
        <v>74</v>
      </c>
      <c r="BQ536" t="s">
        <v>74</v>
      </c>
      <c r="BR536" t="s">
        <v>105</v>
      </c>
      <c r="BS536" t="s">
        <v>10778</v>
      </c>
      <c r="BT536" t="str">
        <f>HYPERLINK("https%3A%2F%2Fwww.webofscience.com%2Fwos%2Fwoscc%2Ffull-record%2FWOS:000703840800001","View Full Record in Web of Science")</f>
        <v>View Full Record in Web of Science</v>
      </c>
    </row>
    <row r="537" spans="1:72" x14ac:dyDescent="0.15">
      <c r="A537" t="s">
        <v>72</v>
      </c>
      <c r="B537" t="s">
        <v>10779</v>
      </c>
      <c r="C537" t="s">
        <v>74</v>
      </c>
      <c r="D537" t="s">
        <v>74</v>
      </c>
      <c r="E537" t="s">
        <v>74</v>
      </c>
      <c r="F537" t="s">
        <v>10780</v>
      </c>
      <c r="G537" t="s">
        <v>74</v>
      </c>
      <c r="H537" t="s">
        <v>74</v>
      </c>
      <c r="I537" t="s">
        <v>10781</v>
      </c>
      <c r="J537" t="s">
        <v>1212</v>
      </c>
      <c r="K537" t="s">
        <v>74</v>
      </c>
      <c r="L537" t="s">
        <v>74</v>
      </c>
      <c r="M537" t="s">
        <v>78</v>
      </c>
      <c r="N537" t="s">
        <v>79</v>
      </c>
      <c r="O537" t="s">
        <v>74</v>
      </c>
      <c r="P537" t="s">
        <v>74</v>
      </c>
      <c r="Q537" t="s">
        <v>74</v>
      </c>
      <c r="R537" t="s">
        <v>74</v>
      </c>
      <c r="S537" t="s">
        <v>74</v>
      </c>
      <c r="T537" t="s">
        <v>74</v>
      </c>
      <c r="U537" t="s">
        <v>10782</v>
      </c>
      <c r="V537" t="s">
        <v>10783</v>
      </c>
      <c r="W537" t="s">
        <v>10784</v>
      </c>
      <c r="X537" t="s">
        <v>10785</v>
      </c>
      <c r="Y537" t="s">
        <v>10786</v>
      </c>
      <c r="Z537" t="s">
        <v>10787</v>
      </c>
      <c r="AA537" t="s">
        <v>10788</v>
      </c>
      <c r="AB537" t="s">
        <v>10789</v>
      </c>
      <c r="AC537" t="s">
        <v>10790</v>
      </c>
      <c r="AD537" t="s">
        <v>10791</v>
      </c>
      <c r="AE537" t="s">
        <v>10792</v>
      </c>
      <c r="AF537" t="s">
        <v>74</v>
      </c>
      <c r="AG537">
        <v>44</v>
      </c>
      <c r="AH537">
        <v>12</v>
      </c>
      <c r="AI537">
        <v>12</v>
      </c>
      <c r="AJ537">
        <v>0</v>
      </c>
      <c r="AK537">
        <v>9</v>
      </c>
      <c r="AL537" t="s">
        <v>492</v>
      </c>
      <c r="AM537" t="s">
        <v>493</v>
      </c>
      <c r="AN537" t="s">
        <v>494</v>
      </c>
      <c r="AO537" t="s">
        <v>1224</v>
      </c>
      <c r="AP537" t="s">
        <v>74</v>
      </c>
      <c r="AQ537" t="s">
        <v>74</v>
      </c>
      <c r="AR537" t="s">
        <v>1225</v>
      </c>
      <c r="AS537" t="s">
        <v>1226</v>
      </c>
      <c r="AT537" t="s">
        <v>10375</v>
      </c>
      <c r="AU537">
        <v>2021</v>
      </c>
      <c r="AV537">
        <v>11</v>
      </c>
      <c r="AW537">
        <v>1</v>
      </c>
      <c r="AX537" t="s">
        <v>74</v>
      </c>
      <c r="AY537" t="s">
        <v>74</v>
      </c>
      <c r="AZ537" t="s">
        <v>74</v>
      </c>
      <c r="BA537" t="s">
        <v>74</v>
      </c>
      <c r="BB537" t="s">
        <v>74</v>
      </c>
      <c r="BC537" t="s">
        <v>74</v>
      </c>
      <c r="BD537">
        <v>19564</v>
      </c>
      <c r="BE537" t="s">
        <v>10793</v>
      </c>
      <c r="BF537" t="str">
        <f>HYPERLINK("http://dx.doi.org/10.1038/s41598-021-98619-z","http://dx.doi.org/10.1038/s41598-021-98619-z")</f>
        <v>http://dx.doi.org/10.1038/s41598-021-98619-z</v>
      </c>
      <c r="BG537" t="s">
        <v>74</v>
      </c>
      <c r="BH537" t="s">
        <v>74</v>
      </c>
      <c r="BI537">
        <v>9</v>
      </c>
      <c r="BJ537" t="s">
        <v>126</v>
      </c>
      <c r="BK537" t="s">
        <v>101</v>
      </c>
      <c r="BL537" t="s">
        <v>127</v>
      </c>
      <c r="BM537" t="s">
        <v>10794</v>
      </c>
      <c r="BN537">
        <v>34599225</v>
      </c>
      <c r="BO537" t="s">
        <v>394</v>
      </c>
      <c r="BP537" t="s">
        <v>74</v>
      </c>
      <c r="BQ537" t="s">
        <v>74</v>
      </c>
      <c r="BR537" t="s">
        <v>105</v>
      </c>
      <c r="BS537" t="s">
        <v>10795</v>
      </c>
      <c r="BT537" t="str">
        <f>HYPERLINK("https%3A%2F%2Fwww.webofscience.com%2Fwos%2Fwoscc%2Ffull-record%2FWOS:000702752900057","View Full Record in Web of Science")</f>
        <v>View Full Record in Web of Science</v>
      </c>
    </row>
    <row r="538" spans="1:72" x14ac:dyDescent="0.15">
      <c r="A538" t="s">
        <v>72</v>
      </c>
      <c r="B538" t="s">
        <v>10796</v>
      </c>
      <c r="C538" t="s">
        <v>74</v>
      </c>
      <c r="D538" t="s">
        <v>74</v>
      </c>
      <c r="E538" t="s">
        <v>74</v>
      </c>
      <c r="F538" t="s">
        <v>10797</v>
      </c>
      <c r="G538" t="s">
        <v>74</v>
      </c>
      <c r="H538" t="s">
        <v>74</v>
      </c>
      <c r="I538" t="s">
        <v>10798</v>
      </c>
      <c r="J538" t="s">
        <v>10799</v>
      </c>
      <c r="K538" t="s">
        <v>74</v>
      </c>
      <c r="L538" t="s">
        <v>74</v>
      </c>
      <c r="M538" t="s">
        <v>78</v>
      </c>
      <c r="N538" t="s">
        <v>79</v>
      </c>
      <c r="O538" t="s">
        <v>74</v>
      </c>
      <c r="P538" t="s">
        <v>74</v>
      </c>
      <c r="Q538" t="s">
        <v>74</v>
      </c>
      <c r="R538" t="s">
        <v>74</v>
      </c>
      <c r="S538" t="s">
        <v>74</v>
      </c>
      <c r="T538" t="s">
        <v>10800</v>
      </c>
      <c r="U538" t="s">
        <v>10801</v>
      </c>
      <c r="V538" t="s">
        <v>10802</v>
      </c>
      <c r="W538" t="s">
        <v>10803</v>
      </c>
      <c r="X538" t="s">
        <v>10804</v>
      </c>
      <c r="Y538" t="s">
        <v>10805</v>
      </c>
      <c r="Z538" t="s">
        <v>10806</v>
      </c>
      <c r="AA538" t="s">
        <v>10807</v>
      </c>
      <c r="AB538" t="s">
        <v>10808</v>
      </c>
      <c r="AC538" t="s">
        <v>10809</v>
      </c>
      <c r="AD538" t="s">
        <v>10810</v>
      </c>
      <c r="AE538" t="s">
        <v>10811</v>
      </c>
      <c r="AF538" t="s">
        <v>74</v>
      </c>
      <c r="AG538">
        <v>38</v>
      </c>
      <c r="AH538">
        <v>3</v>
      </c>
      <c r="AI538">
        <v>3</v>
      </c>
      <c r="AJ538">
        <v>9</v>
      </c>
      <c r="AK538">
        <v>36</v>
      </c>
      <c r="AL538" t="s">
        <v>198</v>
      </c>
      <c r="AM538" t="s">
        <v>199</v>
      </c>
      <c r="AN538" t="s">
        <v>200</v>
      </c>
      <c r="AO538" t="s">
        <v>10812</v>
      </c>
      <c r="AP538" t="s">
        <v>10813</v>
      </c>
      <c r="AQ538" t="s">
        <v>74</v>
      </c>
      <c r="AR538" t="s">
        <v>10814</v>
      </c>
      <c r="AS538" t="s">
        <v>10815</v>
      </c>
      <c r="AT538" t="s">
        <v>10816</v>
      </c>
      <c r="AU538">
        <v>2022</v>
      </c>
      <c r="AV538">
        <v>17</v>
      </c>
      <c r="AW538">
        <v>10</v>
      </c>
      <c r="AX538" t="s">
        <v>74</v>
      </c>
      <c r="AY538" t="s">
        <v>74</v>
      </c>
      <c r="AZ538" t="s">
        <v>74</v>
      </c>
      <c r="BA538" t="s">
        <v>74</v>
      </c>
      <c r="BB538">
        <v>2141</v>
      </c>
      <c r="BC538">
        <v>2149</v>
      </c>
      <c r="BD538" t="s">
        <v>74</v>
      </c>
      <c r="BE538" t="s">
        <v>10817</v>
      </c>
      <c r="BF538" t="str">
        <f>HYPERLINK("http://dx.doi.org/10.1080/17445302.2021.1979917","http://dx.doi.org/10.1080/17445302.2021.1979917")</f>
        <v>http://dx.doi.org/10.1080/17445302.2021.1979917</v>
      </c>
      <c r="BG538" t="s">
        <v>74</v>
      </c>
      <c r="BH538" t="s">
        <v>5766</v>
      </c>
      <c r="BI538">
        <v>9</v>
      </c>
      <c r="BJ538" t="s">
        <v>10818</v>
      </c>
      <c r="BK538" t="s">
        <v>101</v>
      </c>
      <c r="BL538" t="s">
        <v>10819</v>
      </c>
      <c r="BM538" t="s">
        <v>10820</v>
      </c>
      <c r="BN538" t="s">
        <v>74</v>
      </c>
      <c r="BO538" t="s">
        <v>74</v>
      </c>
      <c r="BP538" t="s">
        <v>74</v>
      </c>
      <c r="BQ538" t="s">
        <v>74</v>
      </c>
      <c r="BR538" t="s">
        <v>105</v>
      </c>
      <c r="BS538" t="s">
        <v>10821</v>
      </c>
      <c r="BT538" t="str">
        <f>HYPERLINK("https%3A%2F%2Fwww.webofscience.com%2Fwos%2Fwoscc%2Ffull-record%2FWOS:000702986900001","View Full Record in Web of Science")</f>
        <v>View Full Record in Web of Science</v>
      </c>
    </row>
    <row r="539" spans="1:72" x14ac:dyDescent="0.15">
      <c r="A539" t="s">
        <v>72</v>
      </c>
      <c r="B539" t="s">
        <v>10822</v>
      </c>
      <c r="C539" t="s">
        <v>74</v>
      </c>
      <c r="D539" t="s">
        <v>74</v>
      </c>
      <c r="E539" t="s">
        <v>74</v>
      </c>
      <c r="F539" t="s">
        <v>10823</v>
      </c>
      <c r="G539" t="s">
        <v>74</v>
      </c>
      <c r="H539" t="s">
        <v>74</v>
      </c>
      <c r="I539" t="s">
        <v>10824</v>
      </c>
      <c r="J539" t="s">
        <v>8652</v>
      </c>
      <c r="K539" t="s">
        <v>74</v>
      </c>
      <c r="L539" t="s">
        <v>74</v>
      </c>
      <c r="M539" t="s">
        <v>78</v>
      </c>
      <c r="N539" t="s">
        <v>79</v>
      </c>
      <c r="O539" t="s">
        <v>74</v>
      </c>
      <c r="P539" t="s">
        <v>74</v>
      </c>
      <c r="Q539" t="s">
        <v>74</v>
      </c>
      <c r="R539" t="s">
        <v>74</v>
      </c>
      <c r="S539" t="s">
        <v>74</v>
      </c>
      <c r="T539" t="s">
        <v>10825</v>
      </c>
      <c r="U539" t="s">
        <v>10826</v>
      </c>
      <c r="V539" t="s">
        <v>10827</v>
      </c>
      <c r="W539" t="s">
        <v>10828</v>
      </c>
      <c r="X539" t="s">
        <v>10829</v>
      </c>
      <c r="Y539" t="s">
        <v>10830</v>
      </c>
      <c r="Z539" t="s">
        <v>10831</v>
      </c>
      <c r="AA539" t="s">
        <v>10832</v>
      </c>
      <c r="AB539" t="s">
        <v>10833</v>
      </c>
      <c r="AC539" t="s">
        <v>10834</v>
      </c>
      <c r="AD539" t="s">
        <v>10835</v>
      </c>
      <c r="AE539" t="s">
        <v>10836</v>
      </c>
      <c r="AF539" t="s">
        <v>74</v>
      </c>
      <c r="AG539">
        <v>55</v>
      </c>
      <c r="AH539">
        <v>7</v>
      </c>
      <c r="AI539">
        <v>7</v>
      </c>
      <c r="AJ539">
        <v>0</v>
      </c>
      <c r="AK539">
        <v>7</v>
      </c>
      <c r="AL539" t="s">
        <v>169</v>
      </c>
      <c r="AM539" t="s">
        <v>170</v>
      </c>
      <c r="AN539" t="s">
        <v>171</v>
      </c>
      <c r="AO539" t="s">
        <v>8664</v>
      </c>
      <c r="AP539" t="s">
        <v>8665</v>
      </c>
      <c r="AQ539" t="s">
        <v>74</v>
      </c>
      <c r="AR539" t="s">
        <v>8652</v>
      </c>
      <c r="AS539" t="s">
        <v>8666</v>
      </c>
      <c r="AT539" t="s">
        <v>7760</v>
      </c>
      <c r="AU539">
        <v>2021</v>
      </c>
      <c r="AV539">
        <v>197</v>
      </c>
      <c r="AW539">
        <v>2</v>
      </c>
      <c r="AX539" t="s">
        <v>74</v>
      </c>
      <c r="AY539" t="s">
        <v>74</v>
      </c>
      <c r="AZ539" t="s">
        <v>74</v>
      </c>
      <c r="BA539" t="s">
        <v>74</v>
      </c>
      <c r="BB539">
        <v>373</v>
      </c>
      <c r="BC539">
        <v>385</v>
      </c>
      <c r="BD539" t="s">
        <v>74</v>
      </c>
      <c r="BE539" t="s">
        <v>10837</v>
      </c>
      <c r="BF539" t="str">
        <f>HYPERLINK("http://dx.doi.org/10.1007/s00442-021-05035-1","http://dx.doi.org/10.1007/s00442-021-05035-1")</f>
        <v>http://dx.doi.org/10.1007/s00442-021-05035-1</v>
      </c>
      <c r="BG539" t="s">
        <v>74</v>
      </c>
      <c r="BH539" t="s">
        <v>5766</v>
      </c>
      <c r="BI539">
        <v>13</v>
      </c>
      <c r="BJ539" t="s">
        <v>629</v>
      </c>
      <c r="BK539" t="s">
        <v>101</v>
      </c>
      <c r="BL539" t="s">
        <v>630</v>
      </c>
      <c r="BM539" t="s">
        <v>10838</v>
      </c>
      <c r="BN539">
        <v>34596750</v>
      </c>
      <c r="BO539" t="s">
        <v>419</v>
      </c>
      <c r="BP539" t="s">
        <v>74</v>
      </c>
      <c r="BQ539" t="s">
        <v>74</v>
      </c>
      <c r="BR539" t="s">
        <v>105</v>
      </c>
      <c r="BS539" t="s">
        <v>10839</v>
      </c>
      <c r="BT539" t="str">
        <f>HYPERLINK("https%3A%2F%2Fwww.webofscience.com%2Fwos%2Fwoscc%2Ffull-record%2FWOS:000702602300001","View Full Record in Web of Science")</f>
        <v>View Full Record in Web of Science</v>
      </c>
    </row>
    <row r="540" spans="1:72" x14ac:dyDescent="0.15">
      <c r="A540" t="s">
        <v>72</v>
      </c>
      <c r="B540" t="s">
        <v>10840</v>
      </c>
      <c r="C540" t="s">
        <v>74</v>
      </c>
      <c r="D540" t="s">
        <v>74</v>
      </c>
      <c r="E540" t="s">
        <v>74</v>
      </c>
      <c r="F540" t="s">
        <v>10841</v>
      </c>
      <c r="G540" t="s">
        <v>74</v>
      </c>
      <c r="H540" t="s">
        <v>74</v>
      </c>
      <c r="I540" t="s">
        <v>10842</v>
      </c>
      <c r="J540" t="s">
        <v>1377</v>
      </c>
      <c r="K540" t="s">
        <v>74</v>
      </c>
      <c r="L540" t="s">
        <v>74</v>
      </c>
      <c r="M540" t="s">
        <v>78</v>
      </c>
      <c r="N540" t="s">
        <v>79</v>
      </c>
      <c r="O540" t="s">
        <v>74</v>
      </c>
      <c r="P540" t="s">
        <v>74</v>
      </c>
      <c r="Q540" t="s">
        <v>74</v>
      </c>
      <c r="R540" t="s">
        <v>74</v>
      </c>
      <c r="S540" t="s">
        <v>74</v>
      </c>
      <c r="T540" t="s">
        <v>10843</v>
      </c>
      <c r="U540" t="s">
        <v>10844</v>
      </c>
      <c r="V540" t="s">
        <v>10845</v>
      </c>
      <c r="W540" t="s">
        <v>10846</v>
      </c>
      <c r="X540" t="s">
        <v>10847</v>
      </c>
      <c r="Y540" t="s">
        <v>10848</v>
      </c>
      <c r="Z540" t="s">
        <v>10849</v>
      </c>
      <c r="AA540" t="s">
        <v>10850</v>
      </c>
      <c r="AB540" t="s">
        <v>10851</v>
      </c>
      <c r="AC540" t="s">
        <v>10852</v>
      </c>
      <c r="AD540" t="s">
        <v>10853</v>
      </c>
      <c r="AE540" t="s">
        <v>10854</v>
      </c>
      <c r="AF540" t="s">
        <v>74</v>
      </c>
      <c r="AG540">
        <v>242</v>
      </c>
      <c r="AH540">
        <v>1</v>
      </c>
      <c r="AI540">
        <v>1</v>
      </c>
      <c r="AJ540">
        <v>3</v>
      </c>
      <c r="AK540">
        <v>20</v>
      </c>
      <c r="AL540" t="s">
        <v>255</v>
      </c>
      <c r="AM540" t="s">
        <v>256</v>
      </c>
      <c r="AN540" t="s">
        <v>257</v>
      </c>
      <c r="AO540" t="s">
        <v>1390</v>
      </c>
      <c r="AP540" t="s">
        <v>1391</v>
      </c>
      <c r="AQ540" t="s">
        <v>74</v>
      </c>
      <c r="AR540" t="s">
        <v>1392</v>
      </c>
      <c r="AS540" t="s">
        <v>1393</v>
      </c>
      <c r="AT540" t="s">
        <v>4170</v>
      </c>
      <c r="AU540">
        <v>2021</v>
      </c>
      <c r="AV540">
        <v>271</v>
      </c>
      <c r="AW540" t="s">
        <v>74</v>
      </c>
      <c r="AX540" t="s">
        <v>74</v>
      </c>
      <c r="AY540" t="s">
        <v>74</v>
      </c>
      <c r="AZ540" t="s">
        <v>74</v>
      </c>
      <c r="BA540" t="s">
        <v>74</v>
      </c>
      <c r="BB540" t="s">
        <v>74</v>
      </c>
      <c r="BC540" t="s">
        <v>74</v>
      </c>
      <c r="BD540">
        <v>107191</v>
      </c>
      <c r="BE540" t="s">
        <v>10855</v>
      </c>
      <c r="BF540" t="str">
        <f>HYPERLINK("http://dx.doi.org/10.1016/j.quascirev.2021.107191","http://dx.doi.org/10.1016/j.quascirev.2021.107191")</f>
        <v>http://dx.doi.org/10.1016/j.quascirev.2021.107191</v>
      </c>
      <c r="BG540" t="s">
        <v>74</v>
      </c>
      <c r="BH540" t="s">
        <v>5766</v>
      </c>
      <c r="BI540">
        <v>24</v>
      </c>
      <c r="BJ540" t="s">
        <v>340</v>
      </c>
      <c r="BK540" t="s">
        <v>101</v>
      </c>
      <c r="BL540" t="s">
        <v>341</v>
      </c>
      <c r="BM540" t="s">
        <v>9454</v>
      </c>
      <c r="BN540" t="s">
        <v>74</v>
      </c>
      <c r="BO540" t="s">
        <v>1471</v>
      </c>
      <c r="BP540" t="s">
        <v>74</v>
      </c>
      <c r="BQ540" t="s">
        <v>74</v>
      </c>
      <c r="BR540" t="s">
        <v>105</v>
      </c>
      <c r="BS540" t="s">
        <v>10856</v>
      </c>
      <c r="BT540" t="str">
        <f>HYPERLINK("https%3A%2F%2Fwww.webofscience.com%2Fwos%2Fwoscc%2Ffull-record%2FWOS:000703097800005","View Full Record in Web of Science")</f>
        <v>View Full Record in Web of Science</v>
      </c>
    </row>
    <row r="541" spans="1:72" x14ac:dyDescent="0.15">
      <c r="A541" t="s">
        <v>72</v>
      </c>
      <c r="B541" t="s">
        <v>10840</v>
      </c>
      <c r="C541" t="s">
        <v>74</v>
      </c>
      <c r="D541" t="s">
        <v>74</v>
      </c>
      <c r="E541" t="s">
        <v>74</v>
      </c>
      <c r="F541" t="s">
        <v>10841</v>
      </c>
      <c r="G541" t="s">
        <v>74</v>
      </c>
      <c r="H541" t="s">
        <v>74</v>
      </c>
      <c r="I541" t="s">
        <v>10857</v>
      </c>
      <c r="J541" t="s">
        <v>1377</v>
      </c>
      <c r="K541" t="s">
        <v>74</v>
      </c>
      <c r="L541" t="s">
        <v>74</v>
      </c>
      <c r="M541" t="s">
        <v>78</v>
      </c>
      <c r="N541" t="s">
        <v>79</v>
      </c>
      <c r="O541" t="s">
        <v>74</v>
      </c>
      <c r="P541" t="s">
        <v>74</v>
      </c>
      <c r="Q541" t="s">
        <v>74</v>
      </c>
      <c r="R541" t="s">
        <v>74</v>
      </c>
      <c r="S541" t="s">
        <v>74</v>
      </c>
      <c r="T541" t="s">
        <v>10858</v>
      </c>
      <c r="U541" t="s">
        <v>10859</v>
      </c>
      <c r="V541" t="s">
        <v>10860</v>
      </c>
      <c r="W541" t="s">
        <v>10846</v>
      </c>
      <c r="X541" t="s">
        <v>10847</v>
      </c>
      <c r="Y541" t="s">
        <v>10848</v>
      </c>
      <c r="Z541" t="s">
        <v>10849</v>
      </c>
      <c r="AA541" t="s">
        <v>10850</v>
      </c>
      <c r="AB541" t="s">
        <v>10851</v>
      </c>
      <c r="AC541" t="s">
        <v>10852</v>
      </c>
      <c r="AD541" t="s">
        <v>10853</v>
      </c>
      <c r="AE541" t="s">
        <v>10861</v>
      </c>
      <c r="AF541" t="s">
        <v>74</v>
      </c>
      <c r="AG541">
        <v>107</v>
      </c>
      <c r="AH541">
        <v>5</v>
      </c>
      <c r="AI541">
        <v>5</v>
      </c>
      <c r="AJ541">
        <v>3</v>
      </c>
      <c r="AK541">
        <v>12</v>
      </c>
      <c r="AL541" t="s">
        <v>255</v>
      </c>
      <c r="AM541" t="s">
        <v>256</v>
      </c>
      <c r="AN541" t="s">
        <v>257</v>
      </c>
      <c r="AO541" t="s">
        <v>1390</v>
      </c>
      <c r="AP541" t="s">
        <v>1391</v>
      </c>
      <c r="AQ541" t="s">
        <v>74</v>
      </c>
      <c r="AR541" t="s">
        <v>1392</v>
      </c>
      <c r="AS541" t="s">
        <v>1393</v>
      </c>
      <c r="AT541" t="s">
        <v>4170</v>
      </c>
      <c r="AU541">
        <v>2021</v>
      </c>
      <c r="AV541">
        <v>271</v>
      </c>
      <c r="AW541" t="s">
        <v>74</v>
      </c>
      <c r="AX541" t="s">
        <v>74</v>
      </c>
      <c r="AY541" t="s">
        <v>74</v>
      </c>
      <c r="AZ541" t="s">
        <v>74</v>
      </c>
      <c r="BA541" t="s">
        <v>74</v>
      </c>
      <c r="BB541" t="s">
        <v>74</v>
      </c>
      <c r="BC541" t="s">
        <v>74</v>
      </c>
      <c r="BD541">
        <v>107190</v>
      </c>
      <c r="BE541" t="s">
        <v>10862</v>
      </c>
      <c r="BF541" t="str">
        <f>HYPERLINK("http://dx.doi.org/10.1016/j.quascirev.2021.107190","http://dx.doi.org/10.1016/j.quascirev.2021.107190")</f>
        <v>http://dx.doi.org/10.1016/j.quascirev.2021.107190</v>
      </c>
      <c r="BG541" t="s">
        <v>74</v>
      </c>
      <c r="BH541" t="s">
        <v>5766</v>
      </c>
      <c r="BI541">
        <v>19</v>
      </c>
      <c r="BJ541" t="s">
        <v>340</v>
      </c>
      <c r="BK541" t="s">
        <v>101</v>
      </c>
      <c r="BL541" t="s">
        <v>341</v>
      </c>
      <c r="BM541" t="s">
        <v>9454</v>
      </c>
      <c r="BN541" t="s">
        <v>74</v>
      </c>
      <c r="BO541" t="s">
        <v>4126</v>
      </c>
      <c r="BP541" t="s">
        <v>74</v>
      </c>
      <c r="BQ541" t="s">
        <v>74</v>
      </c>
      <c r="BR541" t="s">
        <v>105</v>
      </c>
      <c r="BS541" t="s">
        <v>10863</v>
      </c>
      <c r="BT541" t="str">
        <f>HYPERLINK("https%3A%2F%2Fwww.webofscience.com%2Fwos%2Fwoscc%2Ffull-record%2FWOS:000703097800004","View Full Record in Web of Science")</f>
        <v>View Full Record in Web of Science</v>
      </c>
    </row>
    <row r="542" spans="1:72" x14ac:dyDescent="0.15">
      <c r="A542" t="s">
        <v>72</v>
      </c>
      <c r="B542" t="s">
        <v>10864</v>
      </c>
      <c r="C542" t="s">
        <v>74</v>
      </c>
      <c r="D542" t="s">
        <v>74</v>
      </c>
      <c r="E542" t="s">
        <v>74</v>
      </c>
      <c r="F542" t="s">
        <v>10865</v>
      </c>
      <c r="G542" t="s">
        <v>74</v>
      </c>
      <c r="H542" t="s">
        <v>74</v>
      </c>
      <c r="I542" t="s">
        <v>10866</v>
      </c>
      <c r="J542" t="s">
        <v>1377</v>
      </c>
      <c r="K542" t="s">
        <v>74</v>
      </c>
      <c r="L542" t="s">
        <v>74</v>
      </c>
      <c r="M542" t="s">
        <v>78</v>
      </c>
      <c r="N542" t="s">
        <v>79</v>
      </c>
      <c r="O542" t="s">
        <v>74</v>
      </c>
      <c r="P542" t="s">
        <v>74</v>
      </c>
      <c r="Q542" t="s">
        <v>74</v>
      </c>
      <c r="R542" t="s">
        <v>74</v>
      </c>
      <c r="S542" t="s">
        <v>74</v>
      </c>
      <c r="T542" t="s">
        <v>10867</v>
      </c>
      <c r="U542" t="s">
        <v>10868</v>
      </c>
      <c r="V542" t="s">
        <v>10869</v>
      </c>
      <c r="W542" t="s">
        <v>10870</v>
      </c>
      <c r="X542" t="s">
        <v>10871</v>
      </c>
      <c r="Y542" t="s">
        <v>10872</v>
      </c>
      <c r="Z542" t="s">
        <v>10873</v>
      </c>
      <c r="AA542" t="s">
        <v>10874</v>
      </c>
      <c r="AB542" t="s">
        <v>10875</v>
      </c>
      <c r="AC542" t="s">
        <v>10876</v>
      </c>
      <c r="AD542" t="s">
        <v>10877</v>
      </c>
      <c r="AE542" t="s">
        <v>10878</v>
      </c>
      <c r="AF542" t="s">
        <v>74</v>
      </c>
      <c r="AG542">
        <v>68</v>
      </c>
      <c r="AH542">
        <v>2</v>
      </c>
      <c r="AI542">
        <v>2</v>
      </c>
      <c r="AJ542">
        <v>6</v>
      </c>
      <c r="AK542">
        <v>16</v>
      </c>
      <c r="AL542" t="s">
        <v>255</v>
      </c>
      <c r="AM542" t="s">
        <v>256</v>
      </c>
      <c r="AN542" t="s">
        <v>257</v>
      </c>
      <c r="AO542" t="s">
        <v>1390</v>
      </c>
      <c r="AP542" t="s">
        <v>1391</v>
      </c>
      <c r="AQ542" t="s">
        <v>74</v>
      </c>
      <c r="AR542" t="s">
        <v>1392</v>
      </c>
      <c r="AS542" t="s">
        <v>1393</v>
      </c>
      <c r="AT542" t="s">
        <v>4170</v>
      </c>
      <c r="AU542">
        <v>2021</v>
      </c>
      <c r="AV542">
        <v>271</v>
      </c>
      <c r="AW542" t="s">
        <v>74</v>
      </c>
      <c r="AX542" t="s">
        <v>74</v>
      </c>
      <c r="AY542" t="s">
        <v>74</v>
      </c>
      <c r="AZ542" t="s">
        <v>74</v>
      </c>
      <c r="BA542" t="s">
        <v>74</v>
      </c>
      <c r="BB542" t="s">
        <v>74</v>
      </c>
      <c r="BC542" t="s">
        <v>74</v>
      </c>
      <c r="BD542">
        <v>107205</v>
      </c>
      <c r="BE542" t="s">
        <v>10879</v>
      </c>
      <c r="BF542" t="str">
        <f>HYPERLINK("http://dx.doi.org/10.1016/j.quascirev.2021.107205","http://dx.doi.org/10.1016/j.quascirev.2021.107205")</f>
        <v>http://dx.doi.org/10.1016/j.quascirev.2021.107205</v>
      </c>
      <c r="BG542" t="s">
        <v>74</v>
      </c>
      <c r="BH542" t="s">
        <v>5766</v>
      </c>
      <c r="BI542">
        <v>16</v>
      </c>
      <c r="BJ542" t="s">
        <v>340</v>
      </c>
      <c r="BK542" t="s">
        <v>101</v>
      </c>
      <c r="BL542" t="s">
        <v>341</v>
      </c>
      <c r="BM542" t="s">
        <v>9454</v>
      </c>
      <c r="BN542" t="s">
        <v>74</v>
      </c>
      <c r="BO542" t="s">
        <v>74</v>
      </c>
      <c r="BP542" t="s">
        <v>74</v>
      </c>
      <c r="BQ542" t="s">
        <v>74</v>
      </c>
      <c r="BR542" t="s">
        <v>105</v>
      </c>
      <c r="BS542" t="s">
        <v>10880</v>
      </c>
      <c r="BT542" t="str">
        <f>HYPERLINK("https%3A%2F%2Fwww.webofscience.com%2Fwos%2Fwoscc%2Ffull-record%2FWOS:000703097800010","View Full Record in Web of Science")</f>
        <v>View Full Record in Web of Science</v>
      </c>
    </row>
    <row r="543" spans="1:72" x14ac:dyDescent="0.15">
      <c r="A543" t="s">
        <v>72</v>
      </c>
      <c r="B543" t="s">
        <v>10881</v>
      </c>
      <c r="C543" t="s">
        <v>74</v>
      </c>
      <c r="D543" t="s">
        <v>74</v>
      </c>
      <c r="E543" t="s">
        <v>74</v>
      </c>
      <c r="F543" t="s">
        <v>10882</v>
      </c>
      <c r="G543" t="s">
        <v>74</v>
      </c>
      <c r="H543" t="s">
        <v>74</v>
      </c>
      <c r="I543" t="s">
        <v>10883</v>
      </c>
      <c r="J543" t="s">
        <v>10884</v>
      </c>
      <c r="K543" t="s">
        <v>74</v>
      </c>
      <c r="L543" t="s">
        <v>74</v>
      </c>
      <c r="M543" t="s">
        <v>78</v>
      </c>
      <c r="N543" t="s">
        <v>79</v>
      </c>
      <c r="O543" t="s">
        <v>74</v>
      </c>
      <c r="P543" t="s">
        <v>74</v>
      </c>
      <c r="Q543" t="s">
        <v>74</v>
      </c>
      <c r="R543" t="s">
        <v>74</v>
      </c>
      <c r="S543" t="s">
        <v>74</v>
      </c>
      <c r="T543" t="s">
        <v>10885</v>
      </c>
      <c r="U543" t="s">
        <v>10886</v>
      </c>
      <c r="V543" t="s">
        <v>10887</v>
      </c>
      <c r="W543" t="s">
        <v>10888</v>
      </c>
      <c r="X543" t="s">
        <v>10889</v>
      </c>
      <c r="Y543" t="s">
        <v>10890</v>
      </c>
      <c r="Z543" t="s">
        <v>10891</v>
      </c>
      <c r="AA543" t="s">
        <v>10892</v>
      </c>
      <c r="AB543" t="s">
        <v>10893</v>
      </c>
      <c r="AC543" t="s">
        <v>74</v>
      </c>
      <c r="AD543" t="s">
        <v>74</v>
      </c>
      <c r="AE543" t="s">
        <v>74</v>
      </c>
      <c r="AF543" t="s">
        <v>74</v>
      </c>
      <c r="AG543">
        <v>105</v>
      </c>
      <c r="AH543">
        <v>17</v>
      </c>
      <c r="AI543">
        <v>17</v>
      </c>
      <c r="AJ543">
        <v>3</v>
      </c>
      <c r="AK543">
        <v>22</v>
      </c>
      <c r="AL543" t="s">
        <v>572</v>
      </c>
      <c r="AM543" t="s">
        <v>573</v>
      </c>
      <c r="AN543" t="s">
        <v>574</v>
      </c>
      <c r="AO543" t="s">
        <v>10894</v>
      </c>
      <c r="AP543" t="s">
        <v>10895</v>
      </c>
      <c r="AQ543" t="s">
        <v>74</v>
      </c>
      <c r="AR543" t="s">
        <v>10896</v>
      </c>
      <c r="AS543" t="s">
        <v>10897</v>
      </c>
      <c r="AT543" t="s">
        <v>7760</v>
      </c>
      <c r="AU543">
        <v>2021</v>
      </c>
      <c r="AV543">
        <v>48</v>
      </c>
      <c r="AW543">
        <v>10</v>
      </c>
      <c r="AX543" t="s">
        <v>74</v>
      </c>
      <c r="AY543" t="s">
        <v>74</v>
      </c>
      <c r="AZ543" t="s">
        <v>74</v>
      </c>
      <c r="BA543" t="s">
        <v>74</v>
      </c>
      <c r="BB543">
        <v>2562</v>
      </c>
      <c r="BC543">
        <v>2577</v>
      </c>
      <c r="BD543" t="s">
        <v>74</v>
      </c>
      <c r="BE543" t="s">
        <v>10898</v>
      </c>
      <c r="BF543" t="str">
        <f>HYPERLINK("http://dx.doi.org/10.1111/jbi.14221","http://dx.doi.org/10.1111/jbi.14221")</f>
        <v>http://dx.doi.org/10.1111/jbi.14221</v>
      </c>
      <c r="BG543" t="s">
        <v>74</v>
      </c>
      <c r="BH543" t="s">
        <v>74</v>
      </c>
      <c r="BI543">
        <v>16</v>
      </c>
      <c r="BJ543" t="s">
        <v>10899</v>
      </c>
      <c r="BK543" t="s">
        <v>207</v>
      </c>
      <c r="BL543" t="s">
        <v>10900</v>
      </c>
      <c r="BM543" t="s">
        <v>10901</v>
      </c>
      <c r="BN543" t="s">
        <v>74</v>
      </c>
      <c r="BO543" t="s">
        <v>1471</v>
      </c>
      <c r="BP543" t="s">
        <v>74</v>
      </c>
      <c r="BQ543" t="s">
        <v>74</v>
      </c>
      <c r="BR543" t="s">
        <v>105</v>
      </c>
      <c r="BS543" t="s">
        <v>10902</v>
      </c>
      <c r="BT543" t="str">
        <f>HYPERLINK("https%3A%2F%2Fwww.webofscience.com%2Fwos%2Fwoscc%2Ffull-record%2FWOS:000700553600016","View Full Record in Web of Science")</f>
        <v>View Full Record in Web of Science</v>
      </c>
    </row>
    <row r="544" spans="1:72" x14ac:dyDescent="0.15">
      <c r="A544" t="s">
        <v>72</v>
      </c>
      <c r="B544" t="s">
        <v>10903</v>
      </c>
      <c r="C544" t="s">
        <v>74</v>
      </c>
      <c r="D544" t="s">
        <v>74</v>
      </c>
      <c r="E544" t="s">
        <v>74</v>
      </c>
      <c r="F544" t="s">
        <v>10904</v>
      </c>
      <c r="G544" t="s">
        <v>74</v>
      </c>
      <c r="H544" t="s">
        <v>74</v>
      </c>
      <c r="I544" t="s">
        <v>10905</v>
      </c>
      <c r="J544" t="s">
        <v>9681</v>
      </c>
      <c r="K544" t="s">
        <v>74</v>
      </c>
      <c r="L544" t="s">
        <v>74</v>
      </c>
      <c r="M544" t="s">
        <v>78</v>
      </c>
      <c r="N544" t="s">
        <v>79</v>
      </c>
      <c r="O544" t="s">
        <v>74</v>
      </c>
      <c r="P544" t="s">
        <v>74</v>
      </c>
      <c r="Q544" t="s">
        <v>74</v>
      </c>
      <c r="R544" t="s">
        <v>74</v>
      </c>
      <c r="S544" t="s">
        <v>74</v>
      </c>
      <c r="T544" t="s">
        <v>10906</v>
      </c>
      <c r="U544" t="s">
        <v>10907</v>
      </c>
      <c r="V544" t="s">
        <v>10908</v>
      </c>
      <c r="W544" t="s">
        <v>10909</v>
      </c>
      <c r="X544" t="s">
        <v>10910</v>
      </c>
      <c r="Y544" t="s">
        <v>10911</v>
      </c>
      <c r="Z544" t="s">
        <v>10912</v>
      </c>
      <c r="AA544" t="s">
        <v>74</v>
      </c>
      <c r="AB544" t="s">
        <v>74</v>
      </c>
      <c r="AC544" t="s">
        <v>10913</v>
      </c>
      <c r="AD544" t="s">
        <v>10914</v>
      </c>
      <c r="AE544" t="s">
        <v>10915</v>
      </c>
      <c r="AF544" t="s">
        <v>74</v>
      </c>
      <c r="AG544">
        <v>68</v>
      </c>
      <c r="AH544">
        <v>0</v>
      </c>
      <c r="AI544">
        <v>0</v>
      </c>
      <c r="AJ544">
        <v>2</v>
      </c>
      <c r="AK544">
        <v>9</v>
      </c>
      <c r="AL544" t="s">
        <v>169</v>
      </c>
      <c r="AM544" t="s">
        <v>170</v>
      </c>
      <c r="AN544" t="s">
        <v>171</v>
      </c>
      <c r="AO544" t="s">
        <v>9694</v>
      </c>
      <c r="AP544" t="s">
        <v>9695</v>
      </c>
      <c r="AQ544" t="s">
        <v>74</v>
      </c>
      <c r="AR544" t="s">
        <v>9696</v>
      </c>
      <c r="AS544" t="s">
        <v>9697</v>
      </c>
      <c r="AT544" t="s">
        <v>7760</v>
      </c>
      <c r="AU544">
        <v>2021</v>
      </c>
      <c r="AV544">
        <v>40</v>
      </c>
      <c r="AW544">
        <v>10</v>
      </c>
      <c r="AX544" t="s">
        <v>74</v>
      </c>
      <c r="AY544" t="s">
        <v>74</v>
      </c>
      <c r="AZ544" t="s">
        <v>74</v>
      </c>
      <c r="BA544" t="s">
        <v>74</v>
      </c>
      <c r="BB544">
        <v>106</v>
      </c>
      <c r="BC544">
        <v>117</v>
      </c>
      <c r="BD544" t="s">
        <v>74</v>
      </c>
      <c r="BE544" t="s">
        <v>10916</v>
      </c>
      <c r="BF544" t="str">
        <f>HYPERLINK("http://dx.doi.org/10.1007/s13131-021-1848-5","http://dx.doi.org/10.1007/s13131-021-1848-5")</f>
        <v>http://dx.doi.org/10.1007/s13131-021-1848-5</v>
      </c>
      <c r="BG544" t="s">
        <v>74</v>
      </c>
      <c r="BH544" t="s">
        <v>74</v>
      </c>
      <c r="BI544">
        <v>12</v>
      </c>
      <c r="BJ544" t="s">
        <v>264</v>
      </c>
      <c r="BK544" t="s">
        <v>101</v>
      </c>
      <c r="BL544" t="s">
        <v>264</v>
      </c>
      <c r="BM544" t="s">
        <v>9699</v>
      </c>
      <c r="BN544" t="s">
        <v>74</v>
      </c>
      <c r="BO544" t="s">
        <v>74</v>
      </c>
      <c r="BP544" t="s">
        <v>74</v>
      </c>
      <c r="BQ544" t="s">
        <v>74</v>
      </c>
      <c r="BR544" t="s">
        <v>105</v>
      </c>
      <c r="BS544" t="s">
        <v>10917</v>
      </c>
      <c r="BT544" t="str">
        <f>HYPERLINK("https%3A%2F%2Fwww.webofscience.com%2Fwos%2Fwoscc%2Ffull-record%2FWOS:000724005600010","View Full Record in Web of Science")</f>
        <v>View Full Record in Web of Science</v>
      </c>
    </row>
    <row r="545" spans="1:72" x14ac:dyDescent="0.15">
      <c r="A545" t="s">
        <v>72</v>
      </c>
      <c r="B545" t="s">
        <v>10918</v>
      </c>
      <c r="C545" t="s">
        <v>74</v>
      </c>
      <c r="D545" t="s">
        <v>74</v>
      </c>
      <c r="E545" t="s">
        <v>74</v>
      </c>
      <c r="F545" t="s">
        <v>10919</v>
      </c>
      <c r="G545" t="s">
        <v>74</v>
      </c>
      <c r="H545" t="s">
        <v>74</v>
      </c>
      <c r="I545" t="s">
        <v>10920</v>
      </c>
      <c r="J545" t="s">
        <v>10921</v>
      </c>
      <c r="K545" t="s">
        <v>74</v>
      </c>
      <c r="L545" t="s">
        <v>74</v>
      </c>
      <c r="M545" t="s">
        <v>78</v>
      </c>
      <c r="N545" t="s">
        <v>373</v>
      </c>
      <c r="O545" t="s">
        <v>74</v>
      </c>
      <c r="P545" t="s">
        <v>74</v>
      </c>
      <c r="Q545" t="s">
        <v>74</v>
      </c>
      <c r="R545" t="s">
        <v>74</v>
      </c>
      <c r="S545" t="s">
        <v>74</v>
      </c>
      <c r="T545" t="s">
        <v>10922</v>
      </c>
      <c r="U545" t="s">
        <v>10923</v>
      </c>
      <c r="V545" t="s">
        <v>10924</v>
      </c>
      <c r="W545" t="s">
        <v>10925</v>
      </c>
      <c r="X545" t="s">
        <v>10926</v>
      </c>
      <c r="Y545" t="s">
        <v>10927</v>
      </c>
      <c r="Z545" t="s">
        <v>10928</v>
      </c>
      <c r="AA545" t="s">
        <v>10929</v>
      </c>
      <c r="AB545" t="s">
        <v>10930</v>
      </c>
      <c r="AC545" t="s">
        <v>10931</v>
      </c>
      <c r="AD545" t="s">
        <v>10932</v>
      </c>
      <c r="AE545" t="s">
        <v>10933</v>
      </c>
      <c r="AF545" t="s">
        <v>74</v>
      </c>
      <c r="AG545">
        <v>131</v>
      </c>
      <c r="AH545">
        <v>6</v>
      </c>
      <c r="AI545">
        <v>6</v>
      </c>
      <c r="AJ545">
        <v>1</v>
      </c>
      <c r="AK545">
        <v>3</v>
      </c>
      <c r="AL545" t="s">
        <v>4192</v>
      </c>
      <c r="AM545" t="s">
        <v>4193</v>
      </c>
      <c r="AN545" t="s">
        <v>4194</v>
      </c>
      <c r="AO545" t="s">
        <v>74</v>
      </c>
      <c r="AP545" t="s">
        <v>10934</v>
      </c>
      <c r="AQ545" t="s">
        <v>74</v>
      </c>
      <c r="AR545" t="s">
        <v>10921</v>
      </c>
      <c r="AS545" t="s">
        <v>10935</v>
      </c>
      <c r="AT545" t="s">
        <v>7760</v>
      </c>
      <c r="AU545">
        <v>2021</v>
      </c>
      <c r="AV545">
        <v>6</v>
      </c>
      <c r="AW545">
        <v>10</v>
      </c>
      <c r="AX545" t="s">
        <v>74</v>
      </c>
      <c r="AY545" t="s">
        <v>74</v>
      </c>
      <c r="AZ545" t="s">
        <v>74</v>
      </c>
      <c r="BA545" t="s">
        <v>74</v>
      </c>
      <c r="BB545" t="s">
        <v>74</v>
      </c>
      <c r="BC545" t="s">
        <v>74</v>
      </c>
      <c r="BD545">
        <v>360</v>
      </c>
      <c r="BE545" t="s">
        <v>10936</v>
      </c>
      <c r="BF545" t="str">
        <f>HYPERLINK("http://dx.doi.org/10.3390/fluids6100360","http://dx.doi.org/10.3390/fluids6100360")</f>
        <v>http://dx.doi.org/10.3390/fluids6100360</v>
      </c>
      <c r="BG545" t="s">
        <v>74</v>
      </c>
      <c r="BH545" t="s">
        <v>74</v>
      </c>
      <c r="BI545">
        <v>20</v>
      </c>
      <c r="BJ545" t="s">
        <v>10937</v>
      </c>
      <c r="BK545" t="s">
        <v>1629</v>
      </c>
      <c r="BL545" t="s">
        <v>10938</v>
      </c>
      <c r="BM545" t="s">
        <v>10939</v>
      </c>
      <c r="BN545" t="s">
        <v>74</v>
      </c>
      <c r="BO545" t="s">
        <v>394</v>
      </c>
      <c r="BP545" t="s">
        <v>74</v>
      </c>
      <c r="BQ545" t="s">
        <v>74</v>
      </c>
      <c r="BR545" t="s">
        <v>105</v>
      </c>
      <c r="BS545" t="s">
        <v>10940</v>
      </c>
      <c r="BT545" t="str">
        <f>HYPERLINK("https%3A%2F%2Fwww.webofscience.com%2Fwos%2Fwoscc%2Ffull-record%2FWOS:000913015200001","View Full Record in Web of Science")</f>
        <v>View Full Record in Web of Science</v>
      </c>
    </row>
    <row r="546" spans="1:72" x14ac:dyDescent="0.15">
      <c r="A546" t="s">
        <v>72</v>
      </c>
      <c r="B546" t="s">
        <v>10941</v>
      </c>
      <c r="C546" t="s">
        <v>74</v>
      </c>
      <c r="D546" t="s">
        <v>74</v>
      </c>
      <c r="E546" t="s">
        <v>74</v>
      </c>
      <c r="F546" t="s">
        <v>10942</v>
      </c>
      <c r="G546" t="s">
        <v>74</v>
      </c>
      <c r="H546" t="s">
        <v>74</v>
      </c>
      <c r="I546" t="s">
        <v>10943</v>
      </c>
      <c r="J546" t="s">
        <v>5212</v>
      </c>
      <c r="K546" t="s">
        <v>74</v>
      </c>
      <c r="L546" t="s">
        <v>74</v>
      </c>
      <c r="M546" t="s">
        <v>78</v>
      </c>
      <c r="N546" t="s">
        <v>79</v>
      </c>
      <c r="O546" t="s">
        <v>74</v>
      </c>
      <c r="P546" t="s">
        <v>74</v>
      </c>
      <c r="Q546" t="s">
        <v>74</v>
      </c>
      <c r="R546" t="s">
        <v>74</v>
      </c>
      <c r="S546" t="s">
        <v>74</v>
      </c>
      <c r="T546" t="s">
        <v>74</v>
      </c>
      <c r="U546" t="s">
        <v>10944</v>
      </c>
      <c r="V546" t="s">
        <v>10945</v>
      </c>
      <c r="W546" t="s">
        <v>10946</v>
      </c>
      <c r="X546" t="s">
        <v>10947</v>
      </c>
      <c r="Y546" t="s">
        <v>10948</v>
      </c>
      <c r="Z546" t="s">
        <v>10949</v>
      </c>
      <c r="AA546" t="s">
        <v>10950</v>
      </c>
      <c r="AB546" t="s">
        <v>10951</v>
      </c>
      <c r="AC546" t="s">
        <v>10952</v>
      </c>
      <c r="AD546" t="s">
        <v>10953</v>
      </c>
      <c r="AE546" t="s">
        <v>10954</v>
      </c>
      <c r="AF546" t="s">
        <v>74</v>
      </c>
      <c r="AG546">
        <v>56</v>
      </c>
      <c r="AH546">
        <v>4</v>
      </c>
      <c r="AI546">
        <v>4</v>
      </c>
      <c r="AJ546">
        <v>2</v>
      </c>
      <c r="AK546">
        <v>8</v>
      </c>
      <c r="AL546" t="s">
        <v>760</v>
      </c>
      <c r="AM546" t="s">
        <v>438</v>
      </c>
      <c r="AN546" t="s">
        <v>761</v>
      </c>
      <c r="AO546" t="s">
        <v>5224</v>
      </c>
      <c r="AP546" t="s">
        <v>5225</v>
      </c>
      <c r="AQ546" t="s">
        <v>74</v>
      </c>
      <c r="AR546" t="s">
        <v>5226</v>
      </c>
      <c r="AS546" t="s">
        <v>5227</v>
      </c>
      <c r="AT546" t="s">
        <v>7760</v>
      </c>
      <c r="AU546">
        <v>2021</v>
      </c>
      <c r="AV546">
        <v>126</v>
      </c>
      <c r="AW546">
        <v>10</v>
      </c>
      <c r="AX546" t="s">
        <v>74</v>
      </c>
      <c r="AY546" t="s">
        <v>74</v>
      </c>
      <c r="AZ546" t="s">
        <v>74</v>
      </c>
      <c r="BA546" t="s">
        <v>74</v>
      </c>
      <c r="BB546" t="s">
        <v>74</v>
      </c>
      <c r="BC546" t="s">
        <v>74</v>
      </c>
      <c r="BD546" t="s">
        <v>10955</v>
      </c>
      <c r="BE546" t="s">
        <v>10956</v>
      </c>
      <c r="BF546" t="str">
        <f>HYPERLINK("http://dx.doi.org/10.1029/2021JA029378","http://dx.doi.org/10.1029/2021JA029378")</f>
        <v>http://dx.doi.org/10.1029/2021JA029378</v>
      </c>
      <c r="BG546" t="s">
        <v>74</v>
      </c>
      <c r="BH546" t="s">
        <v>74</v>
      </c>
      <c r="BI546">
        <v>10</v>
      </c>
      <c r="BJ546" t="s">
        <v>1721</v>
      </c>
      <c r="BK546" t="s">
        <v>101</v>
      </c>
      <c r="BL546" t="s">
        <v>1721</v>
      </c>
      <c r="BM546" t="s">
        <v>10395</v>
      </c>
      <c r="BN546" t="s">
        <v>74</v>
      </c>
      <c r="BO546" t="s">
        <v>74</v>
      </c>
      <c r="BP546" t="s">
        <v>74</v>
      </c>
      <c r="BQ546" t="s">
        <v>74</v>
      </c>
      <c r="BR546" t="s">
        <v>105</v>
      </c>
      <c r="BS546" t="s">
        <v>10957</v>
      </c>
      <c r="BT546" t="str">
        <f>HYPERLINK("https%3A%2F%2Fwww.webofscience.com%2Fwos%2Fwoscc%2Ffull-record%2FWOS:000711498900050","View Full Record in Web of Science")</f>
        <v>View Full Record in Web of Science</v>
      </c>
    </row>
    <row r="547" spans="1:72" x14ac:dyDescent="0.15">
      <c r="A547" t="s">
        <v>72</v>
      </c>
      <c r="B547" t="s">
        <v>10958</v>
      </c>
      <c r="C547" t="s">
        <v>74</v>
      </c>
      <c r="D547" t="s">
        <v>74</v>
      </c>
      <c r="E547" t="s">
        <v>74</v>
      </c>
      <c r="F547" t="s">
        <v>10959</v>
      </c>
      <c r="G547" t="s">
        <v>74</v>
      </c>
      <c r="H547" t="s">
        <v>74</v>
      </c>
      <c r="I547" t="s">
        <v>10960</v>
      </c>
      <c r="J547" t="s">
        <v>10961</v>
      </c>
      <c r="K547" t="s">
        <v>74</v>
      </c>
      <c r="L547" t="s">
        <v>74</v>
      </c>
      <c r="M547" t="s">
        <v>78</v>
      </c>
      <c r="N547" t="s">
        <v>79</v>
      </c>
      <c r="O547" t="s">
        <v>74</v>
      </c>
      <c r="P547" t="s">
        <v>74</v>
      </c>
      <c r="Q547" t="s">
        <v>74</v>
      </c>
      <c r="R547" t="s">
        <v>74</v>
      </c>
      <c r="S547" t="s">
        <v>74</v>
      </c>
      <c r="T547" t="s">
        <v>10962</v>
      </c>
      <c r="U547" t="s">
        <v>10963</v>
      </c>
      <c r="V547" t="s">
        <v>10964</v>
      </c>
      <c r="W547" t="s">
        <v>10965</v>
      </c>
      <c r="X547" t="s">
        <v>10966</v>
      </c>
      <c r="Y547" t="s">
        <v>10967</v>
      </c>
      <c r="Z547" t="s">
        <v>10968</v>
      </c>
      <c r="AA547" t="s">
        <v>10969</v>
      </c>
      <c r="AB547" t="s">
        <v>10970</v>
      </c>
      <c r="AC547" t="s">
        <v>10971</v>
      </c>
      <c r="AD547" t="s">
        <v>10972</v>
      </c>
      <c r="AE547" t="s">
        <v>10973</v>
      </c>
      <c r="AF547" t="s">
        <v>74</v>
      </c>
      <c r="AG547">
        <v>65</v>
      </c>
      <c r="AH547">
        <v>10</v>
      </c>
      <c r="AI547">
        <v>10</v>
      </c>
      <c r="AJ547">
        <v>2</v>
      </c>
      <c r="AK547">
        <v>27</v>
      </c>
      <c r="AL547" t="s">
        <v>10974</v>
      </c>
      <c r="AM547" t="s">
        <v>10975</v>
      </c>
      <c r="AN547" t="s">
        <v>10976</v>
      </c>
      <c r="AO547" t="s">
        <v>10977</v>
      </c>
      <c r="AP547" t="s">
        <v>10978</v>
      </c>
      <c r="AQ547" t="s">
        <v>74</v>
      </c>
      <c r="AR547" t="s">
        <v>10979</v>
      </c>
      <c r="AS547" t="s">
        <v>10980</v>
      </c>
      <c r="AT547" t="s">
        <v>7760</v>
      </c>
      <c r="AU547">
        <v>2021</v>
      </c>
      <c r="AV547">
        <v>20</v>
      </c>
      <c r="AW547">
        <v>5</v>
      </c>
      <c r="AX547" t="s">
        <v>74</v>
      </c>
      <c r="AY547" t="s">
        <v>74</v>
      </c>
      <c r="AZ547" t="s">
        <v>74</v>
      </c>
      <c r="BA547" t="s">
        <v>74</v>
      </c>
      <c r="BB547">
        <v>1215</v>
      </c>
      <c r="BC547">
        <v>1235</v>
      </c>
      <c r="BD547" t="s">
        <v>74</v>
      </c>
      <c r="BE547" t="s">
        <v>10981</v>
      </c>
      <c r="BF547" t="str">
        <f>HYPERLINK("http://dx.doi.org/10.1007/s11802-021-4740-1","http://dx.doi.org/10.1007/s11802-021-4740-1")</f>
        <v>http://dx.doi.org/10.1007/s11802-021-4740-1</v>
      </c>
      <c r="BG547" t="s">
        <v>74</v>
      </c>
      <c r="BH547" t="s">
        <v>74</v>
      </c>
      <c r="BI547">
        <v>21</v>
      </c>
      <c r="BJ547" t="s">
        <v>264</v>
      </c>
      <c r="BK547" t="s">
        <v>101</v>
      </c>
      <c r="BL547" t="s">
        <v>264</v>
      </c>
      <c r="BM547" t="s">
        <v>10982</v>
      </c>
      <c r="BN547" t="s">
        <v>74</v>
      </c>
      <c r="BO547" t="s">
        <v>74</v>
      </c>
      <c r="BP547" t="s">
        <v>74</v>
      </c>
      <c r="BQ547" t="s">
        <v>74</v>
      </c>
      <c r="BR547" t="s">
        <v>105</v>
      </c>
      <c r="BS547" t="s">
        <v>10983</v>
      </c>
      <c r="BT547" t="str">
        <f>HYPERLINK("https%3A%2F%2Fwww.webofscience.com%2Fwos%2Fwoscc%2Ffull-record%2FWOS:000682662400019","View Full Record in Web of Science")</f>
        <v>View Full Record in Web of Science</v>
      </c>
    </row>
    <row r="548" spans="1:72" x14ac:dyDescent="0.15">
      <c r="A548" t="s">
        <v>72</v>
      </c>
      <c r="B548" t="s">
        <v>10984</v>
      </c>
      <c r="C548" t="s">
        <v>74</v>
      </c>
      <c r="D548" t="s">
        <v>74</v>
      </c>
      <c r="E548" t="s">
        <v>74</v>
      </c>
      <c r="F548" t="s">
        <v>10985</v>
      </c>
      <c r="G548" t="s">
        <v>74</v>
      </c>
      <c r="H548" t="s">
        <v>74</v>
      </c>
      <c r="I548" t="s">
        <v>10986</v>
      </c>
      <c r="J548" t="s">
        <v>5086</v>
      </c>
      <c r="K548" t="s">
        <v>74</v>
      </c>
      <c r="L548" t="s">
        <v>74</v>
      </c>
      <c r="M548" t="s">
        <v>78</v>
      </c>
      <c r="N548" t="s">
        <v>79</v>
      </c>
      <c r="O548" t="s">
        <v>74</v>
      </c>
      <c r="P548" t="s">
        <v>74</v>
      </c>
      <c r="Q548" t="s">
        <v>74</v>
      </c>
      <c r="R548" t="s">
        <v>74</v>
      </c>
      <c r="S548" t="s">
        <v>74</v>
      </c>
      <c r="T548" t="s">
        <v>10987</v>
      </c>
      <c r="U548" t="s">
        <v>10988</v>
      </c>
      <c r="V548" t="s">
        <v>10989</v>
      </c>
      <c r="W548" t="s">
        <v>10990</v>
      </c>
      <c r="X548" t="s">
        <v>10991</v>
      </c>
      <c r="Y548" t="s">
        <v>10992</v>
      </c>
      <c r="Z548" t="s">
        <v>10993</v>
      </c>
      <c r="AA548" t="s">
        <v>10994</v>
      </c>
      <c r="AB548" t="s">
        <v>10995</v>
      </c>
      <c r="AC548" t="s">
        <v>10996</v>
      </c>
      <c r="AD548" t="s">
        <v>10997</v>
      </c>
      <c r="AE548" t="s">
        <v>10998</v>
      </c>
      <c r="AF548" t="s">
        <v>74</v>
      </c>
      <c r="AG548">
        <v>84</v>
      </c>
      <c r="AH548">
        <v>9</v>
      </c>
      <c r="AI548">
        <v>9</v>
      </c>
      <c r="AJ548">
        <v>3</v>
      </c>
      <c r="AK548">
        <v>15</v>
      </c>
      <c r="AL548" t="s">
        <v>760</v>
      </c>
      <c r="AM548" t="s">
        <v>438</v>
      </c>
      <c r="AN548" t="s">
        <v>761</v>
      </c>
      <c r="AO548" t="s">
        <v>5098</v>
      </c>
      <c r="AP548" t="s">
        <v>5099</v>
      </c>
      <c r="AQ548" t="s">
        <v>74</v>
      </c>
      <c r="AR548" t="s">
        <v>5100</v>
      </c>
      <c r="AS548" t="s">
        <v>5101</v>
      </c>
      <c r="AT548" t="s">
        <v>7760</v>
      </c>
      <c r="AU548">
        <v>2021</v>
      </c>
      <c r="AV548">
        <v>36</v>
      </c>
      <c r="AW548">
        <v>10</v>
      </c>
      <c r="AX548" t="s">
        <v>74</v>
      </c>
      <c r="AY548" t="s">
        <v>74</v>
      </c>
      <c r="AZ548" t="s">
        <v>74</v>
      </c>
      <c r="BA548" t="s">
        <v>74</v>
      </c>
      <c r="BB548" t="s">
        <v>74</v>
      </c>
      <c r="BC548" t="s">
        <v>74</v>
      </c>
      <c r="BD548" t="s">
        <v>10999</v>
      </c>
      <c r="BE548" t="s">
        <v>11000</v>
      </c>
      <c r="BF548" t="str">
        <f>HYPERLINK("http://dx.doi.org/10.1029/2021PA004288","http://dx.doi.org/10.1029/2021PA004288")</f>
        <v>http://dx.doi.org/10.1029/2021PA004288</v>
      </c>
      <c r="BG548" t="s">
        <v>74</v>
      </c>
      <c r="BH548" t="s">
        <v>74</v>
      </c>
      <c r="BI548">
        <v>17</v>
      </c>
      <c r="BJ548" t="s">
        <v>5104</v>
      </c>
      <c r="BK548" t="s">
        <v>101</v>
      </c>
      <c r="BL548" t="s">
        <v>5105</v>
      </c>
      <c r="BM548" t="s">
        <v>10484</v>
      </c>
      <c r="BN548" t="s">
        <v>74</v>
      </c>
      <c r="BO548" t="s">
        <v>2470</v>
      </c>
      <c r="BP548" t="s">
        <v>74</v>
      </c>
      <c r="BQ548" t="s">
        <v>74</v>
      </c>
      <c r="BR548" t="s">
        <v>105</v>
      </c>
      <c r="BS548" t="s">
        <v>11001</v>
      </c>
      <c r="BT548" t="str">
        <f>HYPERLINK("https%3A%2F%2Fwww.webofscience.com%2Fwos%2Fwoscc%2Ffull-record%2FWOS:000711966000008","View Full Record in Web of Science")</f>
        <v>View Full Record in Web of Science</v>
      </c>
    </row>
    <row r="549" spans="1:72" x14ac:dyDescent="0.15">
      <c r="A549" t="s">
        <v>72</v>
      </c>
      <c r="B549" t="s">
        <v>11002</v>
      </c>
      <c r="C549" t="s">
        <v>74</v>
      </c>
      <c r="D549" t="s">
        <v>74</v>
      </c>
      <c r="E549" t="s">
        <v>74</v>
      </c>
      <c r="F549" t="s">
        <v>11003</v>
      </c>
      <c r="G549" t="s">
        <v>74</v>
      </c>
      <c r="H549" t="s">
        <v>74</v>
      </c>
      <c r="I549" t="s">
        <v>11004</v>
      </c>
      <c r="J549" t="s">
        <v>453</v>
      </c>
      <c r="K549" t="s">
        <v>74</v>
      </c>
      <c r="L549" t="s">
        <v>74</v>
      </c>
      <c r="M549" t="s">
        <v>78</v>
      </c>
      <c r="N549" t="s">
        <v>79</v>
      </c>
      <c r="O549" t="s">
        <v>74</v>
      </c>
      <c r="P549" t="s">
        <v>74</v>
      </c>
      <c r="Q549" t="s">
        <v>74</v>
      </c>
      <c r="R549" t="s">
        <v>74</v>
      </c>
      <c r="S549" t="s">
        <v>74</v>
      </c>
      <c r="T549" t="s">
        <v>74</v>
      </c>
      <c r="U549" t="s">
        <v>11005</v>
      </c>
      <c r="V549" t="s">
        <v>11006</v>
      </c>
      <c r="W549" t="s">
        <v>11007</v>
      </c>
      <c r="X549" t="s">
        <v>11008</v>
      </c>
      <c r="Y549" t="s">
        <v>11009</v>
      </c>
      <c r="Z549" t="s">
        <v>11010</v>
      </c>
      <c r="AA549" t="s">
        <v>11011</v>
      </c>
      <c r="AB549" t="s">
        <v>11012</v>
      </c>
      <c r="AC549" t="s">
        <v>11013</v>
      </c>
      <c r="AD549" t="s">
        <v>11014</v>
      </c>
      <c r="AE549" t="s">
        <v>11015</v>
      </c>
      <c r="AF549" t="s">
        <v>74</v>
      </c>
      <c r="AG549">
        <v>107</v>
      </c>
      <c r="AH549">
        <v>19</v>
      </c>
      <c r="AI549">
        <v>20</v>
      </c>
      <c r="AJ549">
        <v>0</v>
      </c>
      <c r="AK549">
        <v>5</v>
      </c>
      <c r="AL549" t="s">
        <v>464</v>
      </c>
      <c r="AM549" t="s">
        <v>465</v>
      </c>
      <c r="AN549" t="s">
        <v>466</v>
      </c>
      <c r="AO549" t="s">
        <v>467</v>
      </c>
      <c r="AP549" t="s">
        <v>468</v>
      </c>
      <c r="AQ549" t="s">
        <v>74</v>
      </c>
      <c r="AR549" t="s">
        <v>469</v>
      </c>
      <c r="AS549" t="s">
        <v>470</v>
      </c>
      <c r="AT549" t="s">
        <v>10375</v>
      </c>
      <c r="AU549">
        <v>2021</v>
      </c>
      <c r="AV549">
        <v>104</v>
      </c>
      <c r="AW549">
        <v>8</v>
      </c>
      <c r="AX549" t="s">
        <v>74</v>
      </c>
      <c r="AY549" t="s">
        <v>74</v>
      </c>
      <c r="AZ549" t="s">
        <v>74</v>
      </c>
      <c r="BA549" t="s">
        <v>74</v>
      </c>
      <c r="BB549" t="s">
        <v>74</v>
      </c>
      <c r="BC549" t="s">
        <v>74</v>
      </c>
      <c r="BD549">
        <v>83002</v>
      </c>
      <c r="BE549" t="s">
        <v>11016</v>
      </c>
      <c r="BF549" t="str">
        <f>HYPERLINK("http://dx.doi.org/10.1103/PhysRevD.104.083002","http://dx.doi.org/10.1103/PhysRevD.104.083002")</f>
        <v>http://dx.doi.org/10.1103/PhysRevD.104.083002</v>
      </c>
      <c r="BG549" t="s">
        <v>74</v>
      </c>
      <c r="BH549" t="s">
        <v>74</v>
      </c>
      <c r="BI549">
        <v>14</v>
      </c>
      <c r="BJ549" t="s">
        <v>472</v>
      </c>
      <c r="BK549" t="s">
        <v>101</v>
      </c>
      <c r="BL549" t="s">
        <v>473</v>
      </c>
      <c r="BM549" t="s">
        <v>11017</v>
      </c>
      <c r="BN549" t="s">
        <v>74</v>
      </c>
      <c r="BO549" t="s">
        <v>367</v>
      </c>
      <c r="BP549" t="s">
        <v>74</v>
      </c>
      <c r="BQ549" t="s">
        <v>74</v>
      </c>
      <c r="BR549" t="s">
        <v>105</v>
      </c>
      <c r="BS549" t="s">
        <v>11018</v>
      </c>
      <c r="BT549" t="str">
        <f>HYPERLINK("https%3A%2F%2Fwww.webofscience.com%2Fwos%2Fwoscc%2Ffull-record%2FWOS:000704632300004","View Full Record in Web of Science")</f>
        <v>View Full Record in Web of Science</v>
      </c>
    </row>
    <row r="550" spans="1:72" x14ac:dyDescent="0.15">
      <c r="A550" t="s">
        <v>72</v>
      </c>
      <c r="B550" t="s">
        <v>11019</v>
      </c>
      <c r="C550" t="s">
        <v>74</v>
      </c>
      <c r="D550" t="s">
        <v>74</v>
      </c>
      <c r="E550" t="s">
        <v>74</v>
      </c>
      <c r="F550" t="s">
        <v>11020</v>
      </c>
      <c r="G550" t="s">
        <v>74</v>
      </c>
      <c r="H550" t="s">
        <v>74</v>
      </c>
      <c r="I550" t="s">
        <v>11021</v>
      </c>
      <c r="J550" t="s">
        <v>11022</v>
      </c>
      <c r="K550" t="s">
        <v>74</v>
      </c>
      <c r="L550" t="s">
        <v>74</v>
      </c>
      <c r="M550" t="s">
        <v>78</v>
      </c>
      <c r="N550" t="s">
        <v>79</v>
      </c>
      <c r="O550" t="s">
        <v>74</v>
      </c>
      <c r="P550" t="s">
        <v>74</v>
      </c>
      <c r="Q550" t="s">
        <v>74</v>
      </c>
      <c r="R550" t="s">
        <v>74</v>
      </c>
      <c r="S550" t="s">
        <v>74</v>
      </c>
      <c r="T550" t="s">
        <v>11023</v>
      </c>
      <c r="U550" t="s">
        <v>11024</v>
      </c>
      <c r="V550" t="s">
        <v>11025</v>
      </c>
      <c r="W550" t="s">
        <v>11026</v>
      </c>
      <c r="X550" t="s">
        <v>11027</v>
      </c>
      <c r="Y550" t="s">
        <v>11028</v>
      </c>
      <c r="Z550" t="s">
        <v>11029</v>
      </c>
      <c r="AA550" t="s">
        <v>11030</v>
      </c>
      <c r="AB550" t="s">
        <v>11031</v>
      </c>
      <c r="AC550" t="s">
        <v>74</v>
      </c>
      <c r="AD550" t="s">
        <v>74</v>
      </c>
      <c r="AE550" t="s">
        <v>74</v>
      </c>
      <c r="AF550" t="s">
        <v>74</v>
      </c>
      <c r="AG550">
        <v>104</v>
      </c>
      <c r="AH550">
        <v>4</v>
      </c>
      <c r="AI550">
        <v>4</v>
      </c>
      <c r="AJ550">
        <v>0</v>
      </c>
      <c r="AK550">
        <v>1</v>
      </c>
      <c r="AL550" t="s">
        <v>847</v>
      </c>
      <c r="AM550" t="s">
        <v>848</v>
      </c>
      <c r="AN550" t="s">
        <v>849</v>
      </c>
      <c r="AO550" t="s">
        <v>11032</v>
      </c>
      <c r="AP550" t="s">
        <v>74</v>
      </c>
      <c r="AQ550" t="s">
        <v>74</v>
      </c>
      <c r="AR550" t="s">
        <v>11033</v>
      </c>
      <c r="AS550" t="s">
        <v>11034</v>
      </c>
      <c r="AT550" t="s">
        <v>7760</v>
      </c>
      <c r="AU550">
        <v>2021</v>
      </c>
      <c r="AV550">
        <v>4</v>
      </c>
      <c r="AW550" t="s">
        <v>74</v>
      </c>
      <c r="AX550" t="s">
        <v>74</v>
      </c>
      <c r="AY550" t="s">
        <v>74</v>
      </c>
      <c r="AZ550" t="s">
        <v>74</v>
      </c>
      <c r="BA550" t="s">
        <v>74</v>
      </c>
      <c r="BB550" t="s">
        <v>74</v>
      </c>
      <c r="BC550" t="s">
        <v>74</v>
      </c>
      <c r="BD550">
        <v>100029</v>
      </c>
      <c r="BE550" t="s">
        <v>11035</v>
      </c>
      <c r="BF550" t="str">
        <f>HYPERLINK("http://dx.doi.org/10.1016/j.qsa.2021.100029","http://dx.doi.org/10.1016/j.qsa.2021.100029")</f>
        <v>http://dx.doi.org/10.1016/j.qsa.2021.100029</v>
      </c>
      <c r="BG550" t="s">
        <v>74</v>
      </c>
      <c r="BH550" t="s">
        <v>74</v>
      </c>
      <c r="BI550">
        <v>18</v>
      </c>
      <c r="BJ550" t="s">
        <v>340</v>
      </c>
      <c r="BK550" t="s">
        <v>1629</v>
      </c>
      <c r="BL550" t="s">
        <v>341</v>
      </c>
      <c r="BM550" t="s">
        <v>11036</v>
      </c>
      <c r="BN550" t="s">
        <v>74</v>
      </c>
      <c r="BO550" t="s">
        <v>210</v>
      </c>
      <c r="BP550" t="s">
        <v>74</v>
      </c>
      <c r="BQ550" t="s">
        <v>74</v>
      </c>
      <c r="BR550" t="s">
        <v>105</v>
      </c>
      <c r="BS550" t="s">
        <v>11037</v>
      </c>
      <c r="BT550" t="str">
        <f>HYPERLINK("https%3A%2F%2Fwww.webofscience.com%2Fwos%2Fwoscc%2Ffull-record%2FWOS:000903536200002","View Full Record in Web of Science")</f>
        <v>View Full Record in Web of Science</v>
      </c>
    </row>
    <row r="551" spans="1:72" x14ac:dyDescent="0.15">
      <c r="A551" t="s">
        <v>72</v>
      </c>
      <c r="B551" t="s">
        <v>11038</v>
      </c>
      <c r="C551" t="s">
        <v>74</v>
      </c>
      <c r="D551" t="s">
        <v>74</v>
      </c>
      <c r="E551" t="s">
        <v>74</v>
      </c>
      <c r="F551" t="s">
        <v>11039</v>
      </c>
      <c r="G551" t="s">
        <v>74</v>
      </c>
      <c r="H551" t="s">
        <v>11040</v>
      </c>
      <c r="I551" t="s">
        <v>11041</v>
      </c>
      <c r="J551" t="s">
        <v>11042</v>
      </c>
      <c r="K551" t="s">
        <v>74</v>
      </c>
      <c r="L551" t="s">
        <v>74</v>
      </c>
      <c r="M551" t="s">
        <v>78</v>
      </c>
      <c r="N551" t="s">
        <v>79</v>
      </c>
      <c r="O551" t="s">
        <v>74</v>
      </c>
      <c r="P551" t="s">
        <v>74</v>
      </c>
      <c r="Q551" t="s">
        <v>74</v>
      </c>
      <c r="R551" t="s">
        <v>74</v>
      </c>
      <c r="S551" t="s">
        <v>74</v>
      </c>
      <c r="T551" t="s">
        <v>11043</v>
      </c>
      <c r="U551" t="s">
        <v>11044</v>
      </c>
      <c r="V551" t="s">
        <v>11045</v>
      </c>
      <c r="W551" t="s">
        <v>11046</v>
      </c>
      <c r="X551" t="s">
        <v>11047</v>
      </c>
      <c r="Y551" t="s">
        <v>11048</v>
      </c>
      <c r="Z551" t="s">
        <v>11049</v>
      </c>
      <c r="AA551" t="s">
        <v>74</v>
      </c>
      <c r="AB551" t="s">
        <v>11050</v>
      </c>
      <c r="AC551" t="s">
        <v>11051</v>
      </c>
      <c r="AD551" t="s">
        <v>11052</v>
      </c>
      <c r="AE551" t="s">
        <v>11053</v>
      </c>
      <c r="AF551" t="s">
        <v>74</v>
      </c>
      <c r="AG551">
        <v>30</v>
      </c>
      <c r="AH551">
        <v>1</v>
      </c>
      <c r="AI551">
        <v>1</v>
      </c>
      <c r="AJ551">
        <v>1</v>
      </c>
      <c r="AK551">
        <v>2</v>
      </c>
      <c r="AL551" t="s">
        <v>666</v>
      </c>
      <c r="AM551" t="s">
        <v>170</v>
      </c>
      <c r="AN551" t="s">
        <v>667</v>
      </c>
      <c r="AO551" t="s">
        <v>11054</v>
      </c>
      <c r="AP551" t="s">
        <v>11055</v>
      </c>
      <c r="AQ551" t="s">
        <v>74</v>
      </c>
      <c r="AR551" t="s">
        <v>11042</v>
      </c>
      <c r="AS551" t="s">
        <v>11056</v>
      </c>
      <c r="AT551" t="s">
        <v>7760</v>
      </c>
      <c r="AU551">
        <v>2021</v>
      </c>
      <c r="AV551">
        <v>63</v>
      </c>
      <c r="AW551">
        <v>5</v>
      </c>
      <c r="AX551" t="s">
        <v>74</v>
      </c>
      <c r="AY551" t="s">
        <v>74</v>
      </c>
      <c r="AZ551" t="s">
        <v>74</v>
      </c>
      <c r="BA551" t="s">
        <v>74</v>
      </c>
      <c r="BB551">
        <v>1555</v>
      </c>
      <c r="BC551">
        <v>1568</v>
      </c>
      <c r="BD551" t="s">
        <v>74</v>
      </c>
      <c r="BE551" t="s">
        <v>11057</v>
      </c>
      <c r="BF551" t="str">
        <f>HYPERLINK("http://dx.doi.org/10.1017/RDC.2021.55","http://dx.doi.org/10.1017/RDC.2021.55")</f>
        <v>http://dx.doi.org/10.1017/RDC.2021.55</v>
      </c>
      <c r="BG551" t="s">
        <v>74</v>
      </c>
      <c r="BH551" t="s">
        <v>74</v>
      </c>
      <c r="BI551">
        <v>14</v>
      </c>
      <c r="BJ551" t="s">
        <v>365</v>
      </c>
      <c r="BK551" t="s">
        <v>101</v>
      </c>
      <c r="BL551" t="s">
        <v>365</v>
      </c>
      <c r="BM551" t="s">
        <v>11058</v>
      </c>
      <c r="BN551" t="s">
        <v>74</v>
      </c>
      <c r="BO551" t="s">
        <v>74</v>
      </c>
      <c r="BP551" t="s">
        <v>74</v>
      </c>
      <c r="BQ551" t="s">
        <v>74</v>
      </c>
      <c r="BR551" t="s">
        <v>105</v>
      </c>
      <c r="BS551" t="s">
        <v>11059</v>
      </c>
      <c r="BT551" t="str">
        <f>HYPERLINK("https%3A%2F%2Fwww.webofscience.com%2Fwos%2Fwoscc%2Ffull-record%2FWOS:000718989700012","View Full Record in Web of Science")</f>
        <v>View Full Record in Web of Science</v>
      </c>
    </row>
    <row r="552" spans="1:72" x14ac:dyDescent="0.15">
      <c r="A552" t="s">
        <v>72</v>
      </c>
      <c r="B552" t="s">
        <v>11060</v>
      </c>
      <c r="C552" t="s">
        <v>74</v>
      </c>
      <c r="D552" t="s">
        <v>74</v>
      </c>
      <c r="E552" t="s">
        <v>74</v>
      </c>
      <c r="F552" t="s">
        <v>11061</v>
      </c>
      <c r="G552" t="s">
        <v>74</v>
      </c>
      <c r="H552" t="s">
        <v>74</v>
      </c>
      <c r="I552" t="s">
        <v>11062</v>
      </c>
      <c r="J552" t="s">
        <v>981</v>
      </c>
      <c r="K552" t="s">
        <v>74</v>
      </c>
      <c r="L552" t="s">
        <v>74</v>
      </c>
      <c r="M552" t="s">
        <v>78</v>
      </c>
      <c r="N552" t="s">
        <v>79</v>
      </c>
      <c r="O552" t="s">
        <v>74</v>
      </c>
      <c r="P552" t="s">
        <v>74</v>
      </c>
      <c r="Q552" t="s">
        <v>74</v>
      </c>
      <c r="R552" t="s">
        <v>74</v>
      </c>
      <c r="S552" t="s">
        <v>74</v>
      </c>
      <c r="T552" t="s">
        <v>11063</v>
      </c>
      <c r="U552" t="s">
        <v>11064</v>
      </c>
      <c r="V552" t="s">
        <v>11065</v>
      </c>
      <c r="W552" t="s">
        <v>11066</v>
      </c>
      <c r="X552" t="s">
        <v>11067</v>
      </c>
      <c r="Y552" t="s">
        <v>11068</v>
      </c>
      <c r="Z552" t="s">
        <v>11069</v>
      </c>
      <c r="AA552" t="s">
        <v>11070</v>
      </c>
      <c r="AB552" t="s">
        <v>11071</v>
      </c>
      <c r="AC552" t="s">
        <v>11072</v>
      </c>
      <c r="AD552" t="s">
        <v>11073</v>
      </c>
      <c r="AE552" t="s">
        <v>11074</v>
      </c>
      <c r="AF552" t="s">
        <v>74</v>
      </c>
      <c r="AG552">
        <v>74</v>
      </c>
      <c r="AH552">
        <v>7</v>
      </c>
      <c r="AI552">
        <v>7</v>
      </c>
      <c r="AJ552">
        <v>0</v>
      </c>
      <c r="AK552">
        <v>8</v>
      </c>
      <c r="AL552" t="s">
        <v>666</v>
      </c>
      <c r="AM552" t="s">
        <v>994</v>
      </c>
      <c r="AN552" t="s">
        <v>995</v>
      </c>
      <c r="AO552" t="s">
        <v>996</v>
      </c>
      <c r="AP552" t="s">
        <v>997</v>
      </c>
      <c r="AQ552" t="s">
        <v>74</v>
      </c>
      <c r="AR552" t="s">
        <v>998</v>
      </c>
      <c r="AS552" t="s">
        <v>999</v>
      </c>
      <c r="AT552" t="s">
        <v>7760</v>
      </c>
      <c r="AU552">
        <v>2021</v>
      </c>
      <c r="AV552">
        <v>67</v>
      </c>
      <c r="AW552">
        <v>265</v>
      </c>
      <c r="AX552" t="s">
        <v>74</v>
      </c>
      <c r="AY552" t="s">
        <v>74</v>
      </c>
      <c r="AZ552" t="s">
        <v>74</v>
      </c>
      <c r="BA552" t="s">
        <v>74</v>
      </c>
      <c r="BB552">
        <v>777</v>
      </c>
      <c r="BC552">
        <v>787</v>
      </c>
      <c r="BD552" t="s">
        <v>74</v>
      </c>
      <c r="BE552" t="s">
        <v>11075</v>
      </c>
      <c r="BF552" t="str">
        <f>HYPERLINK("http://dx.doi.org/10.1017/jog.2021.21","http://dx.doi.org/10.1017/jog.2021.21")</f>
        <v>http://dx.doi.org/10.1017/jog.2021.21</v>
      </c>
      <c r="BG552" t="s">
        <v>74</v>
      </c>
      <c r="BH552" t="s">
        <v>74</v>
      </c>
      <c r="BI552">
        <v>11</v>
      </c>
      <c r="BJ552" t="s">
        <v>340</v>
      </c>
      <c r="BK552" t="s">
        <v>101</v>
      </c>
      <c r="BL552" t="s">
        <v>341</v>
      </c>
      <c r="BM552" t="s">
        <v>11076</v>
      </c>
      <c r="BN552" t="s">
        <v>74</v>
      </c>
      <c r="BO552" t="s">
        <v>1094</v>
      </c>
      <c r="BP552" t="s">
        <v>74</v>
      </c>
      <c r="BQ552" t="s">
        <v>74</v>
      </c>
      <c r="BR552" t="s">
        <v>105</v>
      </c>
      <c r="BS552" t="s">
        <v>11077</v>
      </c>
      <c r="BT552" t="str">
        <f>HYPERLINK("https%3A%2F%2Fwww.webofscience.com%2Fwos%2Fwoscc%2Ffull-record%2FWOS:000695957300003","View Full Record in Web of Science")</f>
        <v>View Full Record in Web of Science</v>
      </c>
    </row>
    <row r="553" spans="1:72" x14ac:dyDescent="0.15">
      <c r="A553" t="s">
        <v>72</v>
      </c>
      <c r="B553" t="s">
        <v>11078</v>
      </c>
      <c r="C553" t="s">
        <v>74</v>
      </c>
      <c r="D553" t="s">
        <v>74</v>
      </c>
      <c r="E553" t="s">
        <v>74</v>
      </c>
      <c r="F553" t="s">
        <v>11079</v>
      </c>
      <c r="G553" t="s">
        <v>74</v>
      </c>
      <c r="H553" t="s">
        <v>74</v>
      </c>
      <c r="I553" t="s">
        <v>11080</v>
      </c>
      <c r="J553" t="s">
        <v>981</v>
      </c>
      <c r="K553" t="s">
        <v>74</v>
      </c>
      <c r="L553" t="s">
        <v>74</v>
      </c>
      <c r="M553" t="s">
        <v>78</v>
      </c>
      <c r="N553" t="s">
        <v>79</v>
      </c>
      <c r="O553" t="s">
        <v>74</v>
      </c>
      <c r="P553" t="s">
        <v>74</v>
      </c>
      <c r="Q553" t="s">
        <v>74</v>
      </c>
      <c r="R553" t="s">
        <v>74</v>
      </c>
      <c r="S553" t="s">
        <v>74</v>
      </c>
      <c r="T553" t="s">
        <v>11081</v>
      </c>
      <c r="U553" t="s">
        <v>11082</v>
      </c>
      <c r="V553" t="s">
        <v>11083</v>
      </c>
      <c r="W553" t="s">
        <v>11084</v>
      </c>
      <c r="X553" t="s">
        <v>11085</v>
      </c>
      <c r="Y553" t="s">
        <v>11086</v>
      </c>
      <c r="Z553" t="s">
        <v>11087</v>
      </c>
      <c r="AA553" t="s">
        <v>11088</v>
      </c>
      <c r="AB553" t="s">
        <v>11089</v>
      </c>
      <c r="AC553" t="s">
        <v>11090</v>
      </c>
      <c r="AD553" t="s">
        <v>11091</v>
      </c>
      <c r="AE553" t="s">
        <v>11092</v>
      </c>
      <c r="AF553" t="s">
        <v>74</v>
      </c>
      <c r="AG553">
        <v>28</v>
      </c>
      <c r="AH553">
        <v>5</v>
      </c>
      <c r="AI553">
        <v>5</v>
      </c>
      <c r="AJ553">
        <v>0</v>
      </c>
      <c r="AK553">
        <v>4</v>
      </c>
      <c r="AL553" t="s">
        <v>666</v>
      </c>
      <c r="AM553" t="s">
        <v>994</v>
      </c>
      <c r="AN553" t="s">
        <v>995</v>
      </c>
      <c r="AO553" t="s">
        <v>996</v>
      </c>
      <c r="AP553" t="s">
        <v>997</v>
      </c>
      <c r="AQ553" t="s">
        <v>74</v>
      </c>
      <c r="AR553" t="s">
        <v>998</v>
      </c>
      <c r="AS553" t="s">
        <v>999</v>
      </c>
      <c r="AT553" t="s">
        <v>7760</v>
      </c>
      <c r="AU553">
        <v>2021</v>
      </c>
      <c r="AV553">
        <v>67</v>
      </c>
      <c r="AW553">
        <v>265</v>
      </c>
      <c r="AX553" t="s">
        <v>74</v>
      </c>
      <c r="AY553" t="s">
        <v>74</v>
      </c>
      <c r="AZ553" t="s">
        <v>74</v>
      </c>
      <c r="BA553" t="s">
        <v>74</v>
      </c>
      <c r="BB553">
        <v>903</v>
      </c>
      <c r="BC553">
        <v>908</v>
      </c>
      <c r="BD553" t="s">
        <v>11093</v>
      </c>
      <c r="BE553" t="s">
        <v>11094</v>
      </c>
      <c r="BF553" t="str">
        <f>HYPERLINK("http://dx.doi.org/10.1017/jog.2021.40","http://dx.doi.org/10.1017/jog.2021.40")</f>
        <v>http://dx.doi.org/10.1017/jog.2021.40</v>
      </c>
      <c r="BG553" t="s">
        <v>74</v>
      </c>
      <c r="BH553" t="s">
        <v>74</v>
      </c>
      <c r="BI553">
        <v>6</v>
      </c>
      <c r="BJ553" t="s">
        <v>340</v>
      </c>
      <c r="BK553" t="s">
        <v>101</v>
      </c>
      <c r="BL553" t="s">
        <v>341</v>
      </c>
      <c r="BM553" t="s">
        <v>11076</v>
      </c>
      <c r="BN553" t="s">
        <v>74</v>
      </c>
      <c r="BO553" t="s">
        <v>210</v>
      </c>
      <c r="BP553" t="s">
        <v>74</v>
      </c>
      <c r="BQ553" t="s">
        <v>74</v>
      </c>
      <c r="BR553" t="s">
        <v>105</v>
      </c>
      <c r="BS553" t="s">
        <v>11095</v>
      </c>
      <c r="BT553" t="str">
        <f>HYPERLINK("https%3A%2F%2Fwww.webofscience.com%2Fwos%2Fwoscc%2Ffull-record%2FWOS:000695957300013","View Full Record in Web of Science")</f>
        <v>View Full Record in Web of Science</v>
      </c>
    </row>
    <row r="554" spans="1:72" x14ac:dyDescent="0.15">
      <c r="A554" t="s">
        <v>72</v>
      </c>
      <c r="B554" t="s">
        <v>11096</v>
      </c>
      <c r="C554" t="s">
        <v>74</v>
      </c>
      <c r="D554" t="s">
        <v>74</v>
      </c>
      <c r="E554" t="s">
        <v>74</v>
      </c>
      <c r="F554" t="s">
        <v>11097</v>
      </c>
      <c r="G554" t="s">
        <v>74</v>
      </c>
      <c r="H554" t="s">
        <v>74</v>
      </c>
      <c r="I554" t="s">
        <v>11098</v>
      </c>
      <c r="J554" t="s">
        <v>981</v>
      </c>
      <c r="K554" t="s">
        <v>74</v>
      </c>
      <c r="L554" t="s">
        <v>74</v>
      </c>
      <c r="M554" t="s">
        <v>78</v>
      </c>
      <c r="N554" t="s">
        <v>79</v>
      </c>
      <c r="O554" t="s">
        <v>74</v>
      </c>
      <c r="P554" t="s">
        <v>74</v>
      </c>
      <c r="Q554" t="s">
        <v>74</v>
      </c>
      <c r="R554" t="s">
        <v>74</v>
      </c>
      <c r="S554" t="s">
        <v>74</v>
      </c>
      <c r="T554" t="s">
        <v>11099</v>
      </c>
      <c r="U554" t="s">
        <v>11100</v>
      </c>
      <c r="V554" t="s">
        <v>11101</v>
      </c>
      <c r="W554" t="s">
        <v>11102</v>
      </c>
      <c r="X554" t="s">
        <v>11103</v>
      </c>
      <c r="Y554" t="s">
        <v>11104</v>
      </c>
      <c r="Z554" t="s">
        <v>11105</v>
      </c>
      <c r="AA554" t="s">
        <v>11106</v>
      </c>
      <c r="AB554" t="s">
        <v>11107</v>
      </c>
      <c r="AC554" t="s">
        <v>11108</v>
      </c>
      <c r="AD554" t="s">
        <v>11109</v>
      </c>
      <c r="AE554" t="s">
        <v>11110</v>
      </c>
      <c r="AF554" t="s">
        <v>74</v>
      </c>
      <c r="AG554">
        <v>103</v>
      </c>
      <c r="AH554">
        <v>10</v>
      </c>
      <c r="AI554">
        <v>10</v>
      </c>
      <c r="AJ554">
        <v>0</v>
      </c>
      <c r="AK554">
        <v>8</v>
      </c>
      <c r="AL554" t="s">
        <v>666</v>
      </c>
      <c r="AM554" t="s">
        <v>994</v>
      </c>
      <c r="AN554" t="s">
        <v>995</v>
      </c>
      <c r="AO554" t="s">
        <v>996</v>
      </c>
      <c r="AP554" t="s">
        <v>997</v>
      </c>
      <c r="AQ554" t="s">
        <v>74</v>
      </c>
      <c r="AR554" t="s">
        <v>998</v>
      </c>
      <c r="AS554" t="s">
        <v>999</v>
      </c>
      <c r="AT554" t="s">
        <v>7760</v>
      </c>
      <c r="AU554">
        <v>2021</v>
      </c>
      <c r="AV554">
        <v>67</v>
      </c>
      <c r="AW554">
        <v>265</v>
      </c>
      <c r="AX554" t="s">
        <v>74</v>
      </c>
      <c r="AY554" t="s">
        <v>74</v>
      </c>
      <c r="AZ554" t="s">
        <v>74</v>
      </c>
      <c r="BA554" t="s">
        <v>74</v>
      </c>
      <c r="BB554">
        <v>933</v>
      </c>
      <c r="BC554">
        <v>951</v>
      </c>
      <c r="BD554" t="s">
        <v>74</v>
      </c>
      <c r="BE554" t="s">
        <v>11111</v>
      </c>
      <c r="BF554" t="str">
        <f>HYPERLINK("http://dx.doi.org/10.1017/jog.2021.45","http://dx.doi.org/10.1017/jog.2021.45")</f>
        <v>http://dx.doi.org/10.1017/jog.2021.45</v>
      </c>
      <c r="BG554" t="s">
        <v>74</v>
      </c>
      <c r="BH554" t="s">
        <v>74</v>
      </c>
      <c r="BI554">
        <v>19</v>
      </c>
      <c r="BJ554" t="s">
        <v>340</v>
      </c>
      <c r="BK554" t="s">
        <v>101</v>
      </c>
      <c r="BL554" t="s">
        <v>341</v>
      </c>
      <c r="BM554" t="s">
        <v>11076</v>
      </c>
      <c r="BN554" t="s">
        <v>74</v>
      </c>
      <c r="BO554" t="s">
        <v>1248</v>
      </c>
      <c r="BP554" t="s">
        <v>74</v>
      </c>
      <c r="BQ554" t="s">
        <v>74</v>
      </c>
      <c r="BR554" t="s">
        <v>105</v>
      </c>
      <c r="BS554" t="s">
        <v>11112</v>
      </c>
      <c r="BT554" t="str">
        <f>HYPERLINK("https%3A%2F%2Fwww.webofscience.com%2Fwos%2Fwoscc%2Ffull-record%2FWOS:000695957300016","View Full Record in Web of Science")</f>
        <v>View Full Record in Web of Science</v>
      </c>
    </row>
    <row r="555" spans="1:72" x14ac:dyDescent="0.15">
      <c r="A555" t="s">
        <v>72</v>
      </c>
      <c r="B555" t="s">
        <v>11113</v>
      </c>
      <c r="C555" t="s">
        <v>74</v>
      </c>
      <c r="D555" t="s">
        <v>74</v>
      </c>
      <c r="E555" t="s">
        <v>74</v>
      </c>
      <c r="F555" t="s">
        <v>11114</v>
      </c>
      <c r="G555" t="s">
        <v>74</v>
      </c>
      <c r="H555" t="s">
        <v>74</v>
      </c>
      <c r="I555" t="s">
        <v>11115</v>
      </c>
      <c r="J555" t="s">
        <v>11116</v>
      </c>
      <c r="K555" t="s">
        <v>74</v>
      </c>
      <c r="L555" t="s">
        <v>74</v>
      </c>
      <c r="M555" t="s">
        <v>78</v>
      </c>
      <c r="N555" t="s">
        <v>373</v>
      </c>
      <c r="O555" t="s">
        <v>74</v>
      </c>
      <c r="P555" t="s">
        <v>74</v>
      </c>
      <c r="Q555" t="s">
        <v>74</v>
      </c>
      <c r="R555" t="s">
        <v>74</v>
      </c>
      <c r="S555" t="s">
        <v>74</v>
      </c>
      <c r="T555" t="s">
        <v>11117</v>
      </c>
      <c r="U555" t="s">
        <v>11118</v>
      </c>
      <c r="V555" t="s">
        <v>11119</v>
      </c>
      <c r="W555" t="s">
        <v>11120</v>
      </c>
      <c r="X555" t="s">
        <v>11121</v>
      </c>
      <c r="Y555" t="s">
        <v>11122</v>
      </c>
      <c r="Z555" t="s">
        <v>11123</v>
      </c>
      <c r="AA555" t="s">
        <v>11124</v>
      </c>
      <c r="AB555" t="s">
        <v>11125</v>
      </c>
      <c r="AC555" t="s">
        <v>11126</v>
      </c>
      <c r="AD555" t="s">
        <v>11127</v>
      </c>
      <c r="AE555" t="s">
        <v>11128</v>
      </c>
      <c r="AF555" t="s">
        <v>74</v>
      </c>
      <c r="AG555">
        <v>151</v>
      </c>
      <c r="AH555">
        <v>15</v>
      </c>
      <c r="AI555">
        <v>15</v>
      </c>
      <c r="AJ555">
        <v>14</v>
      </c>
      <c r="AK555">
        <v>87</v>
      </c>
      <c r="AL555" t="s">
        <v>118</v>
      </c>
      <c r="AM555" t="s">
        <v>119</v>
      </c>
      <c r="AN555" t="s">
        <v>120</v>
      </c>
      <c r="AO555" t="s">
        <v>11129</v>
      </c>
      <c r="AP555" t="s">
        <v>11130</v>
      </c>
      <c r="AQ555" t="s">
        <v>74</v>
      </c>
      <c r="AR555" t="s">
        <v>11116</v>
      </c>
      <c r="AS555" t="s">
        <v>11131</v>
      </c>
      <c r="AT555" t="s">
        <v>7760</v>
      </c>
      <c r="AU555">
        <v>2021</v>
      </c>
      <c r="AV555">
        <v>11</v>
      </c>
      <c r="AW555">
        <v>10</v>
      </c>
      <c r="AX555" t="s">
        <v>74</v>
      </c>
      <c r="AY555" t="s">
        <v>74</v>
      </c>
      <c r="AZ555" t="s">
        <v>74</v>
      </c>
      <c r="BA555" t="s">
        <v>74</v>
      </c>
      <c r="BB555" t="s">
        <v>74</v>
      </c>
      <c r="BC555" t="s">
        <v>74</v>
      </c>
      <c r="BD555">
        <v>426</v>
      </c>
      <c r="BE555" t="s">
        <v>11132</v>
      </c>
      <c r="BF555" t="str">
        <f>HYPERLINK("http://dx.doi.org/10.1007/s13205-021-02929-y","http://dx.doi.org/10.1007/s13205-021-02929-y")</f>
        <v>http://dx.doi.org/10.1007/s13205-021-02929-y</v>
      </c>
      <c r="BG555" t="s">
        <v>74</v>
      </c>
      <c r="BH555" t="s">
        <v>74</v>
      </c>
      <c r="BI555">
        <v>18</v>
      </c>
      <c r="BJ555" t="s">
        <v>3476</v>
      </c>
      <c r="BK555" t="s">
        <v>101</v>
      </c>
      <c r="BL555" t="s">
        <v>3476</v>
      </c>
      <c r="BM555" t="s">
        <v>11133</v>
      </c>
      <c r="BN555">
        <v>34567931</v>
      </c>
      <c r="BO555" t="s">
        <v>343</v>
      </c>
      <c r="BP555" t="s">
        <v>74</v>
      </c>
      <c r="BQ555" t="s">
        <v>74</v>
      </c>
      <c r="BR555" t="s">
        <v>105</v>
      </c>
      <c r="BS555" t="s">
        <v>11134</v>
      </c>
      <c r="BT555" t="str">
        <f>HYPERLINK("https%3A%2F%2Fwww.webofscience.com%2Fwos%2Fwoscc%2Ffull-record%2FWOS:000694234100001","View Full Record in Web of Science")</f>
        <v>View Full Record in Web of Science</v>
      </c>
    </row>
    <row r="556" spans="1:72" x14ac:dyDescent="0.15">
      <c r="A556" t="s">
        <v>72</v>
      </c>
      <c r="B556" t="s">
        <v>11135</v>
      </c>
      <c r="C556" t="s">
        <v>74</v>
      </c>
      <c r="D556" t="s">
        <v>74</v>
      </c>
      <c r="E556" t="s">
        <v>74</v>
      </c>
      <c r="F556" t="s">
        <v>11136</v>
      </c>
      <c r="G556" t="s">
        <v>74</v>
      </c>
      <c r="H556" t="s">
        <v>74</v>
      </c>
      <c r="I556" t="s">
        <v>11137</v>
      </c>
      <c r="J556" t="s">
        <v>110</v>
      </c>
      <c r="K556" t="s">
        <v>74</v>
      </c>
      <c r="L556" t="s">
        <v>74</v>
      </c>
      <c r="M556" t="s">
        <v>78</v>
      </c>
      <c r="N556" t="s">
        <v>373</v>
      </c>
      <c r="O556" t="s">
        <v>74</v>
      </c>
      <c r="P556" t="s">
        <v>74</v>
      </c>
      <c r="Q556" t="s">
        <v>74</v>
      </c>
      <c r="R556" t="s">
        <v>74</v>
      </c>
      <c r="S556" t="s">
        <v>74</v>
      </c>
      <c r="T556" t="s">
        <v>11138</v>
      </c>
      <c r="U556" t="s">
        <v>11139</v>
      </c>
      <c r="V556" t="s">
        <v>11140</v>
      </c>
      <c r="W556" t="s">
        <v>11141</v>
      </c>
      <c r="X556" t="s">
        <v>113</v>
      </c>
      <c r="Y556" t="s">
        <v>114</v>
      </c>
      <c r="Z556" t="s">
        <v>115</v>
      </c>
      <c r="AA556" t="s">
        <v>116</v>
      </c>
      <c r="AB556" t="s">
        <v>11142</v>
      </c>
      <c r="AC556" t="s">
        <v>74</v>
      </c>
      <c r="AD556" t="s">
        <v>74</v>
      </c>
      <c r="AE556" t="s">
        <v>74</v>
      </c>
      <c r="AF556" t="s">
        <v>74</v>
      </c>
      <c r="AG556">
        <v>77</v>
      </c>
      <c r="AH556">
        <v>14</v>
      </c>
      <c r="AI556">
        <v>14</v>
      </c>
      <c r="AJ556">
        <v>6</v>
      </c>
      <c r="AK556">
        <v>62</v>
      </c>
      <c r="AL556" t="s">
        <v>118</v>
      </c>
      <c r="AM556" t="s">
        <v>119</v>
      </c>
      <c r="AN556" t="s">
        <v>120</v>
      </c>
      <c r="AO556" t="s">
        <v>121</v>
      </c>
      <c r="AP556" t="s">
        <v>122</v>
      </c>
      <c r="AQ556" t="s">
        <v>74</v>
      </c>
      <c r="AR556" t="s">
        <v>123</v>
      </c>
      <c r="AS556" t="s">
        <v>124</v>
      </c>
      <c r="AT556" t="s">
        <v>7760</v>
      </c>
      <c r="AU556">
        <v>2021</v>
      </c>
      <c r="AV556">
        <v>108</v>
      </c>
      <c r="AW556">
        <v>5</v>
      </c>
      <c r="AX556" t="s">
        <v>74</v>
      </c>
      <c r="AY556" t="s">
        <v>74</v>
      </c>
      <c r="AZ556" t="s">
        <v>74</v>
      </c>
      <c r="BA556" t="s">
        <v>74</v>
      </c>
      <c r="BB556" t="s">
        <v>74</v>
      </c>
      <c r="BC556" t="s">
        <v>74</v>
      </c>
      <c r="BD556">
        <v>43</v>
      </c>
      <c r="BE556" t="s">
        <v>11143</v>
      </c>
      <c r="BF556" t="str">
        <f>HYPERLINK("http://dx.doi.org/10.1007/s00114-021-01748-8","http://dx.doi.org/10.1007/s00114-021-01748-8")</f>
        <v>http://dx.doi.org/10.1007/s00114-021-01748-8</v>
      </c>
      <c r="BG556" t="s">
        <v>74</v>
      </c>
      <c r="BH556" t="s">
        <v>74</v>
      </c>
      <c r="BI556">
        <v>14</v>
      </c>
      <c r="BJ556" t="s">
        <v>126</v>
      </c>
      <c r="BK556" t="s">
        <v>101</v>
      </c>
      <c r="BL556" t="s">
        <v>127</v>
      </c>
      <c r="BM556" t="s">
        <v>11144</v>
      </c>
      <c r="BN556">
        <v>34491425</v>
      </c>
      <c r="BO556" t="s">
        <v>676</v>
      </c>
      <c r="BP556" t="s">
        <v>74</v>
      </c>
      <c r="BQ556" t="s">
        <v>74</v>
      </c>
      <c r="BR556" t="s">
        <v>105</v>
      </c>
      <c r="BS556" t="s">
        <v>11145</v>
      </c>
      <c r="BT556" t="str">
        <f>HYPERLINK("https%3A%2F%2Fwww.webofscience.com%2Fwos%2Fwoscc%2Ffull-record%2FWOS:000693583100002","View Full Record in Web of Science")</f>
        <v>View Full Record in Web of Science</v>
      </c>
    </row>
    <row r="557" spans="1:72" x14ac:dyDescent="0.15">
      <c r="A557" t="s">
        <v>72</v>
      </c>
      <c r="B557" t="s">
        <v>11146</v>
      </c>
      <c r="C557" t="s">
        <v>74</v>
      </c>
      <c r="D557" t="s">
        <v>74</v>
      </c>
      <c r="E557" t="s">
        <v>74</v>
      </c>
      <c r="F557" t="s">
        <v>11147</v>
      </c>
      <c r="G557" t="s">
        <v>74</v>
      </c>
      <c r="H557" t="s">
        <v>74</v>
      </c>
      <c r="I557" t="s">
        <v>11148</v>
      </c>
      <c r="J557" t="s">
        <v>11149</v>
      </c>
      <c r="K557" t="s">
        <v>74</v>
      </c>
      <c r="L557" t="s">
        <v>74</v>
      </c>
      <c r="M557" t="s">
        <v>11150</v>
      </c>
      <c r="N557" t="s">
        <v>79</v>
      </c>
      <c r="O557" t="s">
        <v>74</v>
      </c>
      <c r="P557" t="s">
        <v>74</v>
      </c>
      <c r="Q557" t="s">
        <v>74</v>
      </c>
      <c r="R557" t="s">
        <v>74</v>
      </c>
      <c r="S557" t="s">
        <v>74</v>
      </c>
      <c r="T557" t="s">
        <v>11151</v>
      </c>
      <c r="U557" t="s">
        <v>74</v>
      </c>
      <c r="V557" t="s">
        <v>11152</v>
      </c>
      <c r="W557" t="s">
        <v>11153</v>
      </c>
      <c r="X557" t="s">
        <v>11154</v>
      </c>
      <c r="Y557" t="s">
        <v>11155</v>
      </c>
      <c r="Z557" t="s">
        <v>11156</v>
      </c>
      <c r="AA557" t="s">
        <v>74</v>
      </c>
      <c r="AB557" t="s">
        <v>11157</v>
      </c>
      <c r="AC557" t="s">
        <v>74</v>
      </c>
      <c r="AD557" t="s">
        <v>74</v>
      </c>
      <c r="AE557" t="s">
        <v>74</v>
      </c>
      <c r="AF557" t="s">
        <v>74</v>
      </c>
      <c r="AG557">
        <v>35</v>
      </c>
      <c r="AH557">
        <v>0</v>
      </c>
      <c r="AI557">
        <v>0</v>
      </c>
      <c r="AJ557">
        <v>0</v>
      </c>
      <c r="AK557">
        <v>2</v>
      </c>
      <c r="AL557" t="s">
        <v>11158</v>
      </c>
      <c r="AM557" t="s">
        <v>11159</v>
      </c>
      <c r="AN557" t="s">
        <v>11160</v>
      </c>
      <c r="AO557" t="s">
        <v>11161</v>
      </c>
      <c r="AP557" t="s">
        <v>11162</v>
      </c>
      <c r="AQ557" t="s">
        <v>74</v>
      </c>
      <c r="AR557" t="s">
        <v>11149</v>
      </c>
      <c r="AS557" t="s">
        <v>11163</v>
      </c>
      <c r="AT557" t="s">
        <v>9518</v>
      </c>
      <c r="AU557">
        <v>2021</v>
      </c>
      <c r="AV557" t="s">
        <v>74</v>
      </c>
      <c r="AW557">
        <v>39</v>
      </c>
      <c r="AX557" t="s">
        <v>74</v>
      </c>
      <c r="AY557" t="s">
        <v>74</v>
      </c>
      <c r="AZ557" t="s">
        <v>74</v>
      </c>
      <c r="BA557" t="s">
        <v>74</v>
      </c>
      <c r="BB557">
        <v>39</v>
      </c>
      <c r="BC557">
        <v>55</v>
      </c>
      <c r="BD557" t="s">
        <v>74</v>
      </c>
      <c r="BE557" t="s">
        <v>11164</v>
      </c>
      <c r="BF557" t="str">
        <f>HYPERLINK("http://dx.doi.org/10.19053/01218530.n39.2020.11260","http://dx.doi.org/10.19053/01218530.n39.2020.11260")</f>
        <v>http://dx.doi.org/10.19053/01218530.n39.2020.11260</v>
      </c>
      <c r="BG557" t="s">
        <v>74</v>
      </c>
      <c r="BH557" t="s">
        <v>74</v>
      </c>
      <c r="BI557">
        <v>17</v>
      </c>
      <c r="BJ557" t="s">
        <v>11165</v>
      </c>
      <c r="BK557" t="s">
        <v>1629</v>
      </c>
      <c r="BL557" t="s">
        <v>11165</v>
      </c>
      <c r="BM557" t="s">
        <v>11166</v>
      </c>
      <c r="BN557" t="s">
        <v>74</v>
      </c>
      <c r="BO557" t="s">
        <v>239</v>
      </c>
      <c r="BP557" t="s">
        <v>74</v>
      </c>
      <c r="BQ557" t="s">
        <v>74</v>
      </c>
      <c r="BR557" t="s">
        <v>105</v>
      </c>
      <c r="BS557" t="s">
        <v>11167</v>
      </c>
      <c r="BT557" t="str">
        <f>HYPERLINK("https%3A%2F%2Fwww.webofscience.com%2Fwos%2Fwoscc%2Ffull-record%2FWOS:000644817200003","View Full Record in Web of Science")</f>
        <v>View Full Record in Web of Science</v>
      </c>
    </row>
    <row r="558" spans="1:72" x14ac:dyDescent="0.15">
      <c r="A558" t="s">
        <v>72</v>
      </c>
      <c r="B558" t="s">
        <v>11168</v>
      </c>
      <c r="C558" t="s">
        <v>74</v>
      </c>
      <c r="D558" t="s">
        <v>74</v>
      </c>
      <c r="E558" t="s">
        <v>74</v>
      </c>
      <c r="F558" t="s">
        <v>11169</v>
      </c>
      <c r="G558" t="s">
        <v>74</v>
      </c>
      <c r="H558" t="s">
        <v>74</v>
      </c>
      <c r="I558" t="s">
        <v>11170</v>
      </c>
      <c r="J558" t="s">
        <v>11171</v>
      </c>
      <c r="K558" t="s">
        <v>74</v>
      </c>
      <c r="L558" t="s">
        <v>74</v>
      </c>
      <c r="M558" t="s">
        <v>78</v>
      </c>
      <c r="N558" t="s">
        <v>79</v>
      </c>
      <c r="O558" t="s">
        <v>74</v>
      </c>
      <c r="P558" t="s">
        <v>74</v>
      </c>
      <c r="Q558" t="s">
        <v>74</v>
      </c>
      <c r="R558" t="s">
        <v>74</v>
      </c>
      <c r="S558" t="s">
        <v>74</v>
      </c>
      <c r="T558" t="s">
        <v>11172</v>
      </c>
      <c r="U558" t="s">
        <v>11173</v>
      </c>
      <c r="V558" t="s">
        <v>11174</v>
      </c>
      <c r="W558" t="s">
        <v>11175</v>
      </c>
      <c r="X558" t="s">
        <v>11176</v>
      </c>
      <c r="Y558" t="s">
        <v>11177</v>
      </c>
      <c r="Z558" t="s">
        <v>11178</v>
      </c>
      <c r="AA558" t="s">
        <v>11179</v>
      </c>
      <c r="AB558" t="s">
        <v>11180</v>
      </c>
      <c r="AC558" t="s">
        <v>11181</v>
      </c>
      <c r="AD558" t="s">
        <v>11182</v>
      </c>
      <c r="AE558" t="s">
        <v>11183</v>
      </c>
      <c r="AF558" t="s">
        <v>74</v>
      </c>
      <c r="AG558">
        <v>47</v>
      </c>
      <c r="AH558">
        <v>3</v>
      </c>
      <c r="AI558">
        <v>3</v>
      </c>
      <c r="AJ558">
        <v>0</v>
      </c>
      <c r="AK558">
        <v>4</v>
      </c>
      <c r="AL558" t="s">
        <v>847</v>
      </c>
      <c r="AM558" t="s">
        <v>848</v>
      </c>
      <c r="AN558" t="s">
        <v>849</v>
      </c>
      <c r="AO558" t="s">
        <v>11184</v>
      </c>
      <c r="AP558" t="s">
        <v>11185</v>
      </c>
      <c r="AQ558" t="s">
        <v>74</v>
      </c>
      <c r="AR558" t="s">
        <v>11186</v>
      </c>
      <c r="AS558" t="s">
        <v>11187</v>
      </c>
      <c r="AT558" t="s">
        <v>98</v>
      </c>
      <c r="AU558">
        <v>2021</v>
      </c>
      <c r="AV558">
        <v>96</v>
      </c>
      <c r="AW558" t="s">
        <v>74</v>
      </c>
      <c r="AX558" t="s">
        <v>74</v>
      </c>
      <c r="AY558" t="s">
        <v>74</v>
      </c>
      <c r="AZ558" t="s">
        <v>74</v>
      </c>
      <c r="BA558" t="s">
        <v>74</v>
      </c>
      <c r="BB558" t="s">
        <v>74</v>
      </c>
      <c r="BC558" t="s">
        <v>74</v>
      </c>
      <c r="BD558">
        <v>101258</v>
      </c>
      <c r="BE558" t="s">
        <v>11188</v>
      </c>
      <c r="BF558" t="str">
        <f>HYPERLINK("http://dx.doi.org/10.1016/j.dynatmoce.2021.101258","http://dx.doi.org/10.1016/j.dynatmoce.2021.101258")</f>
        <v>http://dx.doi.org/10.1016/j.dynatmoce.2021.101258</v>
      </c>
      <c r="BG558" t="s">
        <v>74</v>
      </c>
      <c r="BH558" t="s">
        <v>11189</v>
      </c>
      <c r="BI558">
        <v>15</v>
      </c>
      <c r="BJ558" t="s">
        <v>11190</v>
      </c>
      <c r="BK558" t="s">
        <v>101</v>
      </c>
      <c r="BL558" t="s">
        <v>11190</v>
      </c>
      <c r="BM558" t="s">
        <v>11191</v>
      </c>
      <c r="BN558" t="s">
        <v>74</v>
      </c>
      <c r="BO558" t="s">
        <v>74</v>
      </c>
      <c r="BP558" t="s">
        <v>74</v>
      </c>
      <c r="BQ558" t="s">
        <v>74</v>
      </c>
      <c r="BR558" t="s">
        <v>105</v>
      </c>
      <c r="BS558" t="s">
        <v>11192</v>
      </c>
      <c r="BT558" t="str">
        <f>HYPERLINK("https%3A%2F%2Fwww.webofscience.com%2Fwos%2Fwoscc%2Ffull-record%2FWOS:000709429300001","View Full Record in Web of Science")</f>
        <v>View Full Record in Web of Science</v>
      </c>
    </row>
    <row r="559" spans="1:72" x14ac:dyDescent="0.15">
      <c r="A559" t="s">
        <v>72</v>
      </c>
      <c r="B559" t="s">
        <v>11193</v>
      </c>
      <c r="C559" t="s">
        <v>74</v>
      </c>
      <c r="D559" t="s">
        <v>74</v>
      </c>
      <c r="E559" t="s">
        <v>74</v>
      </c>
      <c r="F559" t="s">
        <v>11194</v>
      </c>
      <c r="G559" t="s">
        <v>74</v>
      </c>
      <c r="H559" t="s">
        <v>74</v>
      </c>
      <c r="I559" t="s">
        <v>11195</v>
      </c>
      <c r="J559" t="s">
        <v>6339</v>
      </c>
      <c r="K559" t="s">
        <v>74</v>
      </c>
      <c r="L559" t="s">
        <v>74</v>
      </c>
      <c r="M559" t="s">
        <v>78</v>
      </c>
      <c r="N559" t="s">
        <v>79</v>
      </c>
      <c r="O559" t="s">
        <v>74</v>
      </c>
      <c r="P559" t="s">
        <v>74</v>
      </c>
      <c r="Q559" t="s">
        <v>74</v>
      </c>
      <c r="R559" t="s">
        <v>74</v>
      </c>
      <c r="S559" t="s">
        <v>74</v>
      </c>
      <c r="T559" t="s">
        <v>11196</v>
      </c>
      <c r="U559" t="s">
        <v>11197</v>
      </c>
      <c r="V559" t="s">
        <v>11198</v>
      </c>
      <c r="W559" t="s">
        <v>11199</v>
      </c>
      <c r="X559" t="s">
        <v>11200</v>
      </c>
      <c r="Y559" t="s">
        <v>11201</v>
      </c>
      <c r="Z559" t="s">
        <v>11202</v>
      </c>
      <c r="AA559" t="s">
        <v>11203</v>
      </c>
      <c r="AB559" t="s">
        <v>74</v>
      </c>
      <c r="AC559" t="s">
        <v>11204</v>
      </c>
      <c r="AD559" t="s">
        <v>11204</v>
      </c>
      <c r="AE559" t="s">
        <v>11205</v>
      </c>
      <c r="AF559" t="s">
        <v>74</v>
      </c>
      <c r="AG559">
        <v>50</v>
      </c>
      <c r="AH559">
        <v>2</v>
      </c>
      <c r="AI559">
        <v>2</v>
      </c>
      <c r="AJ559">
        <v>4</v>
      </c>
      <c r="AK559">
        <v>14</v>
      </c>
      <c r="AL559" t="s">
        <v>6350</v>
      </c>
      <c r="AM559" t="s">
        <v>6351</v>
      </c>
      <c r="AN559" t="s">
        <v>6352</v>
      </c>
      <c r="AO559" t="s">
        <v>6353</v>
      </c>
      <c r="AP559" t="s">
        <v>6354</v>
      </c>
      <c r="AQ559" t="s">
        <v>74</v>
      </c>
      <c r="AR559" t="s">
        <v>6355</v>
      </c>
      <c r="AS559" t="s">
        <v>6356</v>
      </c>
      <c r="AT559" t="s">
        <v>11206</v>
      </c>
      <c r="AU559">
        <v>2021</v>
      </c>
      <c r="AV559">
        <v>675</v>
      </c>
      <c r="AW559" t="s">
        <v>74</v>
      </c>
      <c r="AX559" t="s">
        <v>74</v>
      </c>
      <c r="AY559" t="s">
        <v>74</v>
      </c>
      <c r="AZ559" t="s">
        <v>74</v>
      </c>
      <c r="BA559" t="s">
        <v>74</v>
      </c>
      <c r="BB559">
        <v>67</v>
      </c>
      <c r="BC559">
        <v>79</v>
      </c>
      <c r="BD559" t="s">
        <v>74</v>
      </c>
      <c r="BE559" t="s">
        <v>11207</v>
      </c>
      <c r="BF559" t="str">
        <f>HYPERLINK("http://dx.doi.org/10.3354/meps13835","http://dx.doi.org/10.3354/meps13835")</f>
        <v>http://dx.doi.org/10.3354/meps13835</v>
      </c>
      <c r="BG559" t="s">
        <v>74</v>
      </c>
      <c r="BH559" t="s">
        <v>74</v>
      </c>
      <c r="BI559">
        <v>13</v>
      </c>
      <c r="BJ559" t="s">
        <v>6358</v>
      </c>
      <c r="BK559" t="s">
        <v>101</v>
      </c>
      <c r="BL559" t="s">
        <v>6359</v>
      </c>
      <c r="BM559" t="s">
        <v>11208</v>
      </c>
      <c r="BN559" t="s">
        <v>74</v>
      </c>
      <c r="BO559" t="s">
        <v>74</v>
      </c>
      <c r="BP559" t="s">
        <v>74</v>
      </c>
      <c r="BQ559" t="s">
        <v>74</v>
      </c>
      <c r="BR559" t="s">
        <v>105</v>
      </c>
      <c r="BS559" t="s">
        <v>11209</v>
      </c>
      <c r="BT559" t="str">
        <f>HYPERLINK("https%3A%2F%2Fwww.webofscience.com%2Fwos%2Fwoscc%2Ffull-record%2FWOS:000705292800005","View Full Record in Web of Science")</f>
        <v>View Full Record in Web of Science</v>
      </c>
    </row>
    <row r="560" spans="1:72" x14ac:dyDescent="0.15">
      <c r="A560" t="s">
        <v>72</v>
      </c>
      <c r="B560" t="s">
        <v>11210</v>
      </c>
      <c r="C560" t="s">
        <v>74</v>
      </c>
      <c r="D560" t="s">
        <v>74</v>
      </c>
      <c r="E560" t="s">
        <v>74</v>
      </c>
      <c r="F560" t="s">
        <v>11211</v>
      </c>
      <c r="G560" t="s">
        <v>74</v>
      </c>
      <c r="H560" t="s">
        <v>74</v>
      </c>
      <c r="I560" t="s">
        <v>11212</v>
      </c>
      <c r="J560" t="s">
        <v>6339</v>
      </c>
      <c r="K560" t="s">
        <v>74</v>
      </c>
      <c r="L560" t="s">
        <v>74</v>
      </c>
      <c r="M560" t="s">
        <v>78</v>
      </c>
      <c r="N560" t="s">
        <v>79</v>
      </c>
      <c r="O560" t="s">
        <v>74</v>
      </c>
      <c r="P560" t="s">
        <v>74</v>
      </c>
      <c r="Q560" t="s">
        <v>74</v>
      </c>
      <c r="R560" t="s">
        <v>74</v>
      </c>
      <c r="S560" t="s">
        <v>74</v>
      </c>
      <c r="T560" t="s">
        <v>11213</v>
      </c>
      <c r="U560" t="s">
        <v>11214</v>
      </c>
      <c r="V560" t="s">
        <v>11215</v>
      </c>
      <c r="W560" t="s">
        <v>11216</v>
      </c>
      <c r="X560" t="s">
        <v>11217</v>
      </c>
      <c r="Y560" t="s">
        <v>11218</v>
      </c>
      <c r="Z560" t="s">
        <v>11219</v>
      </c>
      <c r="AA560" t="s">
        <v>11220</v>
      </c>
      <c r="AB560" t="s">
        <v>11221</v>
      </c>
      <c r="AC560" t="s">
        <v>11222</v>
      </c>
      <c r="AD560" t="s">
        <v>11223</v>
      </c>
      <c r="AE560" t="s">
        <v>11224</v>
      </c>
      <c r="AF560" t="s">
        <v>74</v>
      </c>
      <c r="AG560">
        <v>94</v>
      </c>
      <c r="AH560">
        <v>9</v>
      </c>
      <c r="AI560">
        <v>10</v>
      </c>
      <c r="AJ560">
        <v>1</v>
      </c>
      <c r="AK560">
        <v>20</v>
      </c>
      <c r="AL560" t="s">
        <v>6350</v>
      </c>
      <c r="AM560" t="s">
        <v>6351</v>
      </c>
      <c r="AN560" t="s">
        <v>6352</v>
      </c>
      <c r="AO560" t="s">
        <v>6353</v>
      </c>
      <c r="AP560" t="s">
        <v>6354</v>
      </c>
      <c r="AQ560" t="s">
        <v>74</v>
      </c>
      <c r="AR560" t="s">
        <v>6355</v>
      </c>
      <c r="AS560" t="s">
        <v>6356</v>
      </c>
      <c r="AT560" t="s">
        <v>11206</v>
      </c>
      <c r="AU560">
        <v>2021</v>
      </c>
      <c r="AV560">
        <v>675</v>
      </c>
      <c r="AW560" t="s">
        <v>74</v>
      </c>
      <c r="AX560" t="s">
        <v>74</v>
      </c>
      <c r="AY560" t="s">
        <v>74</v>
      </c>
      <c r="AZ560" t="s">
        <v>74</v>
      </c>
      <c r="BA560" t="s">
        <v>74</v>
      </c>
      <c r="BB560">
        <v>113</v>
      </c>
      <c r="BC560">
        <v>131</v>
      </c>
      <c r="BD560" t="s">
        <v>74</v>
      </c>
      <c r="BE560" t="s">
        <v>11225</v>
      </c>
      <c r="BF560" t="str">
        <f>HYPERLINK("http://dx.doi.org/10.3354/meps13827","http://dx.doi.org/10.3354/meps13827")</f>
        <v>http://dx.doi.org/10.3354/meps13827</v>
      </c>
      <c r="BG560" t="s">
        <v>74</v>
      </c>
      <c r="BH560" t="s">
        <v>74</v>
      </c>
      <c r="BI560">
        <v>19</v>
      </c>
      <c r="BJ560" t="s">
        <v>6358</v>
      </c>
      <c r="BK560" t="s">
        <v>101</v>
      </c>
      <c r="BL560" t="s">
        <v>6359</v>
      </c>
      <c r="BM560" t="s">
        <v>11208</v>
      </c>
      <c r="BN560" t="s">
        <v>74</v>
      </c>
      <c r="BO560" t="s">
        <v>314</v>
      </c>
      <c r="BP560" t="s">
        <v>74</v>
      </c>
      <c r="BQ560" t="s">
        <v>74</v>
      </c>
      <c r="BR560" t="s">
        <v>105</v>
      </c>
      <c r="BS560" t="s">
        <v>11226</v>
      </c>
      <c r="BT560" t="str">
        <f>HYPERLINK("https%3A%2F%2Fwww.webofscience.com%2Fwos%2Fwoscc%2Ffull-record%2FWOS:000705292800008","View Full Record in Web of Science")</f>
        <v>View Full Record in Web of Science</v>
      </c>
    </row>
    <row r="561" spans="1:72" x14ac:dyDescent="0.15">
      <c r="A561" t="s">
        <v>72</v>
      </c>
      <c r="B561" t="s">
        <v>11227</v>
      </c>
      <c r="C561" t="s">
        <v>74</v>
      </c>
      <c r="D561" t="s">
        <v>74</v>
      </c>
      <c r="E561" t="s">
        <v>74</v>
      </c>
      <c r="F561" t="s">
        <v>11228</v>
      </c>
      <c r="G561" t="s">
        <v>74</v>
      </c>
      <c r="H561" t="s">
        <v>74</v>
      </c>
      <c r="I561" t="s">
        <v>11229</v>
      </c>
      <c r="J561" t="s">
        <v>372</v>
      </c>
      <c r="K561" t="s">
        <v>74</v>
      </c>
      <c r="L561" t="s">
        <v>74</v>
      </c>
      <c r="M561" t="s">
        <v>78</v>
      </c>
      <c r="N561" t="s">
        <v>79</v>
      </c>
      <c r="O561" t="s">
        <v>74</v>
      </c>
      <c r="P561" t="s">
        <v>74</v>
      </c>
      <c r="Q561" t="s">
        <v>74</v>
      </c>
      <c r="R561" t="s">
        <v>74</v>
      </c>
      <c r="S561" t="s">
        <v>74</v>
      </c>
      <c r="T561" t="s">
        <v>11230</v>
      </c>
      <c r="U561" t="s">
        <v>11231</v>
      </c>
      <c r="V561" t="s">
        <v>11232</v>
      </c>
      <c r="W561" t="s">
        <v>11233</v>
      </c>
      <c r="X561" t="s">
        <v>11234</v>
      </c>
      <c r="Y561" t="s">
        <v>11235</v>
      </c>
      <c r="Z561" t="s">
        <v>11236</v>
      </c>
      <c r="AA561" t="s">
        <v>74</v>
      </c>
      <c r="AB561" t="s">
        <v>11237</v>
      </c>
      <c r="AC561" t="s">
        <v>11238</v>
      </c>
      <c r="AD561" t="s">
        <v>11239</v>
      </c>
      <c r="AE561" t="s">
        <v>11240</v>
      </c>
      <c r="AF561" t="s">
        <v>74</v>
      </c>
      <c r="AG561">
        <v>81</v>
      </c>
      <c r="AH561">
        <v>4</v>
      </c>
      <c r="AI561">
        <v>4</v>
      </c>
      <c r="AJ561">
        <v>3</v>
      </c>
      <c r="AK561">
        <v>6</v>
      </c>
      <c r="AL561" t="s">
        <v>383</v>
      </c>
      <c r="AM561" t="s">
        <v>384</v>
      </c>
      <c r="AN561" t="s">
        <v>385</v>
      </c>
      <c r="AO561" t="s">
        <v>74</v>
      </c>
      <c r="AP561" t="s">
        <v>386</v>
      </c>
      <c r="AQ561" t="s">
        <v>74</v>
      </c>
      <c r="AR561" t="s">
        <v>387</v>
      </c>
      <c r="AS561" t="s">
        <v>388</v>
      </c>
      <c r="AT561" t="s">
        <v>11206</v>
      </c>
      <c r="AU561">
        <v>2021</v>
      </c>
      <c r="AV561">
        <v>8</v>
      </c>
      <c r="AW561" t="s">
        <v>74</v>
      </c>
      <c r="AX561" t="s">
        <v>74</v>
      </c>
      <c r="AY561" t="s">
        <v>74</v>
      </c>
      <c r="AZ561" t="s">
        <v>74</v>
      </c>
      <c r="BA561" t="s">
        <v>74</v>
      </c>
      <c r="BB561" t="s">
        <v>74</v>
      </c>
      <c r="BC561" t="s">
        <v>74</v>
      </c>
      <c r="BD561">
        <v>723328</v>
      </c>
      <c r="BE561" t="s">
        <v>11241</v>
      </c>
      <c r="BF561" t="str">
        <f>HYPERLINK("http://dx.doi.org/10.3389/fmars.2021.723328","http://dx.doi.org/10.3389/fmars.2021.723328")</f>
        <v>http://dx.doi.org/10.3389/fmars.2021.723328</v>
      </c>
      <c r="BG561" t="s">
        <v>74</v>
      </c>
      <c r="BH561" t="s">
        <v>74</v>
      </c>
      <c r="BI561">
        <v>11</v>
      </c>
      <c r="BJ561" t="s">
        <v>391</v>
      </c>
      <c r="BK561" t="s">
        <v>101</v>
      </c>
      <c r="BL561" t="s">
        <v>392</v>
      </c>
      <c r="BM561" t="s">
        <v>11242</v>
      </c>
      <c r="BN561" t="s">
        <v>74</v>
      </c>
      <c r="BO561" t="s">
        <v>1070</v>
      </c>
      <c r="BP561" t="s">
        <v>74</v>
      </c>
      <c r="BQ561" t="s">
        <v>74</v>
      </c>
      <c r="BR561" t="s">
        <v>105</v>
      </c>
      <c r="BS561" t="s">
        <v>11243</v>
      </c>
      <c r="BT561" t="str">
        <f>HYPERLINK("https%3A%2F%2Fwww.webofscience.com%2Fwos%2Fwoscc%2Ffull-record%2FWOS:000708357500001","View Full Record in Web of Science")</f>
        <v>View Full Record in Web of Science</v>
      </c>
    </row>
    <row r="562" spans="1:72" x14ac:dyDescent="0.15">
      <c r="A562" t="s">
        <v>72</v>
      </c>
      <c r="B562" t="s">
        <v>11244</v>
      </c>
      <c r="C562" t="s">
        <v>74</v>
      </c>
      <c r="D562" t="s">
        <v>74</v>
      </c>
      <c r="E562" t="s">
        <v>74</v>
      </c>
      <c r="F562" t="s">
        <v>11245</v>
      </c>
      <c r="G562" t="s">
        <v>74</v>
      </c>
      <c r="H562" t="s">
        <v>74</v>
      </c>
      <c r="I562" t="s">
        <v>11246</v>
      </c>
      <c r="J562" t="s">
        <v>348</v>
      </c>
      <c r="K562" t="s">
        <v>74</v>
      </c>
      <c r="L562" t="s">
        <v>74</v>
      </c>
      <c r="M562" t="s">
        <v>78</v>
      </c>
      <c r="N562" t="s">
        <v>79</v>
      </c>
      <c r="O562" t="s">
        <v>74</v>
      </c>
      <c r="P562" t="s">
        <v>74</v>
      </c>
      <c r="Q562" t="s">
        <v>74</v>
      </c>
      <c r="R562" t="s">
        <v>74</v>
      </c>
      <c r="S562" t="s">
        <v>74</v>
      </c>
      <c r="T562" t="s">
        <v>11247</v>
      </c>
      <c r="U562" t="s">
        <v>11248</v>
      </c>
      <c r="V562" t="s">
        <v>11249</v>
      </c>
      <c r="W562" t="s">
        <v>11250</v>
      </c>
      <c r="X562" t="s">
        <v>11251</v>
      </c>
      <c r="Y562" t="s">
        <v>11252</v>
      </c>
      <c r="Z562" t="s">
        <v>11253</v>
      </c>
      <c r="AA562" t="s">
        <v>11254</v>
      </c>
      <c r="AB562" t="s">
        <v>11255</v>
      </c>
      <c r="AC562" t="s">
        <v>11256</v>
      </c>
      <c r="AD562" t="s">
        <v>11257</v>
      </c>
      <c r="AE562" t="s">
        <v>11258</v>
      </c>
      <c r="AF562" t="s">
        <v>74</v>
      </c>
      <c r="AG562">
        <v>114</v>
      </c>
      <c r="AH562">
        <v>3</v>
      </c>
      <c r="AI562">
        <v>4</v>
      </c>
      <c r="AJ562">
        <v>3</v>
      </c>
      <c r="AK562">
        <v>28</v>
      </c>
      <c r="AL562" t="s">
        <v>255</v>
      </c>
      <c r="AM562" t="s">
        <v>256</v>
      </c>
      <c r="AN562" t="s">
        <v>257</v>
      </c>
      <c r="AO562" t="s">
        <v>359</v>
      </c>
      <c r="AP562" t="s">
        <v>360</v>
      </c>
      <c r="AQ562" t="s">
        <v>74</v>
      </c>
      <c r="AR562" t="s">
        <v>361</v>
      </c>
      <c r="AS562" t="s">
        <v>362</v>
      </c>
      <c r="AT562" t="s">
        <v>2435</v>
      </c>
      <c r="AU562">
        <v>2021</v>
      </c>
      <c r="AV562">
        <v>313</v>
      </c>
      <c r="AW562" t="s">
        <v>74</v>
      </c>
      <c r="AX562" t="s">
        <v>74</v>
      </c>
      <c r="AY562" t="s">
        <v>74</v>
      </c>
      <c r="AZ562" t="s">
        <v>74</v>
      </c>
      <c r="BA562" t="s">
        <v>74</v>
      </c>
      <c r="BB562">
        <v>155</v>
      </c>
      <c r="BC562">
        <v>172</v>
      </c>
      <c r="BD562" t="s">
        <v>74</v>
      </c>
      <c r="BE562" t="s">
        <v>11259</v>
      </c>
      <c r="BF562" t="str">
        <f>HYPERLINK("http://dx.doi.org/10.1016/j.gca.2021.07.029","http://dx.doi.org/10.1016/j.gca.2021.07.029")</f>
        <v>http://dx.doi.org/10.1016/j.gca.2021.07.029</v>
      </c>
      <c r="BG562" t="s">
        <v>74</v>
      </c>
      <c r="BH562" t="s">
        <v>11189</v>
      </c>
      <c r="BI562">
        <v>18</v>
      </c>
      <c r="BJ562" t="s">
        <v>365</v>
      </c>
      <c r="BK562" t="s">
        <v>101</v>
      </c>
      <c r="BL562" t="s">
        <v>365</v>
      </c>
      <c r="BM562" t="s">
        <v>11260</v>
      </c>
      <c r="BN562" t="s">
        <v>74</v>
      </c>
      <c r="BO562" t="s">
        <v>74</v>
      </c>
      <c r="BP562" t="s">
        <v>74</v>
      </c>
      <c r="BQ562" t="s">
        <v>74</v>
      </c>
      <c r="BR562" t="s">
        <v>105</v>
      </c>
      <c r="BS562" t="s">
        <v>11261</v>
      </c>
      <c r="BT562" t="str">
        <f>HYPERLINK("https%3A%2F%2Fwww.webofscience.com%2Fwos%2Fwoscc%2Ffull-record%2FWOS:000707120400001","View Full Record in Web of Science")</f>
        <v>View Full Record in Web of Science</v>
      </c>
    </row>
    <row r="563" spans="1:72" x14ac:dyDescent="0.15">
      <c r="A563" t="s">
        <v>72</v>
      </c>
      <c r="B563" t="s">
        <v>11262</v>
      </c>
      <c r="C563" t="s">
        <v>74</v>
      </c>
      <c r="D563" t="s">
        <v>74</v>
      </c>
      <c r="E563" t="s">
        <v>74</v>
      </c>
      <c r="F563" t="s">
        <v>11263</v>
      </c>
      <c r="G563" t="s">
        <v>74</v>
      </c>
      <c r="H563" t="s">
        <v>74</v>
      </c>
      <c r="I563" t="s">
        <v>11264</v>
      </c>
      <c r="J563" t="s">
        <v>11265</v>
      </c>
      <c r="K563" t="s">
        <v>74</v>
      </c>
      <c r="L563" t="s">
        <v>74</v>
      </c>
      <c r="M563" t="s">
        <v>78</v>
      </c>
      <c r="N563" t="s">
        <v>79</v>
      </c>
      <c r="O563" t="s">
        <v>74</v>
      </c>
      <c r="P563" t="s">
        <v>74</v>
      </c>
      <c r="Q563" t="s">
        <v>74</v>
      </c>
      <c r="R563" t="s">
        <v>74</v>
      </c>
      <c r="S563" t="s">
        <v>74</v>
      </c>
      <c r="T563" t="s">
        <v>11266</v>
      </c>
      <c r="U563" t="s">
        <v>11267</v>
      </c>
      <c r="V563" t="s">
        <v>11268</v>
      </c>
      <c r="W563" t="s">
        <v>11269</v>
      </c>
      <c r="X563" t="s">
        <v>11270</v>
      </c>
      <c r="Y563" t="s">
        <v>11271</v>
      </c>
      <c r="Z563" t="s">
        <v>11272</v>
      </c>
      <c r="AA563" t="s">
        <v>11273</v>
      </c>
      <c r="AB563" t="s">
        <v>11274</v>
      </c>
      <c r="AC563" t="s">
        <v>11275</v>
      </c>
      <c r="AD563" t="s">
        <v>11276</v>
      </c>
      <c r="AE563" t="s">
        <v>11277</v>
      </c>
      <c r="AF563" t="s">
        <v>74</v>
      </c>
      <c r="AG563">
        <v>46</v>
      </c>
      <c r="AH563">
        <v>4</v>
      </c>
      <c r="AI563">
        <v>4</v>
      </c>
      <c r="AJ563">
        <v>0</v>
      </c>
      <c r="AK563">
        <v>13</v>
      </c>
      <c r="AL563" t="s">
        <v>847</v>
      </c>
      <c r="AM563" t="s">
        <v>848</v>
      </c>
      <c r="AN563" t="s">
        <v>849</v>
      </c>
      <c r="AO563" t="s">
        <v>11278</v>
      </c>
      <c r="AP563" t="s">
        <v>74</v>
      </c>
      <c r="AQ563" t="s">
        <v>74</v>
      </c>
      <c r="AR563" t="s">
        <v>11279</v>
      </c>
      <c r="AS563" t="s">
        <v>11280</v>
      </c>
      <c r="AT563" t="s">
        <v>98</v>
      </c>
      <c r="AU563">
        <v>2021</v>
      </c>
      <c r="AV563">
        <v>60</v>
      </c>
      <c r="AW563" t="s">
        <v>74</v>
      </c>
      <c r="AX563" t="s">
        <v>74</v>
      </c>
      <c r="AY563" t="s">
        <v>74</v>
      </c>
      <c r="AZ563" t="s">
        <v>74</v>
      </c>
      <c r="BA563" t="s">
        <v>74</v>
      </c>
      <c r="BB563" t="s">
        <v>74</v>
      </c>
      <c r="BC563" t="s">
        <v>74</v>
      </c>
      <c r="BD563">
        <v>102503</v>
      </c>
      <c r="BE563" t="s">
        <v>11281</v>
      </c>
      <c r="BF563" t="str">
        <f>HYPERLINK("http://dx.doi.org/10.1016/j.algal.2021.102503","http://dx.doi.org/10.1016/j.algal.2021.102503")</f>
        <v>http://dx.doi.org/10.1016/j.algal.2021.102503</v>
      </c>
      <c r="BG563" t="s">
        <v>74</v>
      </c>
      <c r="BH563" t="s">
        <v>11189</v>
      </c>
      <c r="BI563">
        <v>7</v>
      </c>
      <c r="BJ563" t="s">
        <v>3476</v>
      </c>
      <c r="BK563" t="s">
        <v>101</v>
      </c>
      <c r="BL563" t="s">
        <v>3476</v>
      </c>
      <c r="BM563" t="s">
        <v>11282</v>
      </c>
      <c r="BN563" t="s">
        <v>74</v>
      </c>
      <c r="BO563" t="s">
        <v>74</v>
      </c>
      <c r="BP563" t="s">
        <v>74</v>
      </c>
      <c r="BQ563" t="s">
        <v>74</v>
      </c>
      <c r="BR563" t="s">
        <v>105</v>
      </c>
      <c r="BS563" t="s">
        <v>11283</v>
      </c>
      <c r="BT563" t="str">
        <f>HYPERLINK("https%3A%2F%2Fwww.webofscience.com%2Fwos%2Fwoscc%2Ffull-record%2FWOS:000704699800001","View Full Record in Web of Science")</f>
        <v>View Full Record in Web of Science</v>
      </c>
    </row>
    <row r="564" spans="1:72" x14ac:dyDescent="0.15">
      <c r="A564" t="s">
        <v>72</v>
      </c>
      <c r="B564" t="s">
        <v>11284</v>
      </c>
      <c r="C564" t="s">
        <v>74</v>
      </c>
      <c r="D564" t="s">
        <v>74</v>
      </c>
      <c r="E564" t="s">
        <v>74</v>
      </c>
      <c r="F564" t="s">
        <v>11285</v>
      </c>
      <c r="G564" t="s">
        <v>74</v>
      </c>
      <c r="H564" t="s">
        <v>74</v>
      </c>
      <c r="I564" t="s">
        <v>11286</v>
      </c>
      <c r="J564" t="s">
        <v>11287</v>
      </c>
      <c r="K564" t="s">
        <v>74</v>
      </c>
      <c r="L564" t="s">
        <v>74</v>
      </c>
      <c r="M564" t="s">
        <v>78</v>
      </c>
      <c r="N564" t="s">
        <v>79</v>
      </c>
      <c r="O564" t="s">
        <v>74</v>
      </c>
      <c r="P564" t="s">
        <v>74</v>
      </c>
      <c r="Q564" t="s">
        <v>74</v>
      </c>
      <c r="R564" t="s">
        <v>74</v>
      </c>
      <c r="S564" t="s">
        <v>74</v>
      </c>
      <c r="T564" t="s">
        <v>11288</v>
      </c>
      <c r="U564" t="s">
        <v>11289</v>
      </c>
      <c r="V564" t="s">
        <v>11290</v>
      </c>
      <c r="W564" t="s">
        <v>11291</v>
      </c>
      <c r="X564" t="s">
        <v>11292</v>
      </c>
      <c r="Y564" t="s">
        <v>11293</v>
      </c>
      <c r="Z564" t="s">
        <v>11294</v>
      </c>
      <c r="AA564" t="s">
        <v>11295</v>
      </c>
      <c r="AB564" t="s">
        <v>11296</v>
      </c>
      <c r="AC564" t="s">
        <v>74</v>
      </c>
      <c r="AD564" t="s">
        <v>74</v>
      </c>
      <c r="AE564" t="s">
        <v>74</v>
      </c>
      <c r="AF564" t="s">
        <v>74</v>
      </c>
      <c r="AG564">
        <v>43</v>
      </c>
      <c r="AH564">
        <v>9</v>
      </c>
      <c r="AI564">
        <v>9</v>
      </c>
      <c r="AJ564">
        <v>1</v>
      </c>
      <c r="AK564">
        <v>10</v>
      </c>
      <c r="AL564" t="s">
        <v>1326</v>
      </c>
      <c r="AM564" t="s">
        <v>256</v>
      </c>
      <c r="AN564" t="s">
        <v>1327</v>
      </c>
      <c r="AO564" t="s">
        <v>11297</v>
      </c>
      <c r="AP564" t="s">
        <v>11298</v>
      </c>
      <c r="AQ564" t="s">
        <v>74</v>
      </c>
      <c r="AR564" t="s">
        <v>11299</v>
      </c>
      <c r="AS564" t="s">
        <v>11300</v>
      </c>
      <c r="AT564" t="s">
        <v>310</v>
      </c>
      <c r="AU564">
        <v>2021</v>
      </c>
      <c r="AV564">
        <v>71</v>
      </c>
      <c r="AW564" t="s">
        <v>74</v>
      </c>
      <c r="AX564" t="s">
        <v>74</v>
      </c>
      <c r="AY564" t="s">
        <v>74</v>
      </c>
      <c r="AZ564" t="s">
        <v>74</v>
      </c>
      <c r="BA564" t="s">
        <v>74</v>
      </c>
      <c r="BB564" t="s">
        <v>74</v>
      </c>
      <c r="BC564" t="s">
        <v>74</v>
      </c>
      <c r="BD564">
        <v>102372</v>
      </c>
      <c r="BE564" t="s">
        <v>11301</v>
      </c>
      <c r="BF564" t="str">
        <f>HYPERLINK("http://dx.doi.org/10.1016/j.gloenvcha.2021.102372","http://dx.doi.org/10.1016/j.gloenvcha.2021.102372")</f>
        <v>http://dx.doi.org/10.1016/j.gloenvcha.2021.102372</v>
      </c>
      <c r="BG564" t="s">
        <v>74</v>
      </c>
      <c r="BH564" t="s">
        <v>11189</v>
      </c>
      <c r="BI564">
        <v>11</v>
      </c>
      <c r="BJ564" t="s">
        <v>11302</v>
      </c>
      <c r="BK564" t="s">
        <v>207</v>
      </c>
      <c r="BL564" t="s">
        <v>11303</v>
      </c>
      <c r="BM564" t="s">
        <v>11304</v>
      </c>
      <c r="BN564" t="s">
        <v>74</v>
      </c>
      <c r="BO564" t="s">
        <v>74</v>
      </c>
      <c r="BP564" t="s">
        <v>74</v>
      </c>
      <c r="BQ564" t="s">
        <v>74</v>
      </c>
      <c r="BR564" t="s">
        <v>105</v>
      </c>
      <c r="BS564" t="s">
        <v>11305</v>
      </c>
      <c r="BT564" t="str">
        <f>HYPERLINK("https%3A%2F%2Fwww.webofscience.com%2Fwos%2Fwoscc%2Ffull-record%2FWOS:000709738200003","View Full Record in Web of Science")</f>
        <v>View Full Record in Web of Science</v>
      </c>
    </row>
    <row r="565" spans="1:72" x14ac:dyDescent="0.15">
      <c r="A565" t="s">
        <v>72</v>
      </c>
      <c r="B565" t="s">
        <v>11306</v>
      </c>
      <c r="C565" t="s">
        <v>74</v>
      </c>
      <c r="D565" t="s">
        <v>74</v>
      </c>
      <c r="E565" t="s">
        <v>74</v>
      </c>
      <c r="F565" t="s">
        <v>11307</v>
      </c>
      <c r="G565" t="s">
        <v>74</v>
      </c>
      <c r="H565" t="s">
        <v>74</v>
      </c>
      <c r="I565" t="s">
        <v>11308</v>
      </c>
      <c r="J565" t="s">
        <v>11309</v>
      </c>
      <c r="K565" t="s">
        <v>74</v>
      </c>
      <c r="L565" t="s">
        <v>74</v>
      </c>
      <c r="M565" t="s">
        <v>78</v>
      </c>
      <c r="N565" t="s">
        <v>79</v>
      </c>
      <c r="O565" t="s">
        <v>74</v>
      </c>
      <c r="P565" t="s">
        <v>74</v>
      </c>
      <c r="Q565" t="s">
        <v>74</v>
      </c>
      <c r="R565" t="s">
        <v>74</v>
      </c>
      <c r="S565" t="s">
        <v>74</v>
      </c>
      <c r="T565" t="s">
        <v>11310</v>
      </c>
      <c r="U565" t="s">
        <v>11311</v>
      </c>
      <c r="V565" t="s">
        <v>11312</v>
      </c>
      <c r="W565" t="s">
        <v>11313</v>
      </c>
      <c r="X565" t="s">
        <v>11314</v>
      </c>
      <c r="Y565" t="s">
        <v>11315</v>
      </c>
      <c r="Z565" t="s">
        <v>11316</v>
      </c>
      <c r="AA565" t="s">
        <v>74</v>
      </c>
      <c r="AB565" t="s">
        <v>74</v>
      </c>
      <c r="AC565" t="s">
        <v>74</v>
      </c>
      <c r="AD565" t="s">
        <v>74</v>
      </c>
      <c r="AE565" t="s">
        <v>74</v>
      </c>
      <c r="AF565" t="s">
        <v>74</v>
      </c>
      <c r="AG565">
        <v>40</v>
      </c>
      <c r="AH565">
        <v>2</v>
      </c>
      <c r="AI565">
        <v>2</v>
      </c>
      <c r="AJ565">
        <v>1</v>
      </c>
      <c r="AK565">
        <v>6</v>
      </c>
      <c r="AL565" t="s">
        <v>332</v>
      </c>
      <c r="AM565" t="s">
        <v>333</v>
      </c>
      <c r="AN565" t="s">
        <v>334</v>
      </c>
      <c r="AO565" t="s">
        <v>11317</v>
      </c>
      <c r="AP565" t="s">
        <v>11318</v>
      </c>
      <c r="AQ565" t="s">
        <v>74</v>
      </c>
      <c r="AR565" t="s">
        <v>11319</v>
      </c>
      <c r="AS565" t="s">
        <v>11320</v>
      </c>
      <c r="AT565" t="s">
        <v>1000</v>
      </c>
      <c r="AU565">
        <v>2023</v>
      </c>
      <c r="AV565">
        <v>23</v>
      </c>
      <c r="AW565">
        <v>2</v>
      </c>
      <c r="AX565" t="s">
        <v>74</v>
      </c>
      <c r="AY565" t="s">
        <v>74</v>
      </c>
      <c r="AZ565" t="s">
        <v>74</v>
      </c>
      <c r="BA565" t="s">
        <v>74</v>
      </c>
      <c r="BB565">
        <v>151</v>
      </c>
      <c r="BC565">
        <v>172</v>
      </c>
      <c r="BD565" t="s">
        <v>11321</v>
      </c>
      <c r="BE565" t="s">
        <v>11322</v>
      </c>
      <c r="BF565" t="str">
        <f>HYPERLINK("http://dx.doi.org/10.1177/1471082X211043946","http://dx.doi.org/10.1177/1471082X211043946")</f>
        <v>http://dx.doi.org/10.1177/1471082X211043946</v>
      </c>
      <c r="BG565" t="s">
        <v>74</v>
      </c>
      <c r="BH565" t="s">
        <v>11189</v>
      </c>
      <c r="BI565">
        <v>22</v>
      </c>
      <c r="BJ565" t="s">
        <v>11323</v>
      </c>
      <c r="BK565" t="s">
        <v>101</v>
      </c>
      <c r="BL565" t="s">
        <v>1469</v>
      </c>
      <c r="BM565" t="s">
        <v>11324</v>
      </c>
      <c r="BN565" t="s">
        <v>74</v>
      </c>
      <c r="BO565" t="s">
        <v>74</v>
      </c>
      <c r="BP565" t="s">
        <v>74</v>
      </c>
      <c r="BQ565" t="s">
        <v>74</v>
      </c>
      <c r="BR565" t="s">
        <v>105</v>
      </c>
      <c r="BS565" t="s">
        <v>11325</v>
      </c>
      <c r="BT565" t="str">
        <f>HYPERLINK("https%3A%2F%2Fwww.webofscience.com%2Fwos%2Fwoscc%2Ffull-record%2FWOS:000704043000001","View Full Record in Web of Science")</f>
        <v>View Full Record in Web of Science</v>
      </c>
    </row>
    <row r="566" spans="1:72" x14ac:dyDescent="0.15">
      <c r="A566" t="s">
        <v>72</v>
      </c>
      <c r="B566" t="s">
        <v>11326</v>
      </c>
      <c r="C566" t="s">
        <v>74</v>
      </c>
      <c r="D566" t="s">
        <v>74</v>
      </c>
      <c r="E566" t="s">
        <v>74</v>
      </c>
      <c r="F566" t="s">
        <v>11327</v>
      </c>
      <c r="G566" t="s">
        <v>74</v>
      </c>
      <c r="H566" t="s">
        <v>74</v>
      </c>
      <c r="I566" t="s">
        <v>11328</v>
      </c>
      <c r="J566" t="s">
        <v>8748</v>
      </c>
      <c r="K566" t="s">
        <v>74</v>
      </c>
      <c r="L566" t="s">
        <v>74</v>
      </c>
      <c r="M566" t="s">
        <v>78</v>
      </c>
      <c r="N566" t="s">
        <v>79</v>
      </c>
      <c r="O566" t="s">
        <v>74</v>
      </c>
      <c r="P566" t="s">
        <v>74</v>
      </c>
      <c r="Q566" t="s">
        <v>74</v>
      </c>
      <c r="R566" t="s">
        <v>74</v>
      </c>
      <c r="S566" t="s">
        <v>74</v>
      </c>
      <c r="T566" t="s">
        <v>11329</v>
      </c>
      <c r="U566" t="s">
        <v>11330</v>
      </c>
      <c r="V566" t="s">
        <v>11331</v>
      </c>
      <c r="W566" t="s">
        <v>11332</v>
      </c>
      <c r="X566" t="s">
        <v>11333</v>
      </c>
      <c r="Y566" t="s">
        <v>11334</v>
      </c>
      <c r="Z566" t="s">
        <v>11335</v>
      </c>
      <c r="AA566" t="s">
        <v>74</v>
      </c>
      <c r="AB566" t="s">
        <v>74</v>
      </c>
      <c r="AC566" t="s">
        <v>11336</v>
      </c>
      <c r="AD566" t="s">
        <v>11337</v>
      </c>
      <c r="AE566" t="s">
        <v>11338</v>
      </c>
      <c r="AF566" t="s">
        <v>74</v>
      </c>
      <c r="AG566">
        <v>54</v>
      </c>
      <c r="AH566">
        <v>7</v>
      </c>
      <c r="AI566">
        <v>8</v>
      </c>
      <c r="AJ566">
        <v>1</v>
      </c>
      <c r="AK566">
        <v>13</v>
      </c>
      <c r="AL566" t="s">
        <v>383</v>
      </c>
      <c r="AM566" t="s">
        <v>384</v>
      </c>
      <c r="AN566" t="s">
        <v>385</v>
      </c>
      <c r="AO566" t="s">
        <v>8761</v>
      </c>
      <c r="AP566" t="s">
        <v>74</v>
      </c>
      <c r="AQ566" t="s">
        <v>74</v>
      </c>
      <c r="AR566" t="s">
        <v>8762</v>
      </c>
      <c r="AS566" t="s">
        <v>8763</v>
      </c>
      <c r="AT566" t="s">
        <v>11339</v>
      </c>
      <c r="AU566">
        <v>2021</v>
      </c>
      <c r="AV566">
        <v>12</v>
      </c>
      <c r="AW566" t="s">
        <v>74</v>
      </c>
      <c r="AX566" t="s">
        <v>74</v>
      </c>
      <c r="AY566" t="s">
        <v>74</v>
      </c>
      <c r="AZ566" t="s">
        <v>74</v>
      </c>
      <c r="BA566" t="s">
        <v>74</v>
      </c>
      <c r="BB566" t="s">
        <v>74</v>
      </c>
      <c r="BC566" t="s">
        <v>74</v>
      </c>
      <c r="BD566">
        <v>734500</v>
      </c>
      <c r="BE566" t="s">
        <v>11340</v>
      </c>
      <c r="BF566" t="str">
        <f>HYPERLINK("http://dx.doi.org/10.3389/fpls.2021.734500","http://dx.doi.org/10.3389/fpls.2021.734500")</f>
        <v>http://dx.doi.org/10.3389/fpls.2021.734500</v>
      </c>
      <c r="BG566" t="s">
        <v>74</v>
      </c>
      <c r="BH566" t="s">
        <v>74</v>
      </c>
      <c r="BI566">
        <v>13</v>
      </c>
      <c r="BJ566" t="s">
        <v>8765</v>
      </c>
      <c r="BK566" t="s">
        <v>101</v>
      </c>
      <c r="BL566" t="s">
        <v>8765</v>
      </c>
      <c r="BM566" t="s">
        <v>11341</v>
      </c>
      <c r="BN566">
        <v>34650582</v>
      </c>
      <c r="BO566" t="s">
        <v>1094</v>
      </c>
      <c r="BP566" t="s">
        <v>74</v>
      </c>
      <c r="BQ566" t="s">
        <v>74</v>
      </c>
      <c r="BR566" t="s">
        <v>105</v>
      </c>
      <c r="BS566" t="s">
        <v>11342</v>
      </c>
      <c r="BT566" t="str">
        <f>HYPERLINK("https%3A%2F%2Fwww.webofscience.com%2Fwos%2Fwoscc%2Ffull-record%2FWOS:000712763700001","View Full Record in Web of Science")</f>
        <v>View Full Record in Web of Science</v>
      </c>
    </row>
    <row r="567" spans="1:72" x14ac:dyDescent="0.15">
      <c r="A567" t="s">
        <v>72</v>
      </c>
      <c r="B567" t="s">
        <v>11343</v>
      </c>
      <c r="C567" t="s">
        <v>74</v>
      </c>
      <c r="D567" t="s">
        <v>74</v>
      </c>
      <c r="E567" t="s">
        <v>74</v>
      </c>
      <c r="F567" t="s">
        <v>11344</v>
      </c>
      <c r="G567" t="s">
        <v>74</v>
      </c>
      <c r="H567" t="s">
        <v>74</v>
      </c>
      <c r="I567" t="s">
        <v>11345</v>
      </c>
      <c r="J567" t="s">
        <v>11346</v>
      </c>
      <c r="K567" t="s">
        <v>74</v>
      </c>
      <c r="L567" t="s">
        <v>74</v>
      </c>
      <c r="M567" t="s">
        <v>78</v>
      </c>
      <c r="N567" t="s">
        <v>373</v>
      </c>
      <c r="O567" t="s">
        <v>74</v>
      </c>
      <c r="P567" t="s">
        <v>74</v>
      </c>
      <c r="Q567" t="s">
        <v>74</v>
      </c>
      <c r="R567" t="s">
        <v>74</v>
      </c>
      <c r="S567" t="s">
        <v>74</v>
      </c>
      <c r="T567" t="s">
        <v>11347</v>
      </c>
      <c r="U567" t="s">
        <v>11348</v>
      </c>
      <c r="V567" t="s">
        <v>11349</v>
      </c>
      <c r="W567" t="s">
        <v>11350</v>
      </c>
      <c r="X567" t="s">
        <v>11351</v>
      </c>
      <c r="Y567" t="s">
        <v>11352</v>
      </c>
      <c r="Z567" t="s">
        <v>11353</v>
      </c>
      <c r="AA567" t="s">
        <v>11354</v>
      </c>
      <c r="AB567" t="s">
        <v>11355</v>
      </c>
      <c r="AC567" t="s">
        <v>74</v>
      </c>
      <c r="AD567" t="s">
        <v>74</v>
      </c>
      <c r="AE567" t="s">
        <v>74</v>
      </c>
      <c r="AF567" t="s">
        <v>74</v>
      </c>
      <c r="AG567">
        <v>66</v>
      </c>
      <c r="AH567">
        <v>6</v>
      </c>
      <c r="AI567">
        <v>6</v>
      </c>
      <c r="AJ567">
        <v>0</v>
      </c>
      <c r="AK567">
        <v>14</v>
      </c>
      <c r="AL567" t="s">
        <v>255</v>
      </c>
      <c r="AM567" t="s">
        <v>256</v>
      </c>
      <c r="AN567" t="s">
        <v>257</v>
      </c>
      <c r="AO567" t="s">
        <v>11356</v>
      </c>
      <c r="AP567" t="s">
        <v>11357</v>
      </c>
      <c r="AQ567" t="s">
        <v>74</v>
      </c>
      <c r="AR567" t="s">
        <v>11358</v>
      </c>
      <c r="AS567" t="s">
        <v>11359</v>
      </c>
      <c r="AT567" t="s">
        <v>310</v>
      </c>
      <c r="AU567">
        <v>2021</v>
      </c>
      <c r="AV567">
        <v>198</v>
      </c>
      <c r="AW567" t="s">
        <v>74</v>
      </c>
      <c r="AX567" t="s">
        <v>74</v>
      </c>
      <c r="AY567" t="s">
        <v>74</v>
      </c>
      <c r="AZ567" t="s">
        <v>74</v>
      </c>
      <c r="BA567" t="s">
        <v>74</v>
      </c>
      <c r="BB567" t="s">
        <v>74</v>
      </c>
      <c r="BC567" t="s">
        <v>74</v>
      </c>
      <c r="BD567">
        <v>102686</v>
      </c>
      <c r="BE567" t="s">
        <v>11360</v>
      </c>
      <c r="BF567" t="str">
        <f>HYPERLINK("http://dx.doi.org/10.1016/j.pocean.2021.102686","http://dx.doi.org/10.1016/j.pocean.2021.102686")</f>
        <v>http://dx.doi.org/10.1016/j.pocean.2021.102686</v>
      </c>
      <c r="BG567" t="s">
        <v>74</v>
      </c>
      <c r="BH567" t="s">
        <v>11189</v>
      </c>
      <c r="BI567">
        <v>26</v>
      </c>
      <c r="BJ567" t="s">
        <v>264</v>
      </c>
      <c r="BK567" t="s">
        <v>101</v>
      </c>
      <c r="BL567" t="s">
        <v>264</v>
      </c>
      <c r="BM567" t="s">
        <v>11361</v>
      </c>
      <c r="BN567" t="s">
        <v>74</v>
      </c>
      <c r="BO567" t="s">
        <v>74</v>
      </c>
      <c r="BP567" t="s">
        <v>74</v>
      </c>
      <c r="BQ567" t="s">
        <v>74</v>
      </c>
      <c r="BR567" t="s">
        <v>105</v>
      </c>
      <c r="BS567" t="s">
        <v>11362</v>
      </c>
      <c r="BT567" t="str">
        <f>HYPERLINK("https%3A%2F%2Fwww.webofscience.com%2Fwos%2Fwoscc%2Ffull-record%2FWOS:000705645600001","View Full Record in Web of Science")</f>
        <v>View Full Record in Web of Science</v>
      </c>
    </row>
    <row r="568" spans="1:72" x14ac:dyDescent="0.15">
      <c r="A568" t="s">
        <v>72</v>
      </c>
      <c r="B568" t="s">
        <v>11363</v>
      </c>
      <c r="C568" t="s">
        <v>74</v>
      </c>
      <c r="D568" t="s">
        <v>74</v>
      </c>
      <c r="E568" t="s">
        <v>74</v>
      </c>
      <c r="F568" t="s">
        <v>11364</v>
      </c>
      <c r="G568" t="s">
        <v>74</v>
      </c>
      <c r="H568" t="s">
        <v>74</v>
      </c>
      <c r="I568" t="s">
        <v>11365</v>
      </c>
      <c r="J568" t="s">
        <v>747</v>
      </c>
      <c r="K568" t="s">
        <v>74</v>
      </c>
      <c r="L568" t="s">
        <v>74</v>
      </c>
      <c r="M568" t="s">
        <v>78</v>
      </c>
      <c r="N568" t="s">
        <v>79</v>
      </c>
      <c r="O568" t="s">
        <v>74</v>
      </c>
      <c r="P568" t="s">
        <v>74</v>
      </c>
      <c r="Q568" t="s">
        <v>74</v>
      </c>
      <c r="R568" t="s">
        <v>74</v>
      </c>
      <c r="S568" t="s">
        <v>74</v>
      </c>
      <c r="T568" t="s">
        <v>11366</v>
      </c>
      <c r="U568" t="s">
        <v>11367</v>
      </c>
      <c r="V568" t="s">
        <v>11368</v>
      </c>
      <c r="W568" t="s">
        <v>11369</v>
      </c>
      <c r="X568" t="s">
        <v>11370</v>
      </c>
      <c r="Y568" t="s">
        <v>11371</v>
      </c>
      <c r="Z568" t="s">
        <v>11372</v>
      </c>
      <c r="AA568" t="s">
        <v>11373</v>
      </c>
      <c r="AB568" t="s">
        <v>11374</v>
      </c>
      <c r="AC568" t="s">
        <v>11375</v>
      </c>
      <c r="AD568" t="s">
        <v>11376</v>
      </c>
      <c r="AE568" t="s">
        <v>11377</v>
      </c>
      <c r="AF568" t="s">
        <v>74</v>
      </c>
      <c r="AG568">
        <v>92</v>
      </c>
      <c r="AH568">
        <v>6</v>
      </c>
      <c r="AI568">
        <v>6</v>
      </c>
      <c r="AJ568">
        <v>2</v>
      </c>
      <c r="AK568">
        <v>17</v>
      </c>
      <c r="AL568" t="s">
        <v>760</v>
      </c>
      <c r="AM568" t="s">
        <v>438</v>
      </c>
      <c r="AN568" t="s">
        <v>761</v>
      </c>
      <c r="AO568" t="s">
        <v>762</v>
      </c>
      <c r="AP568" t="s">
        <v>763</v>
      </c>
      <c r="AQ568" t="s">
        <v>74</v>
      </c>
      <c r="AR568" t="s">
        <v>764</v>
      </c>
      <c r="AS568" t="s">
        <v>765</v>
      </c>
      <c r="AT568" t="s">
        <v>11339</v>
      </c>
      <c r="AU568">
        <v>2021</v>
      </c>
      <c r="AV568">
        <v>48</v>
      </c>
      <c r="AW568">
        <v>18</v>
      </c>
      <c r="AX568" t="s">
        <v>74</v>
      </c>
      <c r="AY568" t="s">
        <v>74</v>
      </c>
      <c r="AZ568" t="s">
        <v>74</v>
      </c>
      <c r="BA568" t="s">
        <v>74</v>
      </c>
      <c r="BB568" t="s">
        <v>74</v>
      </c>
      <c r="BC568" t="s">
        <v>74</v>
      </c>
      <c r="BD568" t="s">
        <v>11378</v>
      </c>
      <c r="BE568" t="s">
        <v>11379</v>
      </c>
      <c r="BF568" t="str">
        <f>HYPERLINK("http://dx.doi.org/10.1029/2021GL095036","http://dx.doi.org/10.1029/2021GL095036")</f>
        <v>http://dx.doi.org/10.1029/2021GL095036</v>
      </c>
      <c r="BG568" t="s">
        <v>74</v>
      </c>
      <c r="BH568" t="s">
        <v>74</v>
      </c>
      <c r="BI568">
        <v>11</v>
      </c>
      <c r="BJ568" t="s">
        <v>236</v>
      </c>
      <c r="BK568" t="s">
        <v>101</v>
      </c>
      <c r="BL568" t="s">
        <v>237</v>
      </c>
      <c r="BM568" t="s">
        <v>11380</v>
      </c>
      <c r="BN568" t="s">
        <v>74</v>
      </c>
      <c r="BO568" t="s">
        <v>2241</v>
      </c>
      <c r="BP568" t="s">
        <v>74</v>
      </c>
      <c r="BQ568" t="s">
        <v>74</v>
      </c>
      <c r="BR568" t="s">
        <v>105</v>
      </c>
      <c r="BS568" t="s">
        <v>11381</v>
      </c>
      <c r="BT568" t="str">
        <f>HYPERLINK("https%3A%2F%2Fwww.webofscience.com%2Fwos%2Fwoscc%2Ffull-record%2FWOS:000703685100003","View Full Record in Web of Science")</f>
        <v>View Full Record in Web of Science</v>
      </c>
    </row>
    <row r="569" spans="1:72" x14ac:dyDescent="0.15">
      <c r="A569" t="s">
        <v>72</v>
      </c>
      <c r="B569" t="s">
        <v>11382</v>
      </c>
      <c r="C569" t="s">
        <v>74</v>
      </c>
      <c r="D569" t="s">
        <v>74</v>
      </c>
      <c r="E569" t="s">
        <v>74</v>
      </c>
      <c r="F569" t="s">
        <v>11383</v>
      </c>
      <c r="G569" t="s">
        <v>74</v>
      </c>
      <c r="H569" t="s">
        <v>74</v>
      </c>
      <c r="I569" t="s">
        <v>11384</v>
      </c>
      <c r="J569" t="s">
        <v>747</v>
      </c>
      <c r="K569" t="s">
        <v>74</v>
      </c>
      <c r="L569" t="s">
        <v>74</v>
      </c>
      <c r="M569" t="s">
        <v>78</v>
      </c>
      <c r="N569" t="s">
        <v>79</v>
      </c>
      <c r="O569" t="s">
        <v>74</v>
      </c>
      <c r="P569" t="s">
        <v>74</v>
      </c>
      <c r="Q569" t="s">
        <v>74</v>
      </c>
      <c r="R569" t="s">
        <v>74</v>
      </c>
      <c r="S569" t="s">
        <v>74</v>
      </c>
      <c r="T569" t="s">
        <v>74</v>
      </c>
      <c r="U569" t="s">
        <v>11385</v>
      </c>
      <c r="V569" t="s">
        <v>11386</v>
      </c>
      <c r="W569" t="s">
        <v>11387</v>
      </c>
      <c r="X569" t="s">
        <v>11388</v>
      </c>
      <c r="Y569" t="s">
        <v>11389</v>
      </c>
      <c r="Z569" t="s">
        <v>11390</v>
      </c>
      <c r="AA569" t="s">
        <v>11391</v>
      </c>
      <c r="AB569" t="s">
        <v>11392</v>
      </c>
      <c r="AC569" t="s">
        <v>11393</v>
      </c>
      <c r="AD569" t="s">
        <v>11394</v>
      </c>
      <c r="AE569" t="s">
        <v>11395</v>
      </c>
      <c r="AF569" t="s">
        <v>74</v>
      </c>
      <c r="AG569">
        <v>37</v>
      </c>
      <c r="AH569">
        <v>2</v>
      </c>
      <c r="AI569">
        <v>2</v>
      </c>
      <c r="AJ569">
        <v>0</v>
      </c>
      <c r="AK569">
        <v>4</v>
      </c>
      <c r="AL569" t="s">
        <v>760</v>
      </c>
      <c r="AM569" t="s">
        <v>438</v>
      </c>
      <c r="AN569" t="s">
        <v>761</v>
      </c>
      <c r="AO569" t="s">
        <v>762</v>
      </c>
      <c r="AP569" t="s">
        <v>763</v>
      </c>
      <c r="AQ569" t="s">
        <v>74</v>
      </c>
      <c r="AR569" t="s">
        <v>764</v>
      </c>
      <c r="AS569" t="s">
        <v>765</v>
      </c>
      <c r="AT569" t="s">
        <v>11339</v>
      </c>
      <c r="AU569">
        <v>2021</v>
      </c>
      <c r="AV569">
        <v>48</v>
      </c>
      <c r="AW569">
        <v>18</v>
      </c>
      <c r="AX569" t="s">
        <v>74</v>
      </c>
      <c r="AY569" t="s">
        <v>74</v>
      </c>
      <c r="AZ569" t="s">
        <v>74</v>
      </c>
      <c r="BA569" t="s">
        <v>74</v>
      </c>
      <c r="BB569" t="s">
        <v>74</v>
      </c>
      <c r="BC569" t="s">
        <v>74</v>
      </c>
      <c r="BD569" t="s">
        <v>11396</v>
      </c>
      <c r="BE569" t="s">
        <v>11397</v>
      </c>
      <c r="BF569" t="str">
        <f>HYPERLINK("http://dx.doi.org/10.1029/2021GL094287","http://dx.doi.org/10.1029/2021GL094287")</f>
        <v>http://dx.doi.org/10.1029/2021GL094287</v>
      </c>
      <c r="BG569" t="s">
        <v>74</v>
      </c>
      <c r="BH569" t="s">
        <v>74</v>
      </c>
      <c r="BI569">
        <v>10</v>
      </c>
      <c r="BJ569" t="s">
        <v>236</v>
      </c>
      <c r="BK569" t="s">
        <v>101</v>
      </c>
      <c r="BL569" t="s">
        <v>237</v>
      </c>
      <c r="BM569" t="s">
        <v>11380</v>
      </c>
      <c r="BN569" t="s">
        <v>74</v>
      </c>
      <c r="BO569" t="s">
        <v>74</v>
      </c>
      <c r="BP569" t="s">
        <v>74</v>
      </c>
      <c r="BQ569" t="s">
        <v>74</v>
      </c>
      <c r="BR569" t="s">
        <v>105</v>
      </c>
      <c r="BS569" t="s">
        <v>11398</v>
      </c>
      <c r="BT569" t="str">
        <f>HYPERLINK("https%3A%2F%2Fwww.webofscience.com%2Fwos%2Fwoscc%2Ffull-record%2FWOS:000703685100076","View Full Record in Web of Science")</f>
        <v>View Full Record in Web of Science</v>
      </c>
    </row>
    <row r="570" spans="1:72" x14ac:dyDescent="0.15">
      <c r="A570" t="s">
        <v>72</v>
      </c>
      <c r="B570" t="s">
        <v>11399</v>
      </c>
      <c r="C570" t="s">
        <v>74</v>
      </c>
      <c r="D570" t="s">
        <v>74</v>
      </c>
      <c r="E570" t="s">
        <v>74</v>
      </c>
      <c r="F570" t="s">
        <v>11400</v>
      </c>
      <c r="G570" t="s">
        <v>74</v>
      </c>
      <c r="H570" t="s">
        <v>74</v>
      </c>
      <c r="I570" t="s">
        <v>11401</v>
      </c>
      <c r="J570" t="s">
        <v>747</v>
      </c>
      <c r="K570" t="s">
        <v>74</v>
      </c>
      <c r="L570" t="s">
        <v>74</v>
      </c>
      <c r="M570" t="s">
        <v>78</v>
      </c>
      <c r="N570" t="s">
        <v>79</v>
      </c>
      <c r="O570" t="s">
        <v>74</v>
      </c>
      <c r="P570" t="s">
        <v>74</v>
      </c>
      <c r="Q570" t="s">
        <v>74</v>
      </c>
      <c r="R570" t="s">
        <v>74</v>
      </c>
      <c r="S570" t="s">
        <v>74</v>
      </c>
      <c r="T570" t="s">
        <v>74</v>
      </c>
      <c r="U570" t="s">
        <v>11402</v>
      </c>
      <c r="V570" t="s">
        <v>11403</v>
      </c>
      <c r="W570" t="s">
        <v>11404</v>
      </c>
      <c r="X570" t="s">
        <v>11405</v>
      </c>
      <c r="Y570" t="s">
        <v>11406</v>
      </c>
      <c r="Z570" t="s">
        <v>11407</v>
      </c>
      <c r="AA570" t="s">
        <v>11408</v>
      </c>
      <c r="AB570" t="s">
        <v>11409</v>
      </c>
      <c r="AC570" t="s">
        <v>11410</v>
      </c>
      <c r="AD570" t="s">
        <v>11411</v>
      </c>
      <c r="AE570" t="s">
        <v>11412</v>
      </c>
      <c r="AF570" t="s">
        <v>74</v>
      </c>
      <c r="AG570">
        <v>60</v>
      </c>
      <c r="AH570">
        <v>4</v>
      </c>
      <c r="AI570">
        <v>4</v>
      </c>
      <c r="AJ570">
        <v>6</v>
      </c>
      <c r="AK570">
        <v>27</v>
      </c>
      <c r="AL570" t="s">
        <v>760</v>
      </c>
      <c r="AM570" t="s">
        <v>438</v>
      </c>
      <c r="AN570" t="s">
        <v>761</v>
      </c>
      <c r="AO570" t="s">
        <v>762</v>
      </c>
      <c r="AP570" t="s">
        <v>763</v>
      </c>
      <c r="AQ570" t="s">
        <v>74</v>
      </c>
      <c r="AR570" t="s">
        <v>764</v>
      </c>
      <c r="AS570" t="s">
        <v>765</v>
      </c>
      <c r="AT570" t="s">
        <v>11339</v>
      </c>
      <c r="AU570">
        <v>2021</v>
      </c>
      <c r="AV570">
        <v>48</v>
      </c>
      <c r="AW570">
        <v>18</v>
      </c>
      <c r="AX570" t="s">
        <v>74</v>
      </c>
      <c r="AY570" t="s">
        <v>74</v>
      </c>
      <c r="AZ570" t="s">
        <v>74</v>
      </c>
      <c r="BA570" t="s">
        <v>74</v>
      </c>
      <c r="BB570" t="s">
        <v>74</v>
      </c>
      <c r="BC570" t="s">
        <v>74</v>
      </c>
      <c r="BD570" t="s">
        <v>11413</v>
      </c>
      <c r="BE570" t="s">
        <v>11414</v>
      </c>
      <c r="BF570" t="str">
        <f>HYPERLINK("http://dx.doi.org/10.1029/2021GL093811","http://dx.doi.org/10.1029/2021GL093811")</f>
        <v>http://dx.doi.org/10.1029/2021GL093811</v>
      </c>
      <c r="BG570" t="s">
        <v>74</v>
      </c>
      <c r="BH570" t="s">
        <v>74</v>
      </c>
      <c r="BI570">
        <v>10</v>
      </c>
      <c r="BJ570" t="s">
        <v>236</v>
      </c>
      <c r="BK570" t="s">
        <v>101</v>
      </c>
      <c r="BL570" t="s">
        <v>237</v>
      </c>
      <c r="BM570" t="s">
        <v>11380</v>
      </c>
      <c r="BN570" t="s">
        <v>74</v>
      </c>
      <c r="BO570" t="s">
        <v>74</v>
      </c>
      <c r="BP570" t="s">
        <v>74</v>
      </c>
      <c r="BQ570" t="s">
        <v>74</v>
      </c>
      <c r="BR570" t="s">
        <v>105</v>
      </c>
      <c r="BS570" t="s">
        <v>11415</v>
      </c>
      <c r="BT570" t="str">
        <f>HYPERLINK("https%3A%2F%2Fwww.webofscience.com%2Fwos%2Fwoscc%2Ffull-record%2FWOS:000703685100053","View Full Record in Web of Science")</f>
        <v>View Full Record in Web of Science</v>
      </c>
    </row>
    <row r="571" spans="1:72" x14ac:dyDescent="0.15">
      <c r="A571" t="s">
        <v>72</v>
      </c>
      <c r="B571" t="s">
        <v>11416</v>
      </c>
      <c r="C571" t="s">
        <v>74</v>
      </c>
      <c r="D571" t="s">
        <v>74</v>
      </c>
      <c r="E571" t="s">
        <v>74</v>
      </c>
      <c r="F571" t="s">
        <v>11417</v>
      </c>
      <c r="G571" t="s">
        <v>74</v>
      </c>
      <c r="H571" t="s">
        <v>74</v>
      </c>
      <c r="I571" t="s">
        <v>11418</v>
      </c>
      <c r="J571" t="s">
        <v>1058</v>
      </c>
      <c r="K571" t="s">
        <v>74</v>
      </c>
      <c r="L571" t="s">
        <v>74</v>
      </c>
      <c r="M571" t="s">
        <v>78</v>
      </c>
      <c r="N571" t="s">
        <v>79</v>
      </c>
      <c r="O571" t="s">
        <v>74</v>
      </c>
      <c r="P571" t="s">
        <v>74</v>
      </c>
      <c r="Q571" t="s">
        <v>74</v>
      </c>
      <c r="R571" t="s">
        <v>74</v>
      </c>
      <c r="S571" t="s">
        <v>74</v>
      </c>
      <c r="T571" t="s">
        <v>74</v>
      </c>
      <c r="U571" t="s">
        <v>11419</v>
      </c>
      <c r="V571" t="s">
        <v>11420</v>
      </c>
      <c r="W571" t="s">
        <v>11421</v>
      </c>
      <c r="X571" t="s">
        <v>11422</v>
      </c>
      <c r="Y571" t="s">
        <v>11423</v>
      </c>
      <c r="Z571" t="s">
        <v>11424</v>
      </c>
      <c r="AA571" t="s">
        <v>11425</v>
      </c>
      <c r="AB571" t="s">
        <v>11426</v>
      </c>
      <c r="AC571" t="s">
        <v>11427</v>
      </c>
      <c r="AD571" t="s">
        <v>11428</v>
      </c>
      <c r="AE571" t="s">
        <v>11429</v>
      </c>
      <c r="AF571" t="s">
        <v>74</v>
      </c>
      <c r="AG571">
        <v>37</v>
      </c>
      <c r="AH571">
        <v>5</v>
      </c>
      <c r="AI571">
        <v>5</v>
      </c>
      <c r="AJ571">
        <v>0</v>
      </c>
      <c r="AK571">
        <v>6</v>
      </c>
      <c r="AL571" t="s">
        <v>227</v>
      </c>
      <c r="AM571" t="s">
        <v>228</v>
      </c>
      <c r="AN571" t="s">
        <v>229</v>
      </c>
      <c r="AO571" t="s">
        <v>1065</v>
      </c>
      <c r="AP571" t="s">
        <v>1066</v>
      </c>
      <c r="AQ571" t="s">
        <v>74</v>
      </c>
      <c r="AR571" t="s">
        <v>1058</v>
      </c>
      <c r="AS571" t="s">
        <v>1067</v>
      </c>
      <c r="AT571" t="s">
        <v>11339</v>
      </c>
      <c r="AU571">
        <v>2021</v>
      </c>
      <c r="AV571">
        <v>15</v>
      </c>
      <c r="AW571">
        <v>9</v>
      </c>
      <c r="AX571" t="s">
        <v>74</v>
      </c>
      <c r="AY571" t="s">
        <v>74</v>
      </c>
      <c r="AZ571" t="s">
        <v>74</v>
      </c>
      <c r="BA571" t="s">
        <v>74</v>
      </c>
      <c r="BB571">
        <v>4527</v>
      </c>
      <c r="BC571">
        <v>4537</v>
      </c>
      <c r="BD571" t="s">
        <v>74</v>
      </c>
      <c r="BE571" t="s">
        <v>11430</v>
      </c>
      <c r="BF571" t="str">
        <f>HYPERLINK("http://dx.doi.org/10.5194/tc-15-4527-2021","http://dx.doi.org/10.5194/tc-15-4527-2021")</f>
        <v>http://dx.doi.org/10.5194/tc-15-4527-2021</v>
      </c>
      <c r="BG571" t="s">
        <v>74</v>
      </c>
      <c r="BH571" t="s">
        <v>74</v>
      </c>
      <c r="BI571">
        <v>11</v>
      </c>
      <c r="BJ571" t="s">
        <v>340</v>
      </c>
      <c r="BK571" t="s">
        <v>101</v>
      </c>
      <c r="BL571" t="s">
        <v>341</v>
      </c>
      <c r="BM571" t="s">
        <v>11431</v>
      </c>
      <c r="BN571" t="s">
        <v>74</v>
      </c>
      <c r="BO571" t="s">
        <v>239</v>
      </c>
      <c r="BP571" t="s">
        <v>74</v>
      </c>
      <c r="BQ571" t="s">
        <v>74</v>
      </c>
      <c r="BR571" t="s">
        <v>105</v>
      </c>
      <c r="BS571" t="s">
        <v>11432</v>
      </c>
      <c r="BT571" t="str">
        <f>HYPERLINK("https%3A%2F%2Fwww.webofscience.com%2Fwos%2Fwoscc%2Ffull-record%2FWOS:000703084000001","View Full Record in Web of Science")</f>
        <v>View Full Record in Web of Science</v>
      </c>
    </row>
    <row r="572" spans="1:72" x14ac:dyDescent="0.15">
      <c r="A572" t="s">
        <v>72</v>
      </c>
      <c r="B572" t="s">
        <v>11433</v>
      </c>
      <c r="C572" t="s">
        <v>74</v>
      </c>
      <c r="D572" t="s">
        <v>74</v>
      </c>
      <c r="E572" t="s">
        <v>74</v>
      </c>
      <c r="F572" t="s">
        <v>11434</v>
      </c>
      <c r="G572" t="s">
        <v>74</v>
      </c>
      <c r="H572" t="s">
        <v>74</v>
      </c>
      <c r="I572" t="s">
        <v>11435</v>
      </c>
      <c r="J572" t="s">
        <v>3248</v>
      </c>
      <c r="K572" t="s">
        <v>74</v>
      </c>
      <c r="L572" t="s">
        <v>74</v>
      </c>
      <c r="M572" t="s">
        <v>78</v>
      </c>
      <c r="N572" t="s">
        <v>79</v>
      </c>
      <c r="O572" t="s">
        <v>74</v>
      </c>
      <c r="P572" t="s">
        <v>74</v>
      </c>
      <c r="Q572" t="s">
        <v>74</v>
      </c>
      <c r="R572" t="s">
        <v>74</v>
      </c>
      <c r="S572" t="s">
        <v>74</v>
      </c>
      <c r="T572" t="s">
        <v>11436</v>
      </c>
      <c r="U572" t="s">
        <v>11437</v>
      </c>
      <c r="V572" t="s">
        <v>11438</v>
      </c>
      <c r="W572" t="s">
        <v>11439</v>
      </c>
      <c r="X572" t="s">
        <v>11440</v>
      </c>
      <c r="Y572" t="s">
        <v>11441</v>
      </c>
      <c r="Z572" t="s">
        <v>11442</v>
      </c>
      <c r="AA572" t="s">
        <v>11443</v>
      </c>
      <c r="AB572" t="s">
        <v>11444</v>
      </c>
      <c r="AC572" t="s">
        <v>11445</v>
      </c>
      <c r="AD572" t="s">
        <v>11446</v>
      </c>
      <c r="AE572" t="s">
        <v>11447</v>
      </c>
      <c r="AF572" t="s">
        <v>74</v>
      </c>
      <c r="AG572">
        <v>69</v>
      </c>
      <c r="AH572">
        <v>23</v>
      </c>
      <c r="AI572">
        <v>26</v>
      </c>
      <c r="AJ572">
        <v>1</v>
      </c>
      <c r="AK572">
        <v>30</v>
      </c>
      <c r="AL572" t="s">
        <v>3261</v>
      </c>
      <c r="AM572" t="s">
        <v>438</v>
      </c>
      <c r="AN572" t="s">
        <v>3262</v>
      </c>
      <c r="AO572" t="s">
        <v>3263</v>
      </c>
      <c r="AP572" t="s">
        <v>9118</v>
      </c>
      <c r="AQ572" t="s">
        <v>74</v>
      </c>
      <c r="AR572" t="s">
        <v>3264</v>
      </c>
      <c r="AS572" t="s">
        <v>3265</v>
      </c>
      <c r="AT572" t="s">
        <v>11339</v>
      </c>
      <c r="AU572">
        <v>2021</v>
      </c>
      <c r="AV572">
        <v>118</v>
      </c>
      <c r="AW572">
        <v>39</v>
      </c>
      <c r="AX572" t="s">
        <v>74</v>
      </c>
      <c r="AY572" t="s">
        <v>74</v>
      </c>
      <c r="AZ572" t="s">
        <v>74</v>
      </c>
      <c r="BA572" t="s">
        <v>74</v>
      </c>
      <c r="BB572" t="s">
        <v>74</v>
      </c>
      <c r="BC572" t="s">
        <v>74</v>
      </c>
      <c r="BD572" t="s">
        <v>11448</v>
      </c>
      <c r="BE572" t="s">
        <v>11449</v>
      </c>
      <c r="BF572" t="str">
        <f>HYPERLINK("http://dx.doi.org/10.1073/pnas.2101155118","http://dx.doi.org/10.1073/pnas.2101155118")</f>
        <v>http://dx.doi.org/10.1073/pnas.2101155118</v>
      </c>
      <c r="BG572" t="s">
        <v>74</v>
      </c>
      <c r="BH572" t="s">
        <v>74</v>
      </c>
      <c r="BI572">
        <v>7</v>
      </c>
      <c r="BJ572" t="s">
        <v>126</v>
      </c>
      <c r="BK572" t="s">
        <v>101</v>
      </c>
      <c r="BL572" t="s">
        <v>127</v>
      </c>
      <c r="BM572" t="s">
        <v>11450</v>
      </c>
      <c r="BN572">
        <v>34544856</v>
      </c>
      <c r="BO572" t="s">
        <v>9122</v>
      </c>
      <c r="BP572" t="s">
        <v>74</v>
      </c>
      <c r="BQ572" t="s">
        <v>74</v>
      </c>
      <c r="BR572" t="s">
        <v>105</v>
      </c>
      <c r="BS572" t="s">
        <v>11451</v>
      </c>
      <c r="BT572" t="str">
        <f>HYPERLINK("https%3A%2F%2Fwww.webofscience.com%2Fwos%2Fwoscc%2Ffull-record%2FWOS:000704004200006","View Full Record in Web of Science")</f>
        <v>View Full Record in Web of Science</v>
      </c>
    </row>
    <row r="573" spans="1:72" x14ac:dyDescent="0.15">
      <c r="A573" t="s">
        <v>72</v>
      </c>
      <c r="B573" t="s">
        <v>11452</v>
      </c>
      <c r="C573" t="s">
        <v>74</v>
      </c>
      <c r="D573" t="s">
        <v>74</v>
      </c>
      <c r="E573" t="s">
        <v>74</v>
      </c>
      <c r="F573" t="s">
        <v>11453</v>
      </c>
      <c r="G573" t="s">
        <v>74</v>
      </c>
      <c r="H573" t="s">
        <v>74</v>
      </c>
      <c r="I573" t="s">
        <v>11454</v>
      </c>
      <c r="J573" t="s">
        <v>244</v>
      </c>
      <c r="K573" t="s">
        <v>74</v>
      </c>
      <c r="L573" t="s">
        <v>74</v>
      </c>
      <c r="M573" t="s">
        <v>78</v>
      </c>
      <c r="N573" t="s">
        <v>79</v>
      </c>
      <c r="O573" t="s">
        <v>74</v>
      </c>
      <c r="P573" t="s">
        <v>74</v>
      </c>
      <c r="Q573" t="s">
        <v>74</v>
      </c>
      <c r="R573" t="s">
        <v>74</v>
      </c>
      <c r="S573" t="s">
        <v>74</v>
      </c>
      <c r="T573" t="s">
        <v>11455</v>
      </c>
      <c r="U573" t="s">
        <v>11456</v>
      </c>
      <c r="V573" t="s">
        <v>11457</v>
      </c>
      <c r="W573" t="s">
        <v>11458</v>
      </c>
      <c r="X573" t="s">
        <v>11459</v>
      </c>
      <c r="Y573" t="s">
        <v>11460</v>
      </c>
      <c r="Z573" t="s">
        <v>11461</v>
      </c>
      <c r="AA573" t="s">
        <v>11462</v>
      </c>
      <c r="AB573" t="s">
        <v>11463</v>
      </c>
      <c r="AC573" t="s">
        <v>11464</v>
      </c>
      <c r="AD573" t="s">
        <v>11465</v>
      </c>
      <c r="AE573" t="s">
        <v>11466</v>
      </c>
      <c r="AF573" t="s">
        <v>74</v>
      </c>
      <c r="AG573">
        <v>57</v>
      </c>
      <c r="AH573">
        <v>2</v>
      </c>
      <c r="AI573">
        <v>3</v>
      </c>
      <c r="AJ573">
        <v>1</v>
      </c>
      <c r="AK573">
        <v>27</v>
      </c>
      <c r="AL573" t="s">
        <v>255</v>
      </c>
      <c r="AM573" t="s">
        <v>256</v>
      </c>
      <c r="AN573" t="s">
        <v>257</v>
      </c>
      <c r="AO573" t="s">
        <v>258</v>
      </c>
      <c r="AP573" t="s">
        <v>259</v>
      </c>
      <c r="AQ573" t="s">
        <v>74</v>
      </c>
      <c r="AR573" t="s">
        <v>260</v>
      </c>
      <c r="AS573" t="s">
        <v>261</v>
      </c>
      <c r="AT573" t="s">
        <v>627</v>
      </c>
      <c r="AU573">
        <v>2021</v>
      </c>
      <c r="AV573">
        <v>191</v>
      </c>
      <c r="AW573" t="s">
        <v>74</v>
      </c>
      <c r="AX573" t="s">
        <v>74</v>
      </c>
      <c r="AY573" t="s">
        <v>74</v>
      </c>
      <c r="AZ573" t="s">
        <v>74</v>
      </c>
      <c r="BA573" t="s">
        <v>74</v>
      </c>
      <c r="BB573" t="s">
        <v>74</v>
      </c>
      <c r="BC573" t="s">
        <v>74</v>
      </c>
      <c r="BD573">
        <v>104961</v>
      </c>
      <c r="BE573" t="s">
        <v>11467</v>
      </c>
      <c r="BF573" t="str">
        <f>HYPERLINK("http://dx.doi.org/10.1016/j.dsr2.2021.104961","http://dx.doi.org/10.1016/j.dsr2.2021.104961")</f>
        <v>http://dx.doi.org/10.1016/j.dsr2.2021.104961</v>
      </c>
      <c r="BG573" t="s">
        <v>74</v>
      </c>
      <c r="BH573" t="s">
        <v>11189</v>
      </c>
      <c r="BI573">
        <v>11</v>
      </c>
      <c r="BJ573" t="s">
        <v>264</v>
      </c>
      <c r="BK573" t="s">
        <v>101</v>
      </c>
      <c r="BL573" t="s">
        <v>264</v>
      </c>
      <c r="BM573" t="s">
        <v>11468</v>
      </c>
      <c r="BN573" t="s">
        <v>74</v>
      </c>
      <c r="BO573" t="s">
        <v>74</v>
      </c>
      <c r="BP573" t="s">
        <v>74</v>
      </c>
      <c r="BQ573" t="s">
        <v>74</v>
      </c>
      <c r="BR573" t="s">
        <v>105</v>
      </c>
      <c r="BS573" t="s">
        <v>11469</v>
      </c>
      <c r="BT573" t="str">
        <f>HYPERLINK("https%3A%2F%2Fwww.webofscience.com%2Fwos%2Fwoscc%2Ffull-record%2FWOS:000702608400003","View Full Record in Web of Science")</f>
        <v>View Full Record in Web of Science</v>
      </c>
    </row>
    <row r="574" spans="1:72" x14ac:dyDescent="0.15">
      <c r="A574" t="s">
        <v>72</v>
      </c>
      <c r="B574" t="s">
        <v>11470</v>
      </c>
      <c r="C574" t="s">
        <v>74</v>
      </c>
      <c r="D574" t="s">
        <v>74</v>
      </c>
      <c r="E574" t="s">
        <v>74</v>
      </c>
      <c r="F574" t="s">
        <v>11471</v>
      </c>
      <c r="G574" t="s">
        <v>74</v>
      </c>
      <c r="H574" t="s">
        <v>74</v>
      </c>
      <c r="I574" t="s">
        <v>11472</v>
      </c>
      <c r="J574" t="s">
        <v>372</v>
      </c>
      <c r="K574" t="s">
        <v>74</v>
      </c>
      <c r="L574" t="s">
        <v>74</v>
      </c>
      <c r="M574" t="s">
        <v>78</v>
      </c>
      <c r="N574" t="s">
        <v>79</v>
      </c>
      <c r="O574" t="s">
        <v>74</v>
      </c>
      <c r="P574" t="s">
        <v>74</v>
      </c>
      <c r="Q574" t="s">
        <v>74</v>
      </c>
      <c r="R574" t="s">
        <v>74</v>
      </c>
      <c r="S574" t="s">
        <v>74</v>
      </c>
      <c r="T574" t="s">
        <v>11473</v>
      </c>
      <c r="U574" t="s">
        <v>11474</v>
      </c>
      <c r="V574" t="s">
        <v>11475</v>
      </c>
      <c r="W574" t="s">
        <v>11476</v>
      </c>
      <c r="X574" t="s">
        <v>11477</v>
      </c>
      <c r="Y574" t="s">
        <v>11478</v>
      </c>
      <c r="Z574" t="s">
        <v>10968</v>
      </c>
      <c r="AA574" t="s">
        <v>11479</v>
      </c>
      <c r="AB574" t="s">
        <v>11480</v>
      </c>
      <c r="AC574" t="s">
        <v>11481</v>
      </c>
      <c r="AD574" t="s">
        <v>11482</v>
      </c>
      <c r="AE574" t="s">
        <v>11483</v>
      </c>
      <c r="AF574" t="s">
        <v>74</v>
      </c>
      <c r="AG574">
        <v>38</v>
      </c>
      <c r="AH574">
        <v>3</v>
      </c>
      <c r="AI574">
        <v>3</v>
      </c>
      <c r="AJ574">
        <v>1</v>
      </c>
      <c r="AK574">
        <v>10</v>
      </c>
      <c r="AL574" t="s">
        <v>383</v>
      </c>
      <c r="AM574" t="s">
        <v>384</v>
      </c>
      <c r="AN574" t="s">
        <v>385</v>
      </c>
      <c r="AO574" t="s">
        <v>74</v>
      </c>
      <c r="AP574" t="s">
        <v>386</v>
      </c>
      <c r="AQ574" t="s">
        <v>74</v>
      </c>
      <c r="AR574" t="s">
        <v>387</v>
      </c>
      <c r="AS574" t="s">
        <v>388</v>
      </c>
      <c r="AT574" t="s">
        <v>11339</v>
      </c>
      <c r="AU574">
        <v>2021</v>
      </c>
      <c r="AV574">
        <v>8</v>
      </c>
      <c r="AW574" t="s">
        <v>74</v>
      </c>
      <c r="AX574" t="s">
        <v>74</v>
      </c>
      <c r="AY574" t="s">
        <v>74</v>
      </c>
      <c r="AZ574" t="s">
        <v>74</v>
      </c>
      <c r="BA574" t="s">
        <v>74</v>
      </c>
      <c r="BB574" t="s">
        <v>74</v>
      </c>
      <c r="BC574" t="s">
        <v>74</v>
      </c>
      <c r="BD574">
        <v>670663</v>
      </c>
      <c r="BE574" t="s">
        <v>11484</v>
      </c>
      <c r="BF574" t="str">
        <f>HYPERLINK("http://dx.doi.org/10.3389/fmars.2021.670663","http://dx.doi.org/10.3389/fmars.2021.670663")</f>
        <v>http://dx.doi.org/10.3389/fmars.2021.670663</v>
      </c>
      <c r="BG574" t="s">
        <v>74</v>
      </c>
      <c r="BH574" t="s">
        <v>74</v>
      </c>
      <c r="BI574">
        <v>10</v>
      </c>
      <c r="BJ574" t="s">
        <v>391</v>
      </c>
      <c r="BK574" t="s">
        <v>101</v>
      </c>
      <c r="BL574" t="s">
        <v>392</v>
      </c>
      <c r="BM574" t="s">
        <v>11485</v>
      </c>
      <c r="BN574" t="s">
        <v>74</v>
      </c>
      <c r="BO574" t="s">
        <v>394</v>
      </c>
      <c r="BP574" t="s">
        <v>74</v>
      </c>
      <c r="BQ574" t="s">
        <v>74</v>
      </c>
      <c r="BR574" t="s">
        <v>105</v>
      </c>
      <c r="BS574" t="s">
        <v>11486</v>
      </c>
      <c r="BT574" t="str">
        <f>HYPERLINK("https%3A%2F%2Fwww.webofscience.com%2Fwos%2Fwoscc%2Ffull-record%2FWOS:000706165500001","View Full Record in Web of Science")</f>
        <v>View Full Record in Web of Science</v>
      </c>
    </row>
    <row r="575" spans="1:72" x14ac:dyDescent="0.15">
      <c r="A575" t="s">
        <v>72</v>
      </c>
      <c r="B575" t="s">
        <v>11487</v>
      </c>
      <c r="C575" t="s">
        <v>74</v>
      </c>
      <c r="D575" t="s">
        <v>74</v>
      </c>
      <c r="E575" t="s">
        <v>74</v>
      </c>
      <c r="F575" t="s">
        <v>11488</v>
      </c>
      <c r="G575" t="s">
        <v>74</v>
      </c>
      <c r="H575" t="s">
        <v>74</v>
      </c>
      <c r="I575" t="s">
        <v>11489</v>
      </c>
      <c r="J575" t="s">
        <v>835</v>
      </c>
      <c r="K575" t="s">
        <v>74</v>
      </c>
      <c r="L575" t="s">
        <v>74</v>
      </c>
      <c r="M575" t="s">
        <v>78</v>
      </c>
      <c r="N575" t="s">
        <v>79</v>
      </c>
      <c r="O575" t="s">
        <v>74</v>
      </c>
      <c r="P575" t="s">
        <v>74</v>
      </c>
      <c r="Q575" t="s">
        <v>74</v>
      </c>
      <c r="R575" t="s">
        <v>74</v>
      </c>
      <c r="S575" t="s">
        <v>74</v>
      </c>
      <c r="T575" t="s">
        <v>11490</v>
      </c>
      <c r="U575" t="s">
        <v>11491</v>
      </c>
      <c r="V575" t="s">
        <v>11492</v>
      </c>
      <c r="W575" t="s">
        <v>11493</v>
      </c>
      <c r="X575" t="s">
        <v>11494</v>
      </c>
      <c r="Y575" t="s">
        <v>11495</v>
      </c>
      <c r="Z575" t="s">
        <v>11496</v>
      </c>
      <c r="AA575" t="s">
        <v>11497</v>
      </c>
      <c r="AB575" t="s">
        <v>11498</v>
      </c>
      <c r="AC575" t="s">
        <v>11499</v>
      </c>
      <c r="AD575" t="s">
        <v>11500</v>
      </c>
      <c r="AE575" t="s">
        <v>11501</v>
      </c>
      <c r="AF575" t="s">
        <v>74</v>
      </c>
      <c r="AG575">
        <v>72</v>
      </c>
      <c r="AH575">
        <v>13</v>
      </c>
      <c r="AI575">
        <v>16</v>
      </c>
      <c r="AJ575">
        <v>9</v>
      </c>
      <c r="AK575">
        <v>73</v>
      </c>
      <c r="AL575" t="s">
        <v>847</v>
      </c>
      <c r="AM575" t="s">
        <v>848</v>
      </c>
      <c r="AN575" t="s">
        <v>849</v>
      </c>
      <c r="AO575" t="s">
        <v>850</v>
      </c>
      <c r="AP575" t="s">
        <v>851</v>
      </c>
      <c r="AQ575" t="s">
        <v>74</v>
      </c>
      <c r="AR575" t="s">
        <v>852</v>
      </c>
      <c r="AS575" t="s">
        <v>853</v>
      </c>
      <c r="AT575" t="s">
        <v>854</v>
      </c>
      <c r="AU575">
        <v>2022</v>
      </c>
      <c r="AV575">
        <v>806</v>
      </c>
      <c r="AW575" t="s">
        <v>74</v>
      </c>
      <c r="AX575">
        <v>1</v>
      </c>
      <c r="AY575" t="s">
        <v>74</v>
      </c>
      <c r="AZ575" t="s">
        <v>74</v>
      </c>
      <c r="BA575" t="s">
        <v>74</v>
      </c>
      <c r="BB575" t="s">
        <v>74</v>
      </c>
      <c r="BC575" t="s">
        <v>74</v>
      </c>
      <c r="BD575">
        <v>150530</v>
      </c>
      <c r="BE575" t="s">
        <v>11502</v>
      </c>
      <c r="BF575" t="str">
        <f>HYPERLINK("http://dx.doi.org/10.1016/j.scitotenv.2021.150530","http://dx.doi.org/10.1016/j.scitotenv.2021.150530")</f>
        <v>http://dx.doi.org/10.1016/j.scitotenv.2021.150530</v>
      </c>
      <c r="BG575" t="s">
        <v>74</v>
      </c>
      <c r="BH575" t="s">
        <v>11189</v>
      </c>
      <c r="BI575">
        <v>10</v>
      </c>
      <c r="BJ575" t="s">
        <v>856</v>
      </c>
      <c r="BK575" t="s">
        <v>101</v>
      </c>
      <c r="BL575" t="s">
        <v>630</v>
      </c>
      <c r="BM575" t="s">
        <v>11503</v>
      </c>
      <c r="BN575">
        <v>34844325</v>
      </c>
      <c r="BO575" t="s">
        <v>74</v>
      </c>
      <c r="BP575" t="s">
        <v>74</v>
      </c>
      <c r="BQ575" t="s">
        <v>74</v>
      </c>
      <c r="BR575" t="s">
        <v>105</v>
      </c>
      <c r="BS575" t="s">
        <v>11504</v>
      </c>
      <c r="BT575" t="str">
        <f>HYPERLINK("https%3A%2F%2Fwww.webofscience.com%2Fwos%2Fwoscc%2Ffull-record%2FWOS:000707649600010","View Full Record in Web of Science")</f>
        <v>View Full Record in Web of Science</v>
      </c>
    </row>
    <row r="576" spans="1:72" x14ac:dyDescent="0.15">
      <c r="A576" t="s">
        <v>72</v>
      </c>
      <c r="B576" t="s">
        <v>11505</v>
      </c>
      <c r="C576" t="s">
        <v>74</v>
      </c>
      <c r="D576" t="s">
        <v>74</v>
      </c>
      <c r="E576" t="s">
        <v>74</v>
      </c>
      <c r="F576" t="s">
        <v>11506</v>
      </c>
      <c r="G576" t="s">
        <v>74</v>
      </c>
      <c r="H576" t="s">
        <v>74</v>
      </c>
      <c r="I576" t="s">
        <v>11507</v>
      </c>
      <c r="J576" t="s">
        <v>2653</v>
      </c>
      <c r="K576" t="s">
        <v>74</v>
      </c>
      <c r="L576" t="s">
        <v>74</v>
      </c>
      <c r="M576" t="s">
        <v>78</v>
      </c>
      <c r="N576" t="s">
        <v>79</v>
      </c>
      <c r="O576" t="s">
        <v>74</v>
      </c>
      <c r="P576" t="s">
        <v>74</v>
      </c>
      <c r="Q576" t="s">
        <v>74</v>
      </c>
      <c r="R576" t="s">
        <v>74</v>
      </c>
      <c r="S576" t="s">
        <v>74</v>
      </c>
      <c r="T576" t="s">
        <v>11508</v>
      </c>
      <c r="U576" t="s">
        <v>11509</v>
      </c>
      <c r="V576" t="s">
        <v>11510</v>
      </c>
      <c r="W576" t="s">
        <v>11511</v>
      </c>
      <c r="X576" t="s">
        <v>11512</v>
      </c>
      <c r="Y576" t="s">
        <v>11513</v>
      </c>
      <c r="Z576" t="s">
        <v>11514</v>
      </c>
      <c r="AA576" t="s">
        <v>11515</v>
      </c>
      <c r="AB576" t="s">
        <v>11516</v>
      </c>
      <c r="AC576" t="s">
        <v>11517</v>
      </c>
      <c r="AD576" t="s">
        <v>11518</v>
      </c>
      <c r="AE576" t="s">
        <v>11519</v>
      </c>
      <c r="AF576" t="s">
        <v>74</v>
      </c>
      <c r="AG576">
        <v>69</v>
      </c>
      <c r="AH576">
        <v>0</v>
      </c>
      <c r="AI576">
        <v>0</v>
      </c>
      <c r="AJ576">
        <v>5</v>
      </c>
      <c r="AK576">
        <v>34</v>
      </c>
      <c r="AL576" t="s">
        <v>1852</v>
      </c>
      <c r="AM576" t="s">
        <v>333</v>
      </c>
      <c r="AN576" t="s">
        <v>1853</v>
      </c>
      <c r="AO576" t="s">
        <v>2664</v>
      </c>
      <c r="AP576" t="s">
        <v>2665</v>
      </c>
      <c r="AQ576" t="s">
        <v>74</v>
      </c>
      <c r="AR576" t="s">
        <v>2666</v>
      </c>
      <c r="AS576" t="s">
        <v>2667</v>
      </c>
      <c r="AT576" t="s">
        <v>7760</v>
      </c>
      <c r="AU576">
        <v>2021</v>
      </c>
      <c r="AV576">
        <v>180</v>
      </c>
      <c r="AW576" t="s">
        <v>74</v>
      </c>
      <c r="AX576" t="s">
        <v>74</v>
      </c>
      <c r="AY576" t="s">
        <v>74</v>
      </c>
      <c r="AZ576" t="s">
        <v>74</v>
      </c>
      <c r="BA576" t="s">
        <v>74</v>
      </c>
      <c r="BB576">
        <v>375</v>
      </c>
      <c r="BC576">
        <v>391</v>
      </c>
      <c r="BD576" t="s">
        <v>74</v>
      </c>
      <c r="BE576" t="s">
        <v>11520</v>
      </c>
      <c r="BF576" t="str">
        <f>HYPERLINK("http://dx.doi.org/10.1016/j.anbehav.2021.08.015","http://dx.doi.org/10.1016/j.anbehav.2021.08.015")</f>
        <v>http://dx.doi.org/10.1016/j.anbehav.2021.08.015</v>
      </c>
      <c r="BG576" t="s">
        <v>74</v>
      </c>
      <c r="BH576" t="s">
        <v>11189</v>
      </c>
      <c r="BI576">
        <v>17</v>
      </c>
      <c r="BJ576" t="s">
        <v>2669</v>
      </c>
      <c r="BK576" t="s">
        <v>101</v>
      </c>
      <c r="BL576" t="s">
        <v>2669</v>
      </c>
      <c r="BM576" t="s">
        <v>11521</v>
      </c>
      <c r="BN576" t="s">
        <v>74</v>
      </c>
      <c r="BO576" t="s">
        <v>74</v>
      </c>
      <c r="BP576" t="s">
        <v>74</v>
      </c>
      <c r="BQ576" t="s">
        <v>74</v>
      </c>
      <c r="BR576" t="s">
        <v>105</v>
      </c>
      <c r="BS576" t="s">
        <v>11522</v>
      </c>
      <c r="BT576" t="str">
        <f>HYPERLINK("https%3A%2F%2Fwww.webofscience.com%2Fwos%2Fwoscc%2Ffull-record%2FWOS:000707744600011","View Full Record in Web of Science")</f>
        <v>View Full Record in Web of Science</v>
      </c>
    </row>
    <row r="577" spans="1:72" x14ac:dyDescent="0.15">
      <c r="A577" t="s">
        <v>72</v>
      </c>
      <c r="B577" t="s">
        <v>11523</v>
      </c>
      <c r="C577" t="s">
        <v>74</v>
      </c>
      <c r="D577" t="s">
        <v>74</v>
      </c>
      <c r="E577" t="s">
        <v>74</v>
      </c>
      <c r="F577" t="s">
        <v>11524</v>
      </c>
      <c r="G577" t="s">
        <v>74</v>
      </c>
      <c r="H577" t="s">
        <v>74</v>
      </c>
      <c r="I577" t="s">
        <v>11525</v>
      </c>
      <c r="J577" t="s">
        <v>1099</v>
      </c>
      <c r="K577" t="s">
        <v>74</v>
      </c>
      <c r="L577" t="s">
        <v>74</v>
      </c>
      <c r="M577" t="s">
        <v>78</v>
      </c>
      <c r="N577" t="s">
        <v>79</v>
      </c>
      <c r="O577" t="s">
        <v>74</v>
      </c>
      <c r="P577" t="s">
        <v>74</v>
      </c>
      <c r="Q577" t="s">
        <v>74</v>
      </c>
      <c r="R577" t="s">
        <v>74</v>
      </c>
      <c r="S577" t="s">
        <v>74</v>
      </c>
      <c r="T577" t="s">
        <v>11526</v>
      </c>
      <c r="U577" t="s">
        <v>11527</v>
      </c>
      <c r="V577" t="s">
        <v>11528</v>
      </c>
      <c r="W577" t="s">
        <v>11529</v>
      </c>
      <c r="X577" t="s">
        <v>11530</v>
      </c>
      <c r="Y577" t="s">
        <v>11531</v>
      </c>
      <c r="Z577" t="s">
        <v>11532</v>
      </c>
      <c r="AA577" t="s">
        <v>11533</v>
      </c>
      <c r="AB577" t="s">
        <v>11534</v>
      </c>
      <c r="AC577" t="s">
        <v>11535</v>
      </c>
      <c r="AD577" t="s">
        <v>11536</v>
      </c>
      <c r="AE577" t="s">
        <v>11537</v>
      </c>
      <c r="AF577" t="s">
        <v>74</v>
      </c>
      <c r="AG577">
        <v>123</v>
      </c>
      <c r="AH577">
        <v>12</v>
      </c>
      <c r="AI577">
        <v>12</v>
      </c>
      <c r="AJ577">
        <v>2</v>
      </c>
      <c r="AK577">
        <v>15</v>
      </c>
      <c r="AL577" t="s">
        <v>383</v>
      </c>
      <c r="AM577" t="s">
        <v>384</v>
      </c>
      <c r="AN577" t="s">
        <v>385</v>
      </c>
      <c r="AO577" t="s">
        <v>74</v>
      </c>
      <c r="AP577" t="s">
        <v>1112</v>
      </c>
      <c r="AQ577" t="s">
        <v>74</v>
      </c>
      <c r="AR577" t="s">
        <v>1113</v>
      </c>
      <c r="AS577" t="s">
        <v>1114</v>
      </c>
      <c r="AT577" t="s">
        <v>11538</v>
      </c>
      <c r="AU577">
        <v>2021</v>
      </c>
      <c r="AV577">
        <v>9</v>
      </c>
      <c r="AW577" t="s">
        <v>74</v>
      </c>
      <c r="AX577" t="s">
        <v>74</v>
      </c>
      <c r="AY577" t="s">
        <v>74</v>
      </c>
      <c r="AZ577" t="s">
        <v>74</v>
      </c>
      <c r="BA577" t="s">
        <v>74</v>
      </c>
      <c r="BB577" t="s">
        <v>74</v>
      </c>
      <c r="BC577" t="s">
        <v>74</v>
      </c>
      <c r="BD577">
        <v>725279</v>
      </c>
      <c r="BE577" t="s">
        <v>11539</v>
      </c>
      <c r="BF577" t="str">
        <f>HYPERLINK("http://dx.doi.org/10.3389/feart.2021.725279","http://dx.doi.org/10.3389/feart.2021.725279")</f>
        <v>http://dx.doi.org/10.3389/feart.2021.725279</v>
      </c>
      <c r="BG577" t="s">
        <v>74</v>
      </c>
      <c r="BH577" t="s">
        <v>74</v>
      </c>
      <c r="BI577">
        <v>20</v>
      </c>
      <c r="BJ577" t="s">
        <v>236</v>
      </c>
      <c r="BK577" t="s">
        <v>101</v>
      </c>
      <c r="BL577" t="s">
        <v>237</v>
      </c>
      <c r="BM577" t="s">
        <v>11540</v>
      </c>
      <c r="BN577" t="s">
        <v>74</v>
      </c>
      <c r="BO577" t="s">
        <v>104</v>
      </c>
      <c r="BP577" t="s">
        <v>74</v>
      </c>
      <c r="BQ577" t="s">
        <v>74</v>
      </c>
      <c r="BR577" t="s">
        <v>105</v>
      </c>
      <c r="BS577" t="s">
        <v>11541</v>
      </c>
      <c r="BT577" t="str">
        <f>HYPERLINK("https%3A%2F%2Fwww.webofscience.com%2Fwos%2Fwoscc%2Ffull-record%2FWOS:000707465500001","View Full Record in Web of Science")</f>
        <v>View Full Record in Web of Science</v>
      </c>
    </row>
    <row r="578" spans="1:72" x14ac:dyDescent="0.15">
      <c r="A578" t="s">
        <v>72</v>
      </c>
      <c r="B578" t="s">
        <v>11542</v>
      </c>
      <c r="C578" t="s">
        <v>74</v>
      </c>
      <c r="D578" t="s">
        <v>74</v>
      </c>
      <c r="E578" t="s">
        <v>74</v>
      </c>
      <c r="F578" t="s">
        <v>11543</v>
      </c>
      <c r="G578" t="s">
        <v>74</v>
      </c>
      <c r="H578" t="s">
        <v>74</v>
      </c>
      <c r="I578" t="s">
        <v>11544</v>
      </c>
      <c r="J578" t="s">
        <v>11545</v>
      </c>
      <c r="K578" t="s">
        <v>74</v>
      </c>
      <c r="L578" t="s">
        <v>74</v>
      </c>
      <c r="M578" t="s">
        <v>78</v>
      </c>
      <c r="N578" t="s">
        <v>79</v>
      </c>
      <c r="O578" t="s">
        <v>74</v>
      </c>
      <c r="P578" t="s">
        <v>74</v>
      </c>
      <c r="Q578" t="s">
        <v>74</v>
      </c>
      <c r="R578" t="s">
        <v>74</v>
      </c>
      <c r="S578" t="s">
        <v>74</v>
      </c>
      <c r="T578" t="s">
        <v>11546</v>
      </c>
      <c r="U578" t="s">
        <v>11547</v>
      </c>
      <c r="V578" t="s">
        <v>11548</v>
      </c>
      <c r="W578" t="s">
        <v>11549</v>
      </c>
      <c r="X578" t="s">
        <v>11550</v>
      </c>
      <c r="Y578" t="s">
        <v>11551</v>
      </c>
      <c r="Z578" t="s">
        <v>11552</v>
      </c>
      <c r="AA578" t="s">
        <v>11553</v>
      </c>
      <c r="AB578" t="s">
        <v>11554</v>
      </c>
      <c r="AC578" t="s">
        <v>11555</v>
      </c>
      <c r="AD578" t="s">
        <v>11556</v>
      </c>
      <c r="AE578" t="s">
        <v>11557</v>
      </c>
      <c r="AF578" t="s">
        <v>74</v>
      </c>
      <c r="AG578">
        <v>119</v>
      </c>
      <c r="AH578">
        <v>1</v>
      </c>
      <c r="AI578">
        <v>1</v>
      </c>
      <c r="AJ578">
        <v>0</v>
      </c>
      <c r="AK578">
        <v>13</v>
      </c>
      <c r="AL578" t="s">
        <v>11558</v>
      </c>
      <c r="AM578" t="s">
        <v>11559</v>
      </c>
      <c r="AN578" t="s">
        <v>11560</v>
      </c>
      <c r="AO578" t="s">
        <v>11561</v>
      </c>
      <c r="AP578" t="s">
        <v>11562</v>
      </c>
      <c r="AQ578" t="s">
        <v>74</v>
      </c>
      <c r="AR578" t="s">
        <v>11563</v>
      </c>
      <c r="AS578" t="s">
        <v>11564</v>
      </c>
      <c r="AT578" t="s">
        <v>310</v>
      </c>
      <c r="AU578">
        <v>2021</v>
      </c>
      <c r="AV578">
        <v>44</v>
      </c>
      <c r="AW578">
        <v>6</v>
      </c>
      <c r="AX578" t="s">
        <v>74</v>
      </c>
      <c r="AY578" t="s">
        <v>74</v>
      </c>
      <c r="AZ578" t="s">
        <v>74</v>
      </c>
      <c r="BA578" t="s">
        <v>74</v>
      </c>
      <c r="BB578" t="s">
        <v>74</v>
      </c>
      <c r="BC578" t="s">
        <v>74</v>
      </c>
      <c r="BD578">
        <v>126250</v>
      </c>
      <c r="BE578" t="s">
        <v>11565</v>
      </c>
      <c r="BF578" t="str">
        <f>HYPERLINK("http://dx.doi.org/10.1016/j.syapm.2021.126250","http://dx.doi.org/10.1016/j.syapm.2021.126250")</f>
        <v>http://dx.doi.org/10.1016/j.syapm.2021.126250</v>
      </c>
      <c r="BG578" t="s">
        <v>74</v>
      </c>
      <c r="BH578" t="s">
        <v>11189</v>
      </c>
      <c r="BI578">
        <v>20</v>
      </c>
      <c r="BJ578" t="s">
        <v>5455</v>
      </c>
      <c r="BK578" t="s">
        <v>101</v>
      </c>
      <c r="BL578" t="s">
        <v>5455</v>
      </c>
      <c r="BM578" t="s">
        <v>11566</v>
      </c>
      <c r="BN578">
        <v>34592543</v>
      </c>
      <c r="BO578" t="s">
        <v>343</v>
      </c>
      <c r="BP578" t="s">
        <v>74</v>
      </c>
      <c r="BQ578" t="s">
        <v>74</v>
      </c>
      <c r="BR578" t="s">
        <v>105</v>
      </c>
      <c r="BS578" t="s">
        <v>11567</v>
      </c>
      <c r="BT578" t="str">
        <f>HYPERLINK("https%3A%2F%2Fwww.webofscience.com%2Fwos%2Fwoscc%2Ffull-record%2FWOS:000705189800004","View Full Record in Web of Science")</f>
        <v>View Full Record in Web of Science</v>
      </c>
    </row>
    <row r="579" spans="1:72" x14ac:dyDescent="0.15">
      <c r="A579" t="s">
        <v>72</v>
      </c>
      <c r="B579" t="s">
        <v>11568</v>
      </c>
      <c r="C579" t="s">
        <v>74</v>
      </c>
      <c r="D579" t="s">
        <v>74</v>
      </c>
      <c r="E579" t="s">
        <v>74</v>
      </c>
      <c r="F579" t="s">
        <v>11569</v>
      </c>
      <c r="G579" t="s">
        <v>74</v>
      </c>
      <c r="H579" t="s">
        <v>74</v>
      </c>
      <c r="I579" t="s">
        <v>11570</v>
      </c>
      <c r="J579" t="s">
        <v>11571</v>
      </c>
      <c r="K579" t="s">
        <v>74</v>
      </c>
      <c r="L579" t="s">
        <v>74</v>
      </c>
      <c r="M579" t="s">
        <v>78</v>
      </c>
      <c r="N579" t="s">
        <v>79</v>
      </c>
      <c r="O579" t="s">
        <v>74</v>
      </c>
      <c r="P579" t="s">
        <v>74</v>
      </c>
      <c r="Q579" t="s">
        <v>74</v>
      </c>
      <c r="R579" t="s">
        <v>74</v>
      </c>
      <c r="S579" t="s">
        <v>74</v>
      </c>
      <c r="T579" t="s">
        <v>11572</v>
      </c>
      <c r="U579" t="s">
        <v>11573</v>
      </c>
      <c r="V579" t="s">
        <v>11574</v>
      </c>
      <c r="W579" t="s">
        <v>11575</v>
      </c>
      <c r="X579" t="s">
        <v>11576</v>
      </c>
      <c r="Y579" t="s">
        <v>11577</v>
      </c>
      <c r="Z579" t="s">
        <v>11578</v>
      </c>
      <c r="AA579" t="s">
        <v>11579</v>
      </c>
      <c r="AB579" t="s">
        <v>11580</v>
      </c>
      <c r="AC579" t="s">
        <v>11581</v>
      </c>
      <c r="AD579" t="s">
        <v>11582</v>
      </c>
      <c r="AE579" t="s">
        <v>11583</v>
      </c>
      <c r="AF579" t="s">
        <v>74</v>
      </c>
      <c r="AG579">
        <v>91</v>
      </c>
      <c r="AH579">
        <v>1</v>
      </c>
      <c r="AI579">
        <v>2</v>
      </c>
      <c r="AJ579">
        <v>6</v>
      </c>
      <c r="AK579">
        <v>22</v>
      </c>
      <c r="AL579" t="s">
        <v>255</v>
      </c>
      <c r="AM579" t="s">
        <v>256</v>
      </c>
      <c r="AN579" t="s">
        <v>257</v>
      </c>
      <c r="AO579" t="s">
        <v>11584</v>
      </c>
      <c r="AP579" t="s">
        <v>11585</v>
      </c>
      <c r="AQ579" t="s">
        <v>74</v>
      </c>
      <c r="AR579" t="s">
        <v>11586</v>
      </c>
      <c r="AS579" t="s">
        <v>11587</v>
      </c>
      <c r="AT579" t="s">
        <v>98</v>
      </c>
      <c r="AU579">
        <v>2021</v>
      </c>
      <c r="AV579">
        <v>189</v>
      </c>
      <c r="AW579" t="s">
        <v>74</v>
      </c>
      <c r="AX579" t="s">
        <v>74</v>
      </c>
      <c r="AY579" t="s">
        <v>74</v>
      </c>
      <c r="AZ579" t="s">
        <v>74</v>
      </c>
      <c r="BA579" t="s">
        <v>74</v>
      </c>
      <c r="BB579">
        <v>658</v>
      </c>
      <c r="BC579">
        <v>670</v>
      </c>
      <c r="BD579" t="s">
        <v>74</v>
      </c>
      <c r="BE579" t="s">
        <v>11588</v>
      </c>
      <c r="BF579" t="str">
        <f>HYPERLINK("http://dx.doi.org/10.1016/j.actaastro.2021.09.031","http://dx.doi.org/10.1016/j.actaastro.2021.09.031")</f>
        <v>http://dx.doi.org/10.1016/j.actaastro.2021.09.031</v>
      </c>
      <c r="BG579" t="s">
        <v>74</v>
      </c>
      <c r="BH579" t="s">
        <v>11189</v>
      </c>
      <c r="BI579">
        <v>13</v>
      </c>
      <c r="BJ579" t="s">
        <v>11589</v>
      </c>
      <c r="BK579" t="s">
        <v>207</v>
      </c>
      <c r="BL579" t="s">
        <v>10819</v>
      </c>
      <c r="BM579" t="s">
        <v>11590</v>
      </c>
      <c r="BN579" t="s">
        <v>74</v>
      </c>
      <c r="BO579" t="s">
        <v>1471</v>
      </c>
      <c r="BP579" t="s">
        <v>74</v>
      </c>
      <c r="BQ579" t="s">
        <v>74</v>
      </c>
      <c r="BR579" t="s">
        <v>105</v>
      </c>
      <c r="BS579" t="s">
        <v>11591</v>
      </c>
      <c r="BT579" t="str">
        <f>HYPERLINK("https%3A%2F%2Fwww.webofscience.com%2Fwos%2Fwoscc%2Ffull-record%2FWOS:000703817900057","View Full Record in Web of Science")</f>
        <v>View Full Record in Web of Science</v>
      </c>
    </row>
    <row r="580" spans="1:72" x14ac:dyDescent="0.15">
      <c r="A580" t="s">
        <v>72</v>
      </c>
      <c r="B580" t="s">
        <v>11592</v>
      </c>
      <c r="C580" t="s">
        <v>74</v>
      </c>
      <c r="D580" t="s">
        <v>74</v>
      </c>
      <c r="E580" t="s">
        <v>74</v>
      </c>
      <c r="F580" t="s">
        <v>11593</v>
      </c>
      <c r="G580" t="s">
        <v>74</v>
      </c>
      <c r="H580" t="s">
        <v>74</v>
      </c>
      <c r="I580" t="s">
        <v>11594</v>
      </c>
      <c r="J580" t="s">
        <v>3738</v>
      </c>
      <c r="K580" t="s">
        <v>74</v>
      </c>
      <c r="L580" t="s">
        <v>74</v>
      </c>
      <c r="M580" t="s">
        <v>78</v>
      </c>
      <c r="N580" t="s">
        <v>79</v>
      </c>
      <c r="O580" t="s">
        <v>74</v>
      </c>
      <c r="P580" t="s">
        <v>74</v>
      </c>
      <c r="Q580" t="s">
        <v>74</v>
      </c>
      <c r="R580" t="s">
        <v>74</v>
      </c>
      <c r="S580" t="s">
        <v>74</v>
      </c>
      <c r="T580" t="s">
        <v>11595</v>
      </c>
      <c r="U580" t="s">
        <v>11596</v>
      </c>
      <c r="V580" t="s">
        <v>11597</v>
      </c>
      <c r="W580" t="s">
        <v>11598</v>
      </c>
      <c r="X580" t="s">
        <v>11599</v>
      </c>
      <c r="Y580" t="s">
        <v>11600</v>
      </c>
      <c r="Z580" t="s">
        <v>11601</v>
      </c>
      <c r="AA580" t="s">
        <v>74</v>
      </c>
      <c r="AB580" t="s">
        <v>74</v>
      </c>
      <c r="AC580" t="s">
        <v>11602</v>
      </c>
      <c r="AD580" t="s">
        <v>11603</v>
      </c>
      <c r="AE580" t="s">
        <v>11604</v>
      </c>
      <c r="AF580" t="s">
        <v>74</v>
      </c>
      <c r="AG580">
        <v>70</v>
      </c>
      <c r="AH580">
        <v>34</v>
      </c>
      <c r="AI580">
        <v>43</v>
      </c>
      <c r="AJ580">
        <v>16</v>
      </c>
      <c r="AK580">
        <v>104</v>
      </c>
      <c r="AL580" t="s">
        <v>847</v>
      </c>
      <c r="AM580" t="s">
        <v>848</v>
      </c>
      <c r="AN580" t="s">
        <v>849</v>
      </c>
      <c r="AO580" t="s">
        <v>3750</v>
      </c>
      <c r="AP580" t="s">
        <v>3751</v>
      </c>
      <c r="AQ580" t="s">
        <v>74</v>
      </c>
      <c r="AR580" t="s">
        <v>3752</v>
      </c>
      <c r="AS580" t="s">
        <v>3753</v>
      </c>
      <c r="AT580" t="s">
        <v>234</v>
      </c>
      <c r="AU580">
        <v>2021</v>
      </c>
      <c r="AV580">
        <v>66</v>
      </c>
      <c r="AW580">
        <v>22</v>
      </c>
      <c r="AX580" t="s">
        <v>74</v>
      </c>
      <c r="AY580" t="s">
        <v>74</v>
      </c>
      <c r="AZ580" t="s">
        <v>74</v>
      </c>
      <c r="BA580" t="s">
        <v>74</v>
      </c>
      <c r="BB580">
        <v>2320</v>
      </c>
      <c r="BC580">
        <v>2328</v>
      </c>
      <c r="BD580" t="s">
        <v>74</v>
      </c>
      <c r="BE580" t="s">
        <v>11605</v>
      </c>
      <c r="BF580" t="str">
        <f>HYPERLINK("http://dx.doi.org/10.1016/j.scib.2021.07.023","http://dx.doi.org/10.1016/j.scib.2021.07.023")</f>
        <v>http://dx.doi.org/10.1016/j.scib.2021.07.023</v>
      </c>
      <c r="BG580" t="s">
        <v>74</v>
      </c>
      <c r="BH580" t="s">
        <v>11189</v>
      </c>
      <c r="BI580">
        <v>9</v>
      </c>
      <c r="BJ580" t="s">
        <v>126</v>
      </c>
      <c r="BK580" t="s">
        <v>101</v>
      </c>
      <c r="BL580" t="s">
        <v>127</v>
      </c>
      <c r="BM580" t="s">
        <v>11606</v>
      </c>
      <c r="BN580">
        <v>36654458</v>
      </c>
      <c r="BO580" t="s">
        <v>74</v>
      </c>
      <c r="BP580" t="s">
        <v>74</v>
      </c>
      <c r="BQ580" t="s">
        <v>74</v>
      </c>
      <c r="BR580" t="s">
        <v>105</v>
      </c>
      <c r="BS580" t="s">
        <v>11607</v>
      </c>
      <c r="BT580" t="str">
        <f>HYPERLINK("https%3A%2F%2Fwww.webofscience.com%2Fwos%2Fwoscc%2Ffull-record%2FWOS:000702915700012","View Full Record in Web of Science")</f>
        <v>View Full Record in Web of Science</v>
      </c>
    </row>
    <row r="581" spans="1:72" x14ac:dyDescent="0.15">
      <c r="A581" t="s">
        <v>72</v>
      </c>
      <c r="B581" t="s">
        <v>11608</v>
      </c>
      <c r="C581" t="s">
        <v>74</v>
      </c>
      <c r="D581" t="s">
        <v>74</v>
      </c>
      <c r="E581" t="s">
        <v>74</v>
      </c>
      <c r="F581" t="s">
        <v>11609</v>
      </c>
      <c r="G581" t="s">
        <v>74</v>
      </c>
      <c r="H581" t="s">
        <v>74</v>
      </c>
      <c r="I581" t="s">
        <v>11610</v>
      </c>
      <c r="J581" t="s">
        <v>886</v>
      </c>
      <c r="K581" t="s">
        <v>74</v>
      </c>
      <c r="L581" t="s">
        <v>74</v>
      </c>
      <c r="M581" t="s">
        <v>78</v>
      </c>
      <c r="N581" t="s">
        <v>79</v>
      </c>
      <c r="O581" t="s">
        <v>74</v>
      </c>
      <c r="P581" t="s">
        <v>74</v>
      </c>
      <c r="Q581" t="s">
        <v>74</v>
      </c>
      <c r="R581" t="s">
        <v>74</v>
      </c>
      <c r="S581" t="s">
        <v>74</v>
      </c>
      <c r="T581" t="s">
        <v>11611</v>
      </c>
      <c r="U581" t="s">
        <v>11612</v>
      </c>
      <c r="V581" t="s">
        <v>11613</v>
      </c>
      <c r="W581" t="s">
        <v>11614</v>
      </c>
      <c r="X581" t="s">
        <v>11615</v>
      </c>
      <c r="Y581" t="s">
        <v>11616</v>
      </c>
      <c r="Z581" t="s">
        <v>11617</v>
      </c>
      <c r="AA581" t="s">
        <v>11618</v>
      </c>
      <c r="AB581" t="s">
        <v>11619</v>
      </c>
      <c r="AC581" t="s">
        <v>11620</v>
      </c>
      <c r="AD581" t="s">
        <v>11621</v>
      </c>
      <c r="AE581" t="s">
        <v>11622</v>
      </c>
      <c r="AF581" t="s">
        <v>74</v>
      </c>
      <c r="AG581">
        <v>59</v>
      </c>
      <c r="AH581">
        <v>7</v>
      </c>
      <c r="AI581">
        <v>7</v>
      </c>
      <c r="AJ581">
        <v>1</v>
      </c>
      <c r="AK581">
        <v>21</v>
      </c>
      <c r="AL581" t="s">
        <v>760</v>
      </c>
      <c r="AM581" t="s">
        <v>438</v>
      </c>
      <c r="AN581" t="s">
        <v>761</v>
      </c>
      <c r="AO581" t="s">
        <v>899</v>
      </c>
      <c r="AP581" t="s">
        <v>900</v>
      </c>
      <c r="AQ581" t="s">
        <v>74</v>
      </c>
      <c r="AR581" t="s">
        <v>901</v>
      </c>
      <c r="AS581" t="s">
        <v>902</v>
      </c>
      <c r="AT581" t="s">
        <v>11538</v>
      </c>
      <c r="AU581">
        <v>2021</v>
      </c>
      <c r="AV581">
        <v>126</v>
      </c>
      <c r="AW581">
        <v>18</v>
      </c>
      <c r="AX581" t="s">
        <v>74</v>
      </c>
      <c r="AY581" t="s">
        <v>74</v>
      </c>
      <c r="AZ581" t="s">
        <v>74</v>
      </c>
      <c r="BA581" t="s">
        <v>74</v>
      </c>
      <c r="BB581" t="s">
        <v>74</v>
      </c>
      <c r="BC581" t="s">
        <v>74</v>
      </c>
      <c r="BD581" t="s">
        <v>11623</v>
      </c>
      <c r="BE581" t="s">
        <v>11624</v>
      </c>
      <c r="BF581" t="str">
        <f>HYPERLINK("http://dx.doi.org/10.1029/2020JD034356","http://dx.doi.org/10.1029/2020JD034356")</f>
        <v>http://dx.doi.org/10.1029/2020JD034356</v>
      </c>
      <c r="BG581" t="s">
        <v>74</v>
      </c>
      <c r="BH581" t="s">
        <v>74</v>
      </c>
      <c r="BI581">
        <v>25</v>
      </c>
      <c r="BJ581" t="s">
        <v>829</v>
      </c>
      <c r="BK581" t="s">
        <v>101</v>
      </c>
      <c r="BL581" t="s">
        <v>829</v>
      </c>
      <c r="BM581" t="s">
        <v>11625</v>
      </c>
      <c r="BN581" t="s">
        <v>74</v>
      </c>
      <c r="BO581" t="s">
        <v>343</v>
      </c>
      <c r="BP581" t="s">
        <v>74</v>
      </c>
      <c r="BQ581" t="s">
        <v>74</v>
      </c>
      <c r="BR581" t="s">
        <v>105</v>
      </c>
      <c r="BS581" t="s">
        <v>11626</v>
      </c>
      <c r="BT581" t="str">
        <f>HYPERLINK("https%3A%2F%2Fwww.webofscience.com%2Fwos%2Fwoscc%2Ffull-record%2FWOS:000702399300022","View Full Record in Web of Science")</f>
        <v>View Full Record in Web of Science</v>
      </c>
    </row>
    <row r="582" spans="1:72" x14ac:dyDescent="0.15">
      <c r="A582" t="s">
        <v>72</v>
      </c>
      <c r="B582" t="s">
        <v>11627</v>
      </c>
      <c r="C582" t="s">
        <v>74</v>
      </c>
      <c r="D582" t="s">
        <v>74</v>
      </c>
      <c r="E582" t="s">
        <v>74</v>
      </c>
      <c r="F582" t="s">
        <v>11628</v>
      </c>
      <c r="G582" t="s">
        <v>74</v>
      </c>
      <c r="H582" t="s">
        <v>74</v>
      </c>
      <c r="I582" t="s">
        <v>11629</v>
      </c>
      <c r="J582" t="s">
        <v>935</v>
      </c>
      <c r="K582" t="s">
        <v>74</v>
      </c>
      <c r="L582" t="s">
        <v>74</v>
      </c>
      <c r="M582" t="s">
        <v>78</v>
      </c>
      <c r="N582" t="s">
        <v>373</v>
      </c>
      <c r="O582" t="s">
        <v>74</v>
      </c>
      <c r="P582" t="s">
        <v>74</v>
      </c>
      <c r="Q582" t="s">
        <v>74</v>
      </c>
      <c r="R582" t="s">
        <v>74</v>
      </c>
      <c r="S582" t="s">
        <v>74</v>
      </c>
      <c r="T582" t="s">
        <v>11630</v>
      </c>
      <c r="U582" t="s">
        <v>11631</v>
      </c>
      <c r="V582" t="s">
        <v>11632</v>
      </c>
      <c r="W582" t="s">
        <v>11633</v>
      </c>
      <c r="X582" t="s">
        <v>11634</v>
      </c>
      <c r="Y582" t="s">
        <v>11635</v>
      </c>
      <c r="Z582" t="s">
        <v>11636</v>
      </c>
      <c r="AA582" t="s">
        <v>11637</v>
      </c>
      <c r="AB582" t="s">
        <v>11638</v>
      </c>
      <c r="AC582" t="s">
        <v>11639</v>
      </c>
      <c r="AD582" t="s">
        <v>11640</v>
      </c>
      <c r="AE582" t="s">
        <v>11641</v>
      </c>
      <c r="AF582" t="s">
        <v>74</v>
      </c>
      <c r="AG582">
        <v>52</v>
      </c>
      <c r="AH582">
        <v>0</v>
      </c>
      <c r="AI582">
        <v>0</v>
      </c>
      <c r="AJ582">
        <v>1</v>
      </c>
      <c r="AK582">
        <v>7</v>
      </c>
      <c r="AL582" t="s">
        <v>169</v>
      </c>
      <c r="AM582" t="s">
        <v>170</v>
      </c>
      <c r="AN582" t="s">
        <v>171</v>
      </c>
      <c r="AO582" t="s">
        <v>948</v>
      </c>
      <c r="AP582" t="s">
        <v>949</v>
      </c>
      <c r="AQ582" t="s">
        <v>74</v>
      </c>
      <c r="AR582" t="s">
        <v>950</v>
      </c>
      <c r="AS582" t="s">
        <v>951</v>
      </c>
      <c r="AT582" t="s">
        <v>310</v>
      </c>
      <c r="AU582">
        <v>2021</v>
      </c>
      <c r="AV582">
        <v>44</v>
      </c>
      <c r="AW582">
        <v>11</v>
      </c>
      <c r="AX582" t="s">
        <v>74</v>
      </c>
      <c r="AY582" t="s">
        <v>74</v>
      </c>
      <c r="AZ582" t="s">
        <v>74</v>
      </c>
      <c r="BA582" t="s">
        <v>74</v>
      </c>
      <c r="BB582">
        <v>2099</v>
      </c>
      <c r="BC582">
        <v>2105</v>
      </c>
      <c r="BD582" t="s">
        <v>74</v>
      </c>
      <c r="BE582" t="s">
        <v>11642</v>
      </c>
      <c r="BF582" t="str">
        <f>HYPERLINK("http://dx.doi.org/10.1007/s00300-021-02945-x","http://dx.doi.org/10.1007/s00300-021-02945-x")</f>
        <v>http://dx.doi.org/10.1007/s00300-021-02945-x</v>
      </c>
      <c r="BG582" t="s">
        <v>74</v>
      </c>
      <c r="BH582" t="s">
        <v>11189</v>
      </c>
      <c r="BI582">
        <v>7</v>
      </c>
      <c r="BJ582" t="s">
        <v>605</v>
      </c>
      <c r="BK582" t="s">
        <v>101</v>
      </c>
      <c r="BL582" t="s">
        <v>606</v>
      </c>
      <c r="BM582" t="s">
        <v>8594</v>
      </c>
      <c r="BN582" t="s">
        <v>74</v>
      </c>
      <c r="BO582" t="s">
        <v>74</v>
      </c>
      <c r="BP582" t="s">
        <v>74</v>
      </c>
      <c r="BQ582" t="s">
        <v>74</v>
      </c>
      <c r="BR582" t="s">
        <v>105</v>
      </c>
      <c r="BS582" t="s">
        <v>11643</v>
      </c>
      <c r="BT582" t="str">
        <f>HYPERLINK("https%3A%2F%2Fwww.webofscience.com%2Fwos%2Fwoscc%2Ffull-record%2FWOS:000700999200001","View Full Record in Web of Science")</f>
        <v>View Full Record in Web of Science</v>
      </c>
    </row>
    <row r="583" spans="1:72" x14ac:dyDescent="0.15">
      <c r="A583" t="s">
        <v>72</v>
      </c>
      <c r="B583" t="s">
        <v>4410</v>
      </c>
      <c r="C583" t="s">
        <v>74</v>
      </c>
      <c r="D583" t="s">
        <v>74</v>
      </c>
      <c r="E583" t="s">
        <v>74</v>
      </c>
      <c r="F583" t="s">
        <v>11644</v>
      </c>
      <c r="G583" t="s">
        <v>74</v>
      </c>
      <c r="H583" t="s">
        <v>74</v>
      </c>
      <c r="I583" t="s">
        <v>11645</v>
      </c>
      <c r="J583" t="s">
        <v>11646</v>
      </c>
      <c r="K583" t="s">
        <v>74</v>
      </c>
      <c r="L583" t="s">
        <v>74</v>
      </c>
      <c r="M583" t="s">
        <v>78</v>
      </c>
      <c r="N583" t="s">
        <v>373</v>
      </c>
      <c r="O583" t="s">
        <v>74</v>
      </c>
      <c r="P583" t="s">
        <v>74</v>
      </c>
      <c r="Q583" t="s">
        <v>74</v>
      </c>
      <c r="R583" t="s">
        <v>74</v>
      </c>
      <c r="S583" t="s">
        <v>74</v>
      </c>
      <c r="T583" t="s">
        <v>11647</v>
      </c>
      <c r="U583" t="s">
        <v>11648</v>
      </c>
      <c r="V583" t="s">
        <v>11649</v>
      </c>
      <c r="W583" t="s">
        <v>11650</v>
      </c>
      <c r="X583" t="s">
        <v>4417</v>
      </c>
      <c r="Y583" t="s">
        <v>11651</v>
      </c>
      <c r="Z583" t="s">
        <v>11652</v>
      </c>
      <c r="AA583" t="s">
        <v>74</v>
      </c>
      <c r="AB583" t="s">
        <v>11653</v>
      </c>
      <c r="AC583" t="s">
        <v>11654</v>
      </c>
      <c r="AD583" t="s">
        <v>4420</v>
      </c>
      <c r="AE583" t="s">
        <v>11655</v>
      </c>
      <c r="AF583" t="s">
        <v>74</v>
      </c>
      <c r="AG583">
        <v>92</v>
      </c>
      <c r="AH583">
        <v>2</v>
      </c>
      <c r="AI583">
        <v>2</v>
      </c>
      <c r="AJ583">
        <v>1</v>
      </c>
      <c r="AK583">
        <v>13</v>
      </c>
      <c r="AL583" t="s">
        <v>11656</v>
      </c>
      <c r="AM583" t="s">
        <v>11657</v>
      </c>
      <c r="AN583" t="s">
        <v>11658</v>
      </c>
      <c r="AO583" t="s">
        <v>11659</v>
      </c>
      <c r="AP583" t="s">
        <v>11660</v>
      </c>
      <c r="AQ583" t="s">
        <v>74</v>
      </c>
      <c r="AR583" t="s">
        <v>11661</v>
      </c>
      <c r="AS583" t="s">
        <v>11662</v>
      </c>
      <c r="AT583" t="s">
        <v>310</v>
      </c>
      <c r="AU583">
        <v>2021</v>
      </c>
      <c r="AV583">
        <v>533</v>
      </c>
      <c r="AW583">
        <v>11</v>
      </c>
      <c r="AX583" t="s">
        <v>74</v>
      </c>
      <c r="AY583" t="s">
        <v>74</v>
      </c>
      <c r="AZ583" t="s">
        <v>74</v>
      </c>
      <c r="BA583" t="s">
        <v>74</v>
      </c>
      <c r="BB583" t="s">
        <v>74</v>
      </c>
      <c r="BC583" t="s">
        <v>74</v>
      </c>
      <c r="BD583">
        <v>2100309</v>
      </c>
      <c r="BE583" t="s">
        <v>11663</v>
      </c>
      <c r="BF583" t="str">
        <f>HYPERLINK("http://dx.doi.org/10.1002/andp.202100309","http://dx.doi.org/10.1002/andp.202100309")</f>
        <v>http://dx.doi.org/10.1002/andp.202100309</v>
      </c>
      <c r="BG583" t="s">
        <v>74</v>
      </c>
      <c r="BH583" t="s">
        <v>11189</v>
      </c>
      <c r="BI583">
        <v>17</v>
      </c>
      <c r="BJ583" t="s">
        <v>4431</v>
      </c>
      <c r="BK583" t="s">
        <v>101</v>
      </c>
      <c r="BL583" t="s">
        <v>3777</v>
      </c>
      <c r="BM583" t="s">
        <v>11664</v>
      </c>
      <c r="BN583" t="s">
        <v>74</v>
      </c>
      <c r="BO583" t="s">
        <v>1471</v>
      </c>
      <c r="BP583" t="s">
        <v>74</v>
      </c>
      <c r="BQ583" t="s">
        <v>74</v>
      </c>
      <c r="BR583" t="s">
        <v>105</v>
      </c>
      <c r="BS583" t="s">
        <v>11665</v>
      </c>
      <c r="BT583" t="str">
        <f>HYPERLINK("https%3A%2F%2Fwww.webofscience.com%2Fwos%2Fwoscc%2Ffull-record%2FWOS:000699949200001","View Full Record in Web of Science")</f>
        <v>View Full Record in Web of Science</v>
      </c>
    </row>
    <row r="584" spans="1:72" x14ac:dyDescent="0.15">
      <c r="A584" t="s">
        <v>72</v>
      </c>
      <c r="B584" t="s">
        <v>11666</v>
      </c>
      <c r="C584" t="s">
        <v>74</v>
      </c>
      <c r="D584" t="s">
        <v>74</v>
      </c>
      <c r="E584" t="s">
        <v>74</v>
      </c>
      <c r="F584" t="s">
        <v>11667</v>
      </c>
      <c r="G584" t="s">
        <v>74</v>
      </c>
      <c r="H584" t="s">
        <v>74</v>
      </c>
      <c r="I584" t="s">
        <v>11668</v>
      </c>
      <c r="J584" t="s">
        <v>11669</v>
      </c>
      <c r="K584" t="s">
        <v>74</v>
      </c>
      <c r="L584" t="s">
        <v>74</v>
      </c>
      <c r="M584" t="s">
        <v>78</v>
      </c>
      <c r="N584" t="s">
        <v>79</v>
      </c>
      <c r="O584" t="s">
        <v>74</v>
      </c>
      <c r="P584" t="s">
        <v>74</v>
      </c>
      <c r="Q584" t="s">
        <v>74</v>
      </c>
      <c r="R584" t="s">
        <v>74</v>
      </c>
      <c r="S584" t="s">
        <v>74</v>
      </c>
      <c r="T584" t="s">
        <v>11670</v>
      </c>
      <c r="U584" t="s">
        <v>11671</v>
      </c>
      <c r="V584" t="s">
        <v>11672</v>
      </c>
      <c r="W584" t="s">
        <v>11673</v>
      </c>
      <c r="X584" t="s">
        <v>11674</v>
      </c>
      <c r="Y584" t="s">
        <v>11675</v>
      </c>
      <c r="Z584" t="s">
        <v>11676</v>
      </c>
      <c r="AA584" t="s">
        <v>6779</v>
      </c>
      <c r="AB584" t="s">
        <v>11677</v>
      </c>
      <c r="AC584" t="s">
        <v>11678</v>
      </c>
      <c r="AD584" t="s">
        <v>11679</v>
      </c>
      <c r="AE584" t="s">
        <v>11680</v>
      </c>
      <c r="AF584" t="s">
        <v>74</v>
      </c>
      <c r="AG584">
        <v>71</v>
      </c>
      <c r="AH584">
        <v>7</v>
      </c>
      <c r="AI584">
        <v>8</v>
      </c>
      <c r="AJ584">
        <v>4</v>
      </c>
      <c r="AK584">
        <v>24</v>
      </c>
      <c r="AL584" t="s">
        <v>847</v>
      </c>
      <c r="AM584" t="s">
        <v>848</v>
      </c>
      <c r="AN584" t="s">
        <v>849</v>
      </c>
      <c r="AO584" t="s">
        <v>11681</v>
      </c>
      <c r="AP584" t="s">
        <v>11682</v>
      </c>
      <c r="AQ584" t="s">
        <v>74</v>
      </c>
      <c r="AR584" t="s">
        <v>11669</v>
      </c>
      <c r="AS584" t="s">
        <v>11683</v>
      </c>
      <c r="AT584" t="s">
        <v>416</v>
      </c>
      <c r="AU584">
        <v>2022</v>
      </c>
      <c r="AV584">
        <v>208</v>
      </c>
      <c r="AW584" t="s">
        <v>74</v>
      </c>
      <c r="AX584" t="s">
        <v>74</v>
      </c>
      <c r="AY584" t="s">
        <v>74</v>
      </c>
      <c r="AZ584" t="s">
        <v>74</v>
      </c>
      <c r="BA584" t="s">
        <v>74</v>
      </c>
      <c r="BB584" t="s">
        <v>74</v>
      </c>
      <c r="BC584" t="s">
        <v>74</v>
      </c>
      <c r="BD584">
        <v>105739</v>
      </c>
      <c r="BE584" t="s">
        <v>11684</v>
      </c>
      <c r="BF584" t="str">
        <f>HYPERLINK("http://dx.doi.org/10.1016/j.catena.2021.105739","http://dx.doi.org/10.1016/j.catena.2021.105739")</f>
        <v>http://dx.doi.org/10.1016/j.catena.2021.105739</v>
      </c>
      <c r="BG584" t="s">
        <v>74</v>
      </c>
      <c r="BH584" t="s">
        <v>11189</v>
      </c>
      <c r="BI584">
        <v>14</v>
      </c>
      <c r="BJ584" t="s">
        <v>11685</v>
      </c>
      <c r="BK584" t="s">
        <v>101</v>
      </c>
      <c r="BL584" t="s">
        <v>11686</v>
      </c>
      <c r="BM584" t="s">
        <v>11687</v>
      </c>
      <c r="BN584" t="s">
        <v>74</v>
      </c>
      <c r="BO584" t="s">
        <v>74</v>
      </c>
      <c r="BP584" t="s">
        <v>74</v>
      </c>
      <c r="BQ584" t="s">
        <v>74</v>
      </c>
      <c r="BR584" t="s">
        <v>105</v>
      </c>
      <c r="BS584" t="s">
        <v>11688</v>
      </c>
      <c r="BT584" t="str">
        <f>HYPERLINK("https%3A%2F%2Fwww.webofscience.com%2Fwos%2Fwoscc%2Ffull-record%2FWOS:000700576300026","View Full Record in Web of Science")</f>
        <v>View Full Record in Web of Science</v>
      </c>
    </row>
    <row r="585" spans="1:72" x14ac:dyDescent="0.15">
      <c r="A585" t="s">
        <v>72</v>
      </c>
      <c r="B585" t="s">
        <v>11689</v>
      </c>
      <c r="C585" t="s">
        <v>74</v>
      </c>
      <c r="D585" t="s">
        <v>74</v>
      </c>
      <c r="E585" t="s">
        <v>74</v>
      </c>
      <c r="F585" t="s">
        <v>11690</v>
      </c>
      <c r="G585" t="s">
        <v>74</v>
      </c>
      <c r="H585" t="s">
        <v>74</v>
      </c>
      <c r="I585" t="s">
        <v>11691</v>
      </c>
      <c r="J585" t="s">
        <v>11692</v>
      </c>
      <c r="K585" t="s">
        <v>74</v>
      </c>
      <c r="L585" t="s">
        <v>74</v>
      </c>
      <c r="M585" t="s">
        <v>78</v>
      </c>
      <c r="N585" t="s">
        <v>79</v>
      </c>
      <c r="O585" t="s">
        <v>74</v>
      </c>
      <c r="P585" t="s">
        <v>74</v>
      </c>
      <c r="Q585" t="s">
        <v>74</v>
      </c>
      <c r="R585" t="s">
        <v>74</v>
      </c>
      <c r="S585" t="s">
        <v>74</v>
      </c>
      <c r="T585" t="s">
        <v>11693</v>
      </c>
      <c r="U585" t="s">
        <v>11694</v>
      </c>
      <c r="V585" t="s">
        <v>11695</v>
      </c>
      <c r="W585" t="s">
        <v>11696</v>
      </c>
      <c r="X585" t="s">
        <v>11697</v>
      </c>
      <c r="Y585" t="s">
        <v>11698</v>
      </c>
      <c r="Z585" t="s">
        <v>11699</v>
      </c>
      <c r="AA585" t="s">
        <v>11700</v>
      </c>
      <c r="AB585" t="s">
        <v>11701</v>
      </c>
      <c r="AC585" t="s">
        <v>11702</v>
      </c>
      <c r="AD585" t="s">
        <v>11703</v>
      </c>
      <c r="AE585" t="s">
        <v>11704</v>
      </c>
      <c r="AF585" t="s">
        <v>74</v>
      </c>
      <c r="AG585">
        <v>56</v>
      </c>
      <c r="AH585">
        <v>8</v>
      </c>
      <c r="AI585">
        <v>8</v>
      </c>
      <c r="AJ585">
        <v>0</v>
      </c>
      <c r="AK585">
        <v>0</v>
      </c>
      <c r="AL585" t="s">
        <v>383</v>
      </c>
      <c r="AM585" t="s">
        <v>384</v>
      </c>
      <c r="AN585" t="s">
        <v>385</v>
      </c>
      <c r="AO585" t="s">
        <v>74</v>
      </c>
      <c r="AP585" t="s">
        <v>11705</v>
      </c>
      <c r="AQ585" t="s">
        <v>74</v>
      </c>
      <c r="AR585" t="s">
        <v>11706</v>
      </c>
      <c r="AS585" t="s">
        <v>11707</v>
      </c>
      <c r="AT585" t="s">
        <v>11538</v>
      </c>
      <c r="AU585">
        <v>2021</v>
      </c>
      <c r="AV585">
        <v>3</v>
      </c>
      <c r="AW585" t="s">
        <v>74</v>
      </c>
      <c r="AX585" t="s">
        <v>74</v>
      </c>
      <c r="AY585" t="s">
        <v>74</v>
      </c>
      <c r="AZ585" t="s">
        <v>74</v>
      </c>
      <c r="BA585" t="s">
        <v>74</v>
      </c>
      <c r="BB585" t="s">
        <v>74</v>
      </c>
      <c r="BC585" t="s">
        <v>74</v>
      </c>
      <c r="BD585">
        <v>736759</v>
      </c>
      <c r="BE585" t="s">
        <v>11708</v>
      </c>
      <c r="BF585" t="str">
        <f>HYPERLINK("http://dx.doi.org/10.3389/fclim.2021.736759","http://dx.doi.org/10.3389/fclim.2021.736759")</f>
        <v>http://dx.doi.org/10.3389/fclim.2021.736759</v>
      </c>
      <c r="BG585" t="s">
        <v>74</v>
      </c>
      <c r="BH585" t="s">
        <v>74</v>
      </c>
      <c r="BI585">
        <v>8</v>
      </c>
      <c r="BJ585" t="s">
        <v>11709</v>
      </c>
      <c r="BK585" t="s">
        <v>1629</v>
      </c>
      <c r="BL585" t="s">
        <v>630</v>
      </c>
      <c r="BM585" t="s">
        <v>11710</v>
      </c>
      <c r="BN585" t="s">
        <v>74</v>
      </c>
      <c r="BO585" t="s">
        <v>210</v>
      </c>
      <c r="BP585" t="s">
        <v>74</v>
      </c>
      <c r="BQ585" t="s">
        <v>74</v>
      </c>
      <c r="BR585" t="s">
        <v>105</v>
      </c>
      <c r="BS585" t="s">
        <v>11711</v>
      </c>
      <c r="BT585" t="str">
        <f>HYPERLINK("https%3A%2F%2Fwww.webofscience.com%2Fwos%2Fwoscc%2Ffull-record%2FWOS:001021819900001","View Full Record in Web of Science")</f>
        <v>View Full Record in Web of Science</v>
      </c>
    </row>
    <row r="586" spans="1:72" x14ac:dyDescent="0.15">
      <c r="A586" t="s">
        <v>72</v>
      </c>
      <c r="B586" t="s">
        <v>11712</v>
      </c>
      <c r="C586" t="s">
        <v>74</v>
      </c>
      <c r="D586" t="s">
        <v>74</v>
      </c>
      <c r="E586" t="s">
        <v>74</v>
      </c>
      <c r="F586" t="s">
        <v>11713</v>
      </c>
      <c r="G586" t="s">
        <v>74</v>
      </c>
      <c r="H586" t="s">
        <v>74</v>
      </c>
      <c r="I586" t="s">
        <v>11714</v>
      </c>
      <c r="J586" t="s">
        <v>935</v>
      </c>
      <c r="K586" t="s">
        <v>74</v>
      </c>
      <c r="L586" t="s">
        <v>74</v>
      </c>
      <c r="M586" t="s">
        <v>78</v>
      </c>
      <c r="N586" t="s">
        <v>79</v>
      </c>
      <c r="O586" t="s">
        <v>74</v>
      </c>
      <c r="P586" t="s">
        <v>74</v>
      </c>
      <c r="Q586" t="s">
        <v>74</v>
      </c>
      <c r="R586" t="s">
        <v>74</v>
      </c>
      <c r="S586" t="s">
        <v>74</v>
      </c>
      <c r="T586" t="s">
        <v>11715</v>
      </c>
      <c r="U586" t="s">
        <v>11716</v>
      </c>
      <c r="V586" t="s">
        <v>11717</v>
      </c>
      <c r="W586" t="s">
        <v>11718</v>
      </c>
      <c r="X586" t="s">
        <v>11719</v>
      </c>
      <c r="Y586" t="s">
        <v>11720</v>
      </c>
      <c r="Z586" t="s">
        <v>11721</v>
      </c>
      <c r="AA586" t="s">
        <v>11722</v>
      </c>
      <c r="AB586" t="s">
        <v>11723</v>
      </c>
      <c r="AC586" t="s">
        <v>74</v>
      </c>
      <c r="AD586" t="s">
        <v>74</v>
      </c>
      <c r="AE586" t="s">
        <v>74</v>
      </c>
      <c r="AF586" t="s">
        <v>74</v>
      </c>
      <c r="AG586">
        <v>23</v>
      </c>
      <c r="AH586">
        <v>0</v>
      </c>
      <c r="AI586">
        <v>0</v>
      </c>
      <c r="AJ586">
        <v>1</v>
      </c>
      <c r="AK586">
        <v>6</v>
      </c>
      <c r="AL586" t="s">
        <v>169</v>
      </c>
      <c r="AM586" t="s">
        <v>170</v>
      </c>
      <c r="AN586" t="s">
        <v>171</v>
      </c>
      <c r="AO586" t="s">
        <v>948</v>
      </c>
      <c r="AP586" t="s">
        <v>949</v>
      </c>
      <c r="AQ586" t="s">
        <v>74</v>
      </c>
      <c r="AR586" t="s">
        <v>950</v>
      </c>
      <c r="AS586" t="s">
        <v>951</v>
      </c>
      <c r="AT586" t="s">
        <v>310</v>
      </c>
      <c r="AU586">
        <v>2021</v>
      </c>
      <c r="AV586">
        <v>44</v>
      </c>
      <c r="AW586">
        <v>11</v>
      </c>
      <c r="AX586" t="s">
        <v>74</v>
      </c>
      <c r="AY586" t="s">
        <v>74</v>
      </c>
      <c r="AZ586" t="s">
        <v>74</v>
      </c>
      <c r="BA586" t="s">
        <v>74</v>
      </c>
      <c r="BB586">
        <v>2085</v>
      </c>
      <c r="BC586">
        <v>2097</v>
      </c>
      <c r="BD586" t="s">
        <v>74</v>
      </c>
      <c r="BE586" t="s">
        <v>11724</v>
      </c>
      <c r="BF586" t="str">
        <f>HYPERLINK("http://dx.doi.org/10.1007/s00300-021-02944-y","http://dx.doi.org/10.1007/s00300-021-02944-y")</f>
        <v>http://dx.doi.org/10.1007/s00300-021-02944-y</v>
      </c>
      <c r="BG586" t="s">
        <v>74</v>
      </c>
      <c r="BH586" t="s">
        <v>11189</v>
      </c>
      <c r="BI586">
        <v>13</v>
      </c>
      <c r="BJ586" t="s">
        <v>605</v>
      </c>
      <c r="BK586" t="s">
        <v>101</v>
      </c>
      <c r="BL586" t="s">
        <v>606</v>
      </c>
      <c r="BM586" t="s">
        <v>8594</v>
      </c>
      <c r="BN586" t="s">
        <v>74</v>
      </c>
      <c r="BO586" t="s">
        <v>74</v>
      </c>
      <c r="BP586" t="s">
        <v>74</v>
      </c>
      <c r="BQ586" t="s">
        <v>74</v>
      </c>
      <c r="BR586" t="s">
        <v>105</v>
      </c>
      <c r="BS586" t="s">
        <v>11725</v>
      </c>
      <c r="BT586" t="str">
        <f>HYPERLINK("https%3A%2F%2Fwww.webofscience.com%2Fwos%2Fwoscc%2Ffull-record%2FWOS:000700999200002","View Full Record in Web of Science")</f>
        <v>View Full Record in Web of Science</v>
      </c>
    </row>
    <row r="587" spans="1:72" x14ac:dyDescent="0.15">
      <c r="A587" t="s">
        <v>72</v>
      </c>
      <c r="B587" t="s">
        <v>11726</v>
      </c>
      <c r="C587" t="s">
        <v>74</v>
      </c>
      <c r="D587" t="s">
        <v>74</v>
      </c>
      <c r="E587" t="s">
        <v>74</v>
      </c>
      <c r="F587" t="s">
        <v>11727</v>
      </c>
      <c r="G587" t="s">
        <v>74</v>
      </c>
      <c r="H587" t="s">
        <v>74</v>
      </c>
      <c r="I587" t="s">
        <v>11728</v>
      </c>
      <c r="J587" t="s">
        <v>2533</v>
      </c>
      <c r="K587" t="s">
        <v>74</v>
      </c>
      <c r="L587" t="s">
        <v>74</v>
      </c>
      <c r="M587" t="s">
        <v>78</v>
      </c>
      <c r="N587" t="s">
        <v>79</v>
      </c>
      <c r="O587" t="s">
        <v>74</v>
      </c>
      <c r="P587" t="s">
        <v>74</v>
      </c>
      <c r="Q587" t="s">
        <v>74</v>
      </c>
      <c r="R587" t="s">
        <v>74</v>
      </c>
      <c r="S587" t="s">
        <v>74</v>
      </c>
      <c r="T587" t="s">
        <v>74</v>
      </c>
      <c r="U587" t="s">
        <v>11729</v>
      </c>
      <c r="V587" t="s">
        <v>11730</v>
      </c>
      <c r="W587" t="s">
        <v>11731</v>
      </c>
      <c r="X587" t="s">
        <v>11732</v>
      </c>
      <c r="Y587" t="s">
        <v>3651</v>
      </c>
      <c r="Z587" t="s">
        <v>11733</v>
      </c>
      <c r="AA587" t="s">
        <v>11734</v>
      </c>
      <c r="AB587" t="s">
        <v>3654</v>
      </c>
      <c r="AC587" t="s">
        <v>11735</v>
      </c>
      <c r="AD587" t="s">
        <v>11736</v>
      </c>
      <c r="AE587" t="s">
        <v>11737</v>
      </c>
      <c r="AF587" t="s">
        <v>74</v>
      </c>
      <c r="AG587">
        <v>68</v>
      </c>
      <c r="AH587">
        <v>1</v>
      </c>
      <c r="AI587">
        <v>1</v>
      </c>
      <c r="AJ587">
        <v>2</v>
      </c>
      <c r="AK587">
        <v>12</v>
      </c>
      <c r="AL587" t="s">
        <v>572</v>
      </c>
      <c r="AM587" t="s">
        <v>573</v>
      </c>
      <c r="AN587" t="s">
        <v>574</v>
      </c>
      <c r="AO587" t="s">
        <v>2544</v>
      </c>
      <c r="AP587" t="s">
        <v>2545</v>
      </c>
      <c r="AQ587" t="s">
        <v>74</v>
      </c>
      <c r="AR587" t="s">
        <v>2546</v>
      </c>
      <c r="AS587" t="s">
        <v>2547</v>
      </c>
      <c r="AT587" t="s">
        <v>525</v>
      </c>
      <c r="AU587">
        <v>2022</v>
      </c>
      <c r="AV587">
        <v>57</v>
      </c>
      <c r="AW587">
        <v>2</v>
      </c>
      <c r="AX587" t="s">
        <v>74</v>
      </c>
      <c r="AY587" t="s">
        <v>74</v>
      </c>
      <c r="AZ587" t="s">
        <v>74</v>
      </c>
      <c r="BA587" t="s">
        <v>74</v>
      </c>
      <c r="BB587">
        <v>334</v>
      </c>
      <c r="BC587">
        <v>351</v>
      </c>
      <c r="BD587" t="s">
        <v>74</v>
      </c>
      <c r="BE587" t="s">
        <v>11738</v>
      </c>
      <c r="BF587" t="str">
        <f>HYPERLINK("http://dx.doi.org/10.1111/maps.13746","http://dx.doi.org/10.1111/maps.13746")</f>
        <v>http://dx.doi.org/10.1111/maps.13746</v>
      </c>
      <c r="BG587" t="s">
        <v>74</v>
      </c>
      <c r="BH587" t="s">
        <v>11189</v>
      </c>
      <c r="BI587">
        <v>18</v>
      </c>
      <c r="BJ587" t="s">
        <v>365</v>
      </c>
      <c r="BK587" t="s">
        <v>101</v>
      </c>
      <c r="BL587" t="s">
        <v>365</v>
      </c>
      <c r="BM587" t="s">
        <v>9336</v>
      </c>
      <c r="BN587" t="s">
        <v>74</v>
      </c>
      <c r="BO587" t="s">
        <v>74</v>
      </c>
      <c r="BP587" t="s">
        <v>74</v>
      </c>
      <c r="BQ587" t="s">
        <v>74</v>
      </c>
      <c r="BR587" t="s">
        <v>105</v>
      </c>
      <c r="BS587" t="s">
        <v>11739</v>
      </c>
      <c r="BT587" t="str">
        <f>HYPERLINK("https%3A%2F%2Fwww.webofscience.com%2Fwos%2Fwoscc%2Ffull-record%2FWOS:000699316700001","View Full Record in Web of Science")</f>
        <v>View Full Record in Web of Science</v>
      </c>
    </row>
    <row r="588" spans="1:72" x14ac:dyDescent="0.15">
      <c r="A588" t="s">
        <v>72</v>
      </c>
      <c r="B588" t="s">
        <v>9724</v>
      </c>
      <c r="C588" t="s">
        <v>74</v>
      </c>
      <c r="D588" t="s">
        <v>74</v>
      </c>
      <c r="E588" t="s">
        <v>74</v>
      </c>
      <c r="F588" t="s">
        <v>9725</v>
      </c>
      <c r="G588" t="s">
        <v>74</v>
      </c>
      <c r="H588" t="s">
        <v>74</v>
      </c>
      <c r="I588" t="s">
        <v>11740</v>
      </c>
      <c r="J588" t="s">
        <v>11741</v>
      </c>
      <c r="K588" t="s">
        <v>74</v>
      </c>
      <c r="L588" t="s">
        <v>74</v>
      </c>
      <c r="M588" t="s">
        <v>78</v>
      </c>
      <c r="N588" t="s">
        <v>79</v>
      </c>
      <c r="O588" t="s">
        <v>74</v>
      </c>
      <c r="P588" t="s">
        <v>74</v>
      </c>
      <c r="Q588" t="s">
        <v>74</v>
      </c>
      <c r="R588" t="s">
        <v>74</v>
      </c>
      <c r="S588" t="s">
        <v>74</v>
      </c>
      <c r="T588" t="s">
        <v>11742</v>
      </c>
      <c r="U588" t="s">
        <v>11743</v>
      </c>
      <c r="V588" t="s">
        <v>11744</v>
      </c>
      <c r="W588" t="s">
        <v>11745</v>
      </c>
      <c r="X588" t="s">
        <v>74</v>
      </c>
      <c r="Y588" t="s">
        <v>11746</v>
      </c>
      <c r="Z588" t="s">
        <v>9732</v>
      </c>
      <c r="AA588" t="s">
        <v>74</v>
      </c>
      <c r="AB588" t="s">
        <v>74</v>
      </c>
      <c r="AC588" t="s">
        <v>74</v>
      </c>
      <c r="AD588" t="s">
        <v>74</v>
      </c>
      <c r="AE588" t="s">
        <v>74</v>
      </c>
      <c r="AF588" t="s">
        <v>74</v>
      </c>
      <c r="AG588">
        <v>118</v>
      </c>
      <c r="AH588">
        <v>4</v>
      </c>
      <c r="AI588">
        <v>4</v>
      </c>
      <c r="AJ588">
        <v>2</v>
      </c>
      <c r="AK588">
        <v>18</v>
      </c>
      <c r="AL588" t="s">
        <v>1326</v>
      </c>
      <c r="AM588" t="s">
        <v>256</v>
      </c>
      <c r="AN588" t="s">
        <v>1327</v>
      </c>
      <c r="AO588" t="s">
        <v>11747</v>
      </c>
      <c r="AP588" t="s">
        <v>11748</v>
      </c>
      <c r="AQ588" t="s">
        <v>74</v>
      </c>
      <c r="AR588" t="s">
        <v>11749</v>
      </c>
      <c r="AS588" t="s">
        <v>11750</v>
      </c>
      <c r="AT588" t="s">
        <v>98</v>
      </c>
      <c r="AU588">
        <v>2021</v>
      </c>
      <c r="AV588">
        <v>134</v>
      </c>
      <c r="AW588" t="s">
        <v>74</v>
      </c>
      <c r="AX588" t="s">
        <v>74</v>
      </c>
      <c r="AY588" t="s">
        <v>74</v>
      </c>
      <c r="AZ588" t="s">
        <v>74</v>
      </c>
      <c r="BA588" t="s">
        <v>74</v>
      </c>
      <c r="BB588" t="s">
        <v>74</v>
      </c>
      <c r="BC588" t="s">
        <v>74</v>
      </c>
      <c r="BD588">
        <v>104779</v>
      </c>
      <c r="BE588" t="s">
        <v>11751</v>
      </c>
      <c r="BF588" t="str">
        <f>HYPERLINK("http://dx.doi.org/10.1016/j.marpol.2021.104779","http://dx.doi.org/10.1016/j.marpol.2021.104779")</f>
        <v>http://dx.doi.org/10.1016/j.marpol.2021.104779</v>
      </c>
      <c r="BG588" t="s">
        <v>74</v>
      </c>
      <c r="BH588" t="s">
        <v>11189</v>
      </c>
      <c r="BI588">
        <v>10</v>
      </c>
      <c r="BJ588" t="s">
        <v>11752</v>
      </c>
      <c r="BK588" t="s">
        <v>2299</v>
      </c>
      <c r="BL588" t="s">
        <v>11753</v>
      </c>
      <c r="BM588" t="s">
        <v>11754</v>
      </c>
      <c r="BN588" t="s">
        <v>74</v>
      </c>
      <c r="BO588" t="s">
        <v>74</v>
      </c>
      <c r="BP588" t="s">
        <v>74</v>
      </c>
      <c r="BQ588" t="s">
        <v>74</v>
      </c>
      <c r="BR588" t="s">
        <v>105</v>
      </c>
      <c r="BS588" t="s">
        <v>11755</v>
      </c>
      <c r="BT588" t="str">
        <f>HYPERLINK("https%3A%2F%2Fwww.webofscience.com%2Fwos%2Fwoscc%2Ffull-record%2FWOS:000709733400005","View Full Record in Web of Science")</f>
        <v>View Full Record in Web of Science</v>
      </c>
    </row>
    <row r="589" spans="1:72" x14ac:dyDescent="0.15">
      <c r="A589" t="s">
        <v>72</v>
      </c>
      <c r="B589" t="s">
        <v>11756</v>
      </c>
      <c r="C589" t="s">
        <v>74</v>
      </c>
      <c r="D589" t="s">
        <v>74</v>
      </c>
      <c r="E589" t="s">
        <v>74</v>
      </c>
      <c r="F589" t="s">
        <v>11757</v>
      </c>
      <c r="G589" t="s">
        <v>74</v>
      </c>
      <c r="H589" t="s">
        <v>74</v>
      </c>
      <c r="I589" t="s">
        <v>11758</v>
      </c>
      <c r="J589" t="s">
        <v>1377</v>
      </c>
      <c r="K589" t="s">
        <v>74</v>
      </c>
      <c r="L589" t="s">
        <v>74</v>
      </c>
      <c r="M589" t="s">
        <v>78</v>
      </c>
      <c r="N589" t="s">
        <v>79</v>
      </c>
      <c r="O589" t="s">
        <v>74</v>
      </c>
      <c r="P589" t="s">
        <v>74</v>
      </c>
      <c r="Q589" t="s">
        <v>74</v>
      </c>
      <c r="R589" t="s">
        <v>74</v>
      </c>
      <c r="S589" t="s">
        <v>74</v>
      </c>
      <c r="T589" t="s">
        <v>11759</v>
      </c>
      <c r="U589" t="s">
        <v>11760</v>
      </c>
      <c r="V589" t="s">
        <v>11761</v>
      </c>
      <c r="W589" t="s">
        <v>11762</v>
      </c>
      <c r="X589" t="s">
        <v>11763</v>
      </c>
      <c r="Y589" t="s">
        <v>11764</v>
      </c>
      <c r="Z589" t="s">
        <v>11765</v>
      </c>
      <c r="AA589" t="s">
        <v>11766</v>
      </c>
      <c r="AB589" t="s">
        <v>11767</v>
      </c>
      <c r="AC589" t="s">
        <v>11768</v>
      </c>
      <c r="AD589" t="s">
        <v>11769</v>
      </c>
      <c r="AE589" t="s">
        <v>11770</v>
      </c>
      <c r="AF589" t="s">
        <v>74</v>
      </c>
      <c r="AG589">
        <v>55</v>
      </c>
      <c r="AH589">
        <v>6</v>
      </c>
      <c r="AI589">
        <v>6</v>
      </c>
      <c r="AJ589">
        <v>1</v>
      </c>
      <c r="AK589">
        <v>3</v>
      </c>
      <c r="AL589" t="s">
        <v>255</v>
      </c>
      <c r="AM589" t="s">
        <v>256</v>
      </c>
      <c r="AN589" t="s">
        <v>257</v>
      </c>
      <c r="AO589" t="s">
        <v>1390</v>
      </c>
      <c r="AP589" t="s">
        <v>1391</v>
      </c>
      <c r="AQ589" t="s">
        <v>74</v>
      </c>
      <c r="AR589" t="s">
        <v>1392</v>
      </c>
      <c r="AS589" t="s">
        <v>1393</v>
      </c>
      <c r="AT589" t="s">
        <v>4170</v>
      </c>
      <c r="AU589">
        <v>2021</v>
      </c>
      <c r="AV589">
        <v>271</v>
      </c>
      <c r="AW589" t="s">
        <v>74</v>
      </c>
      <c r="AX589" t="s">
        <v>74</v>
      </c>
      <c r="AY589" t="s">
        <v>74</v>
      </c>
      <c r="AZ589" t="s">
        <v>74</v>
      </c>
      <c r="BA589" t="s">
        <v>74</v>
      </c>
      <c r="BB589" t="s">
        <v>74</v>
      </c>
      <c r="BC589" t="s">
        <v>74</v>
      </c>
      <c r="BD589">
        <v>107197</v>
      </c>
      <c r="BE589" t="s">
        <v>11771</v>
      </c>
      <c r="BF589" t="str">
        <f>HYPERLINK("http://dx.doi.org/10.1016/j.quascirev.2021.107197","http://dx.doi.org/10.1016/j.quascirev.2021.107197")</f>
        <v>http://dx.doi.org/10.1016/j.quascirev.2021.107197</v>
      </c>
      <c r="BG589" t="s">
        <v>74</v>
      </c>
      <c r="BH589" t="s">
        <v>11189</v>
      </c>
      <c r="BI589">
        <v>15</v>
      </c>
      <c r="BJ589" t="s">
        <v>340</v>
      </c>
      <c r="BK589" t="s">
        <v>101</v>
      </c>
      <c r="BL589" t="s">
        <v>341</v>
      </c>
      <c r="BM589" t="s">
        <v>9454</v>
      </c>
      <c r="BN589" t="s">
        <v>74</v>
      </c>
      <c r="BO589" t="s">
        <v>74</v>
      </c>
      <c r="BP589" t="s">
        <v>74</v>
      </c>
      <c r="BQ589" t="s">
        <v>74</v>
      </c>
      <c r="BR589" t="s">
        <v>105</v>
      </c>
      <c r="BS589" t="s">
        <v>11772</v>
      </c>
      <c r="BT589" t="str">
        <f>HYPERLINK("https%3A%2F%2Fwww.webofscience.com%2Fwos%2Fwoscc%2Ffull-record%2FWOS:000703097800009","View Full Record in Web of Science")</f>
        <v>View Full Record in Web of Science</v>
      </c>
    </row>
    <row r="590" spans="1:72" x14ac:dyDescent="0.15">
      <c r="A590" t="s">
        <v>72</v>
      </c>
      <c r="B590" t="s">
        <v>11773</v>
      </c>
      <c r="C590" t="s">
        <v>74</v>
      </c>
      <c r="D590" t="s">
        <v>74</v>
      </c>
      <c r="E590" t="s">
        <v>74</v>
      </c>
      <c r="F590" t="s">
        <v>11774</v>
      </c>
      <c r="G590" t="s">
        <v>74</v>
      </c>
      <c r="H590" t="s">
        <v>74</v>
      </c>
      <c r="I590" t="s">
        <v>11775</v>
      </c>
      <c r="J590" t="s">
        <v>11776</v>
      </c>
      <c r="K590" t="s">
        <v>74</v>
      </c>
      <c r="L590" t="s">
        <v>74</v>
      </c>
      <c r="M590" t="s">
        <v>78</v>
      </c>
      <c r="N590" t="s">
        <v>79</v>
      </c>
      <c r="O590" t="s">
        <v>74</v>
      </c>
      <c r="P590" t="s">
        <v>74</v>
      </c>
      <c r="Q590" t="s">
        <v>74</v>
      </c>
      <c r="R590" t="s">
        <v>74</v>
      </c>
      <c r="S590" t="s">
        <v>74</v>
      </c>
      <c r="T590" t="s">
        <v>74</v>
      </c>
      <c r="U590" t="s">
        <v>11777</v>
      </c>
      <c r="V590" t="s">
        <v>74</v>
      </c>
      <c r="W590" t="s">
        <v>11778</v>
      </c>
      <c r="X590" t="s">
        <v>11779</v>
      </c>
      <c r="Y590" t="s">
        <v>11780</v>
      </c>
      <c r="Z590" t="s">
        <v>11781</v>
      </c>
      <c r="AA590" t="s">
        <v>11782</v>
      </c>
      <c r="AB590" t="s">
        <v>11783</v>
      </c>
      <c r="AC590" t="s">
        <v>11784</v>
      </c>
      <c r="AD590" t="s">
        <v>11784</v>
      </c>
      <c r="AE590" t="s">
        <v>11785</v>
      </c>
      <c r="AF590" t="s">
        <v>74</v>
      </c>
      <c r="AG590">
        <v>66</v>
      </c>
      <c r="AH590">
        <v>2</v>
      </c>
      <c r="AI590">
        <v>2</v>
      </c>
      <c r="AJ590">
        <v>0</v>
      </c>
      <c r="AK590">
        <v>4</v>
      </c>
      <c r="AL590" t="s">
        <v>572</v>
      </c>
      <c r="AM590" t="s">
        <v>573</v>
      </c>
      <c r="AN590" t="s">
        <v>574</v>
      </c>
      <c r="AO590" t="s">
        <v>11786</v>
      </c>
      <c r="AP590" t="s">
        <v>11787</v>
      </c>
      <c r="AQ590" t="s">
        <v>74</v>
      </c>
      <c r="AR590" t="s">
        <v>11788</v>
      </c>
      <c r="AS590" t="s">
        <v>11789</v>
      </c>
      <c r="AT590" t="s">
        <v>1000</v>
      </c>
      <c r="AU590">
        <v>2022</v>
      </c>
      <c r="AV590">
        <v>38</v>
      </c>
      <c r="AW590">
        <v>2</v>
      </c>
      <c r="AX590" t="s">
        <v>74</v>
      </c>
      <c r="AY590" t="s">
        <v>74</v>
      </c>
      <c r="AZ590" t="s">
        <v>74</v>
      </c>
      <c r="BA590" t="s">
        <v>74</v>
      </c>
      <c r="BB590">
        <v>742</v>
      </c>
      <c r="BC590">
        <v>755</v>
      </c>
      <c r="BD590" t="s">
        <v>74</v>
      </c>
      <c r="BE590" t="s">
        <v>11790</v>
      </c>
      <c r="BF590" t="str">
        <f>HYPERLINK("http://dx.doi.org/10.1111/mms.12876","http://dx.doi.org/10.1111/mms.12876")</f>
        <v>http://dx.doi.org/10.1111/mms.12876</v>
      </c>
      <c r="BG590" t="s">
        <v>74</v>
      </c>
      <c r="BH590" t="s">
        <v>11189</v>
      </c>
      <c r="BI590">
        <v>14</v>
      </c>
      <c r="BJ590" t="s">
        <v>10594</v>
      </c>
      <c r="BK590" t="s">
        <v>101</v>
      </c>
      <c r="BL590" t="s">
        <v>10594</v>
      </c>
      <c r="BM590" t="s">
        <v>11791</v>
      </c>
      <c r="BN590" t="s">
        <v>74</v>
      </c>
      <c r="BO590" t="s">
        <v>74</v>
      </c>
      <c r="BP590" t="s">
        <v>74</v>
      </c>
      <c r="BQ590" t="s">
        <v>74</v>
      </c>
      <c r="BR590" t="s">
        <v>105</v>
      </c>
      <c r="BS590" t="s">
        <v>11792</v>
      </c>
      <c r="BT590" t="str">
        <f>HYPERLINK("https%3A%2F%2Fwww.webofscience.com%2Fwos%2Fwoscc%2Ffull-record%2FWOS:000698959100001","View Full Record in Web of Science")</f>
        <v>View Full Record in Web of Science</v>
      </c>
    </row>
    <row r="591" spans="1:72" x14ac:dyDescent="0.15">
      <c r="A591" t="s">
        <v>72</v>
      </c>
      <c r="B591" t="s">
        <v>11793</v>
      </c>
      <c r="C591" t="s">
        <v>74</v>
      </c>
      <c r="D591" t="s">
        <v>74</v>
      </c>
      <c r="E591" t="s">
        <v>74</v>
      </c>
      <c r="F591" t="s">
        <v>11794</v>
      </c>
      <c r="G591" t="s">
        <v>74</v>
      </c>
      <c r="H591" t="s">
        <v>74</v>
      </c>
      <c r="I591" t="s">
        <v>11795</v>
      </c>
      <c r="J591" t="s">
        <v>11796</v>
      </c>
      <c r="K591" t="s">
        <v>74</v>
      </c>
      <c r="L591" t="s">
        <v>74</v>
      </c>
      <c r="M591" t="s">
        <v>78</v>
      </c>
      <c r="N591" t="s">
        <v>79</v>
      </c>
      <c r="O591" t="s">
        <v>74</v>
      </c>
      <c r="P591" t="s">
        <v>74</v>
      </c>
      <c r="Q591" t="s">
        <v>74</v>
      </c>
      <c r="R591" t="s">
        <v>74</v>
      </c>
      <c r="S591" t="s">
        <v>74</v>
      </c>
      <c r="T591" t="s">
        <v>11797</v>
      </c>
      <c r="U591" t="s">
        <v>11798</v>
      </c>
      <c r="V591" t="s">
        <v>11799</v>
      </c>
      <c r="W591" t="s">
        <v>11800</v>
      </c>
      <c r="X591" t="s">
        <v>11801</v>
      </c>
      <c r="Y591" t="s">
        <v>11802</v>
      </c>
      <c r="Z591" t="s">
        <v>11803</v>
      </c>
      <c r="AA591" t="s">
        <v>11804</v>
      </c>
      <c r="AB591" t="s">
        <v>11805</v>
      </c>
      <c r="AC591" t="s">
        <v>11806</v>
      </c>
      <c r="AD591" t="s">
        <v>11807</v>
      </c>
      <c r="AE591" t="s">
        <v>11808</v>
      </c>
      <c r="AF591" t="s">
        <v>74</v>
      </c>
      <c r="AG591">
        <v>92</v>
      </c>
      <c r="AH591">
        <v>1</v>
      </c>
      <c r="AI591">
        <v>1</v>
      </c>
      <c r="AJ591">
        <v>2</v>
      </c>
      <c r="AK591">
        <v>9</v>
      </c>
      <c r="AL591" t="s">
        <v>847</v>
      </c>
      <c r="AM591" t="s">
        <v>848</v>
      </c>
      <c r="AN591" t="s">
        <v>849</v>
      </c>
      <c r="AO591" t="s">
        <v>11809</v>
      </c>
      <c r="AP591" t="s">
        <v>11810</v>
      </c>
      <c r="AQ591" t="s">
        <v>74</v>
      </c>
      <c r="AR591" t="s">
        <v>11796</v>
      </c>
      <c r="AS591" t="s">
        <v>11811</v>
      </c>
      <c r="AT591" t="s">
        <v>204</v>
      </c>
      <c r="AU591">
        <v>2021</v>
      </c>
      <c r="AV591">
        <v>394</v>
      </c>
      <c r="AW591" t="s">
        <v>74</v>
      </c>
      <c r="AX591" t="s">
        <v>74</v>
      </c>
      <c r="AY591" t="s">
        <v>74</v>
      </c>
      <c r="AZ591" t="s">
        <v>74</v>
      </c>
      <c r="BA591" t="s">
        <v>74</v>
      </c>
      <c r="BB591" t="s">
        <v>74</v>
      </c>
      <c r="BC591" t="s">
        <v>74</v>
      </c>
      <c r="BD591">
        <v>107959</v>
      </c>
      <c r="BE591" t="s">
        <v>11812</v>
      </c>
      <c r="BF591" t="str">
        <f>HYPERLINK("http://dx.doi.org/10.1016/j.geomorph.2021.107959","http://dx.doi.org/10.1016/j.geomorph.2021.107959")</f>
        <v>http://dx.doi.org/10.1016/j.geomorph.2021.107959</v>
      </c>
      <c r="BG591" t="s">
        <v>74</v>
      </c>
      <c r="BH591" t="s">
        <v>11189</v>
      </c>
      <c r="BI591">
        <v>17</v>
      </c>
      <c r="BJ591" t="s">
        <v>340</v>
      </c>
      <c r="BK591" t="s">
        <v>101</v>
      </c>
      <c r="BL591" t="s">
        <v>341</v>
      </c>
      <c r="BM591" t="s">
        <v>11813</v>
      </c>
      <c r="BN591" t="s">
        <v>74</v>
      </c>
      <c r="BO591" t="s">
        <v>74</v>
      </c>
      <c r="BP591" t="s">
        <v>74</v>
      </c>
      <c r="BQ591" t="s">
        <v>74</v>
      </c>
      <c r="BR591" t="s">
        <v>105</v>
      </c>
      <c r="BS591" t="s">
        <v>11814</v>
      </c>
      <c r="BT591" t="str">
        <f>HYPERLINK("https%3A%2F%2Fwww.webofscience.com%2Fwos%2Fwoscc%2Ffull-record%2FWOS:000703677700004","View Full Record in Web of Science")</f>
        <v>View Full Record in Web of Science</v>
      </c>
    </row>
    <row r="592" spans="1:72" x14ac:dyDescent="0.15">
      <c r="A592" t="s">
        <v>72</v>
      </c>
      <c r="B592" t="s">
        <v>11815</v>
      </c>
      <c r="C592" t="s">
        <v>74</v>
      </c>
      <c r="D592" t="s">
        <v>74</v>
      </c>
      <c r="E592" t="s">
        <v>74</v>
      </c>
      <c r="F592" t="s">
        <v>11816</v>
      </c>
      <c r="G592" t="s">
        <v>74</v>
      </c>
      <c r="H592" t="s">
        <v>74</v>
      </c>
      <c r="I592" t="s">
        <v>11817</v>
      </c>
      <c r="J592" t="s">
        <v>11818</v>
      </c>
      <c r="K592" t="s">
        <v>74</v>
      </c>
      <c r="L592" t="s">
        <v>74</v>
      </c>
      <c r="M592" t="s">
        <v>78</v>
      </c>
      <c r="N592" t="s">
        <v>373</v>
      </c>
      <c r="O592" t="s">
        <v>74</v>
      </c>
      <c r="P592" t="s">
        <v>74</v>
      </c>
      <c r="Q592" t="s">
        <v>74</v>
      </c>
      <c r="R592" t="s">
        <v>74</v>
      </c>
      <c r="S592" t="s">
        <v>74</v>
      </c>
      <c r="T592" t="s">
        <v>11819</v>
      </c>
      <c r="U592" t="s">
        <v>11820</v>
      </c>
      <c r="V592" t="s">
        <v>11821</v>
      </c>
      <c r="W592" t="s">
        <v>11822</v>
      </c>
      <c r="X592" t="s">
        <v>11823</v>
      </c>
      <c r="Y592" t="s">
        <v>11824</v>
      </c>
      <c r="Z592" t="s">
        <v>11825</v>
      </c>
      <c r="AA592" t="s">
        <v>11826</v>
      </c>
      <c r="AB592" t="s">
        <v>11827</v>
      </c>
      <c r="AC592" t="s">
        <v>11828</v>
      </c>
      <c r="AD592" t="s">
        <v>11828</v>
      </c>
      <c r="AE592" t="s">
        <v>11829</v>
      </c>
      <c r="AF592" t="s">
        <v>74</v>
      </c>
      <c r="AG592">
        <v>86</v>
      </c>
      <c r="AH592">
        <v>0</v>
      </c>
      <c r="AI592">
        <v>0</v>
      </c>
      <c r="AJ592">
        <v>1</v>
      </c>
      <c r="AK592">
        <v>7</v>
      </c>
      <c r="AL592" t="s">
        <v>1714</v>
      </c>
      <c r="AM592" t="s">
        <v>256</v>
      </c>
      <c r="AN592" t="s">
        <v>1715</v>
      </c>
      <c r="AO592" t="s">
        <v>11830</v>
      </c>
      <c r="AP592" t="s">
        <v>11831</v>
      </c>
      <c r="AQ592" t="s">
        <v>74</v>
      </c>
      <c r="AR592" t="s">
        <v>11832</v>
      </c>
      <c r="AS592" t="s">
        <v>11833</v>
      </c>
      <c r="AT592" t="s">
        <v>11834</v>
      </c>
      <c r="AU592">
        <v>2022</v>
      </c>
      <c r="AV592">
        <v>194</v>
      </c>
      <c r="AW592">
        <v>4</v>
      </c>
      <c r="AX592" t="s">
        <v>74</v>
      </c>
      <c r="AY592" t="s">
        <v>74</v>
      </c>
      <c r="AZ592" t="s">
        <v>74</v>
      </c>
      <c r="BA592" t="s">
        <v>74</v>
      </c>
      <c r="BB592">
        <v>1103</v>
      </c>
      <c r="BC592">
        <v>1133</v>
      </c>
      <c r="BD592" t="s">
        <v>74</v>
      </c>
      <c r="BE592" t="s">
        <v>11835</v>
      </c>
      <c r="BF592" t="str">
        <f>HYPERLINK("http://dx.doi.org/10.1093/zoolinnean/zlab073","http://dx.doi.org/10.1093/zoolinnean/zlab073")</f>
        <v>http://dx.doi.org/10.1093/zoolinnean/zlab073</v>
      </c>
      <c r="BG592" t="s">
        <v>74</v>
      </c>
      <c r="BH592" t="s">
        <v>11189</v>
      </c>
      <c r="BI592">
        <v>31</v>
      </c>
      <c r="BJ592" t="s">
        <v>1612</v>
      </c>
      <c r="BK592" t="s">
        <v>101</v>
      </c>
      <c r="BL592" t="s">
        <v>1612</v>
      </c>
      <c r="BM592" t="s">
        <v>11836</v>
      </c>
      <c r="BN592" t="s">
        <v>74</v>
      </c>
      <c r="BO592" t="s">
        <v>1471</v>
      </c>
      <c r="BP592" t="s">
        <v>74</v>
      </c>
      <c r="BQ592" t="s">
        <v>74</v>
      </c>
      <c r="BR592" t="s">
        <v>105</v>
      </c>
      <c r="BS592" t="s">
        <v>11837</v>
      </c>
      <c r="BT592" t="str">
        <f>HYPERLINK("https%3A%2F%2Fwww.webofscience.com%2Fwos%2Fwoscc%2Ffull-record%2FWOS:000764666800001","View Full Record in Web of Science")</f>
        <v>View Full Record in Web of Science</v>
      </c>
    </row>
    <row r="593" spans="1:72" x14ac:dyDescent="0.15">
      <c r="A593" t="s">
        <v>72</v>
      </c>
      <c r="B593" t="s">
        <v>11838</v>
      </c>
      <c r="C593" t="s">
        <v>74</v>
      </c>
      <c r="D593" t="s">
        <v>74</v>
      </c>
      <c r="E593" t="s">
        <v>74</v>
      </c>
      <c r="F593" t="s">
        <v>11839</v>
      </c>
      <c r="G593" t="s">
        <v>74</v>
      </c>
      <c r="H593" t="s">
        <v>74</v>
      </c>
      <c r="I593" t="s">
        <v>11840</v>
      </c>
      <c r="J593" t="s">
        <v>1401</v>
      </c>
      <c r="K593" t="s">
        <v>74</v>
      </c>
      <c r="L593" t="s">
        <v>74</v>
      </c>
      <c r="M593" t="s">
        <v>78</v>
      </c>
      <c r="N593" t="s">
        <v>7574</v>
      </c>
      <c r="O593" t="s">
        <v>74</v>
      </c>
      <c r="P593" t="s">
        <v>74</v>
      </c>
      <c r="Q593" t="s">
        <v>74</v>
      </c>
      <c r="R593" t="s">
        <v>74</v>
      </c>
      <c r="S593" t="s">
        <v>74</v>
      </c>
      <c r="T593" t="s">
        <v>74</v>
      </c>
      <c r="U593" t="s">
        <v>11841</v>
      </c>
      <c r="V593" t="s">
        <v>11842</v>
      </c>
      <c r="W593" t="s">
        <v>11843</v>
      </c>
      <c r="X593" t="s">
        <v>11844</v>
      </c>
      <c r="Y593" t="s">
        <v>11845</v>
      </c>
      <c r="Z593" t="s">
        <v>11846</v>
      </c>
      <c r="AA593" t="s">
        <v>11847</v>
      </c>
      <c r="AB593" t="s">
        <v>11848</v>
      </c>
      <c r="AC593" t="s">
        <v>11849</v>
      </c>
      <c r="AD593" t="s">
        <v>11850</v>
      </c>
      <c r="AE593" t="s">
        <v>11851</v>
      </c>
      <c r="AF593" t="s">
        <v>74</v>
      </c>
      <c r="AG593">
        <v>45</v>
      </c>
      <c r="AH593">
        <v>8</v>
      </c>
      <c r="AI593">
        <v>10</v>
      </c>
      <c r="AJ593">
        <v>9</v>
      </c>
      <c r="AK593">
        <v>29</v>
      </c>
      <c r="AL593" t="s">
        <v>227</v>
      </c>
      <c r="AM593" t="s">
        <v>228</v>
      </c>
      <c r="AN593" t="s">
        <v>229</v>
      </c>
      <c r="AO593" t="s">
        <v>1413</v>
      </c>
      <c r="AP593" t="s">
        <v>1414</v>
      </c>
      <c r="AQ593" t="s">
        <v>74</v>
      </c>
      <c r="AR593" t="s">
        <v>1415</v>
      </c>
      <c r="AS593" t="s">
        <v>1416</v>
      </c>
      <c r="AT593" t="s">
        <v>11852</v>
      </c>
      <c r="AU593">
        <v>2021</v>
      </c>
      <c r="AV593">
        <v>13</v>
      </c>
      <c r="AW593">
        <v>9</v>
      </c>
      <c r="AX593" t="s">
        <v>74</v>
      </c>
      <c r="AY593" t="s">
        <v>74</v>
      </c>
      <c r="AZ593" t="s">
        <v>74</v>
      </c>
      <c r="BA593" t="s">
        <v>74</v>
      </c>
      <c r="BB593">
        <v>4583</v>
      </c>
      <c r="BC593">
        <v>4601</v>
      </c>
      <c r="BD593" t="s">
        <v>74</v>
      </c>
      <c r="BE593" t="s">
        <v>11853</v>
      </c>
      <c r="BF593" t="str">
        <f>HYPERLINK("http://dx.doi.org/10.5194/essd-13-4583-2021","http://dx.doi.org/10.5194/essd-13-4583-2021")</f>
        <v>http://dx.doi.org/10.5194/essd-13-4583-2021</v>
      </c>
      <c r="BG593" t="s">
        <v>74</v>
      </c>
      <c r="BH593" t="s">
        <v>74</v>
      </c>
      <c r="BI593">
        <v>19</v>
      </c>
      <c r="BJ593" t="s">
        <v>1418</v>
      </c>
      <c r="BK593" t="s">
        <v>101</v>
      </c>
      <c r="BL593" t="s">
        <v>1419</v>
      </c>
      <c r="BM593" t="s">
        <v>11854</v>
      </c>
      <c r="BN593" t="s">
        <v>74</v>
      </c>
      <c r="BO593" t="s">
        <v>239</v>
      </c>
      <c r="BP593" t="s">
        <v>74</v>
      </c>
      <c r="BQ593" t="s">
        <v>74</v>
      </c>
      <c r="BR593" t="s">
        <v>105</v>
      </c>
      <c r="BS593" t="s">
        <v>11855</v>
      </c>
      <c r="BT593" t="str">
        <f>HYPERLINK("https%3A%2F%2Fwww.webofscience.com%2Fwos%2Fwoscc%2Ffull-record%2FWOS:000711579500001","View Full Record in Web of Science")</f>
        <v>View Full Record in Web of Science</v>
      </c>
    </row>
    <row r="594" spans="1:72" x14ac:dyDescent="0.15">
      <c r="A594" t="s">
        <v>72</v>
      </c>
      <c r="B594" t="s">
        <v>11856</v>
      </c>
      <c r="C594" t="s">
        <v>74</v>
      </c>
      <c r="D594" t="s">
        <v>74</v>
      </c>
      <c r="E594" t="s">
        <v>74</v>
      </c>
      <c r="F594" t="s">
        <v>11857</v>
      </c>
      <c r="G594" t="s">
        <v>74</v>
      </c>
      <c r="H594" t="s">
        <v>74</v>
      </c>
      <c r="I594" t="s">
        <v>11858</v>
      </c>
      <c r="J594" t="s">
        <v>399</v>
      </c>
      <c r="K594" t="s">
        <v>74</v>
      </c>
      <c r="L594" t="s">
        <v>74</v>
      </c>
      <c r="M594" t="s">
        <v>78</v>
      </c>
      <c r="N594" t="s">
        <v>79</v>
      </c>
      <c r="O594" t="s">
        <v>74</v>
      </c>
      <c r="P594" t="s">
        <v>74</v>
      </c>
      <c r="Q594" t="s">
        <v>74</v>
      </c>
      <c r="R594" t="s">
        <v>74</v>
      </c>
      <c r="S594" t="s">
        <v>74</v>
      </c>
      <c r="T594" t="s">
        <v>11859</v>
      </c>
      <c r="U594" t="s">
        <v>11860</v>
      </c>
      <c r="V594" t="s">
        <v>11861</v>
      </c>
      <c r="W594" t="s">
        <v>11862</v>
      </c>
      <c r="X594" t="s">
        <v>11863</v>
      </c>
      <c r="Y594" t="s">
        <v>11864</v>
      </c>
      <c r="Z594" t="s">
        <v>11865</v>
      </c>
      <c r="AA594" t="s">
        <v>11866</v>
      </c>
      <c r="AB594" t="s">
        <v>11867</v>
      </c>
      <c r="AC594" t="s">
        <v>11868</v>
      </c>
      <c r="AD594" t="s">
        <v>11869</v>
      </c>
      <c r="AE594" t="s">
        <v>11870</v>
      </c>
      <c r="AF594" t="s">
        <v>74</v>
      </c>
      <c r="AG594">
        <v>38</v>
      </c>
      <c r="AH594">
        <v>6</v>
      </c>
      <c r="AI594">
        <v>6</v>
      </c>
      <c r="AJ594">
        <v>6</v>
      </c>
      <c r="AK594">
        <v>35</v>
      </c>
      <c r="AL594" t="s">
        <v>255</v>
      </c>
      <c r="AM594" t="s">
        <v>256</v>
      </c>
      <c r="AN594" t="s">
        <v>257</v>
      </c>
      <c r="AO594" t="s">
        <v>412</v>
      </c>
      <c r="AP594" t="s">
        <v>413</v>
      </c>
      <c r="AQ594" t="s">
        <v>74</v>
      </c>
      <c r="AR594" t="s">
        <v>414</v>
      </c>
      <c r="AS594" t="s">
        <v>415</v>
      </c>
      <c r="AT594" t="s">
        <v>98</v>
      </c>
      <c r="AU594">
        <v>2021</v>
      </c>
      <c r="AV594">
        <v>173</v>
      </c>
      <c r="AW594" t="s">
        <v>74</v>
      </c>
      <c r="AX594" t="s">
        <v>5900</v>
      </c>
      <c r="AY594" t="s">
        <v>74</v>
      </c>
      <c r="AZ594" t="s">
        <v>74</v>
      </c>
      <c r="BA594" t="s">
        <v>74</v>
      </c>
      <c r="BB594" t="s">
        <v>74</v>
      </c>
      <c r="BC594" t="s">
        <v>74</v>
      </c>
      <c r="BD594">
        <v>112959</v>
      </c>
      <c r="BE594" t="s">
        <v>11871</v>
      </c>
      <c r="BF594" t="str">
        <f>HYPERLINK("http://dx.doi.org/10.1016/j.marpolbul.2021.112959","http://dx.doi.org/10.1016/j.marpolbul.2021.112959")</f>
        <v>http://dx.doi.org/10.1016/j.marpolbul.2021.112959</v>
      </c>
      <c r="BG594" t="s">
        <v>74</v>
      </c>
      <c r="BH594" t="s">
        <v>11189</v>
      </c>
      <c r="BI594">
        <v>10</v>
      </c>
      <c r="BJ594" t="s">
        <v>391</v>
      </c>
      <c r="BK594" t="s">
        <v>101</v>
      </c>
      <c r="BL594" t="s">
        <v>392</v>
      </c>
      <c r="BM594" t="s">
        <v>11872</v>
      </c>
      <c r="BN594">
        <v>34571382</v>
      </c>
      <c r="BO594" t="s">
        <v>676</v>
      </c>
      <c r="BP594" t="s">
        <v>74</v>
      </c>
      <c r="BQ594" t="s">
        <v>74</v>
      </c>
      <c r="BR594" t="s">
        <v>105</v>
      </c>
      <c r="BS594" t="s">
        <v>11873</v>
      </c>
      <c r="BT594" t="str">
        <f>HYPERLINK("https%3A%2F%2Fwww.webofscience.com%2Fwos%2Fwoscc%2Ffull-record%2FWOS:000706138300003","View Full Record in Web of Science")</f>
        <v>View Full Record in Web of Science</v>
      </c>
    </row>
    <row r="595" spans="1:72" x14ac:dyDescent="0.15">
      <c r="A595" t="s">
        <v>72</v>
      </c>
      <c r="B595" t="s">
        <v>11874</v>
      </c>
      <c r="C595" t="s">
        <v>74</v>
      </c>
      <c r="D595" t="s">
        <v>74</v>
      </c>
      <c r="E595" t="s">
        <v>74</v>
      </c>
      <c r="F595" t="s">
        <v>11875</v>
      </c>
      <c r="G595" t="s">
        <v>74</v>
      </c>
      <c r="H595" t="s">
        <v>74</v>
      </c>
      <c r="I595" t="s">
        <v>11876</v>
      </c>
      <c r="J595" t="s">
        <v>11877</v>
      </c>
      <c r="K595" t="s">
        <v>74</v>
      </c>
      <c r="L595" t="s">
        <v>74</v>
      </c>
      <c r="M595" t="s">
        <v>78</v>
      </c>
      <c r="N595" t="s">
        <v>373</v>
      </c>
      <c r="O595" t="s">
        <v>74</v>
      </c>
      <c r="P595" t="s">
        <v>74</v>
      </c>
      <c r="Q595" t="s">
        <v>74</v>
      </c>
      <c r="R595" t="s">
        <v>74</v>
      </c>
      <c r="S595" t="s">
        <v>74</v>
      </c>
      <c r="T595" t="s">
        <v>11878</v>
      </c>
      <c r="U595" t="s">
        <v>11879</v>
      </c>
      <c r="V595" t="s">
        <v>11880</v>
      </c>
      <c r="W595" t="s">
        <v>11881</v>
      </c>
      <c r="X595" t="s">
        <v>11882</v>
      </c>
      <c r="Y595" t="s">
        <v>11883</v>
      </c>
      <c r="Z595" t="s">
        <v>11884</v>
      </c>
      <c r="AA595" t="s">
        <v>11885</v>
      </c>
      <c r="AB595" t="s">
        <v>11886</v>
      </c>
      <c r="AC595" t="s">
        <v>11887</v>
      </c>
      <c r="AD595" t="s">
        <v>11888</v>
      </c>
      <c r="AE595" t="s">
        <v>11889</v>
      </c>
      <c r="AF595" t="s">
        <v>74</v>
      </c>
      <c r="AG595">
        <v>150</v>
      </c>
      <c r="AH595">
        <v>9</v>
      </c>
      <c r="AI595">
        <v>10</v>
      </c>
      <c r="AJ595">
        <v>1</v>
      </c>
      <c r="AK595">
        <v>7</v>
      </c>
      <c r="AL595" t="s">
        <v>11890</v>
      </c>
      <c r="AM595" t="s">
        <v>199</v>
      </c>
      <c r="AN595" t="s">
        <v>11891</v>
      </c>
      <c r="AO595" t="s">
        <v>11892</v>
      </c>
      <c r="AP595" t="s">
        <v>11893</v>
      </c>
      <c r="AQ595" t="s">
        <v>74</v>
      </c>
      <c r="AR595" t="s">
        <v>11877</v>
      </c>
      <c r="AS595" t="s">
        <v>11894</v>
      </c>
      <c r="AT595" t="s">
        <v>8321</v>
      </c>
      <c r="AU595">
        <v>2021</v>
      </c>
      <c r="AV595">
        <v>7</v>
      </c>
      <c r="AW595">
        <v>4</v>
      </c>
      <c r="AX595" t="s">
        <v>74</v>
      </c>
      <c r="AY595" t="s">
        <v>74</v>
      </c>
      <c r="AZ595" t="s">
        <v>74</v>
      </c>
      <c r="BA595" t="s">
        <v>74</v>
      </c>
      <c r="BB595">
        <v>309</v>
      </c>
      <c r="BC595">
        <v>332</v>
      </c>
      <c r="BD595" t="s">
        <v>74</v>
      </c>
      <c r="BE595" t="s">
        <v>11895</v>
      </c>
      <c r="BF595" t="str">
        <f>HYPERLINK("http://dx.doi.org/10.1080/20555563.2021.1940440","http://dx.doi.org/10.1080/20555563.2021.1940440")</f>
        <v>http://dx.doi.org/10.1080/20555563.2021.1940440</v>
      </c>
      <c r="BG595" t="s">
        <v>74</v>
      </c>
      <c r="BH595" t="s">
        <v>11189</v>
      </c>
      <c r="BI595">
        <v>24</v>
      </c>
      <c r="BJ595" t="s">
        <v>11896</v>
      </c>
      <c r="BK595" t="s">
        <v>1629</v>
      </c>
      <c r="BL595" t="s">
        <v>11896</v>
      </c>
      <c r="BM595" t="s">
        <v>11897</v>
      </c>
      <c r="BN595" t="s">
        <v>74</v>
      </c>
      <c r="BO595" t="s">
        <v>74</v>
      </c>
      <c r="BP595" t="s">
        <v>74</v>
      </c>
      <c r="BQ595" t="s">
        <v>74</v>
      </c>
      <c r="BR595" t="s">
        <v>105</v>
      </c>
      <c r="BS595" t="s">
        <v>11898</v>
      </c>
      <c r="BT595" t="str">
        <f>HYPERLINK("https%3A%2F%2Fwww.webofscience.com%2Fwos%2Fwoscc%2Ffull-record%2FWOS:000707059300001","View Full Record in Web of Science")</f>
        <v>View Full Record in Web of Science</v>
      </c>
    </row>
    <row r="596" spans="1:72" x14ac:dyDescent="0.15">
      <c r="A596" t="s">
        <v>72</v>
      </c>
      <c r="B596" t="s">
        <v>11899</v>
      </c>
      <c r="C596" t="s">
        <v>74</v>
      </c>
      <c r="D596" t="s">
        <v>74</v>
      </c>
      <c r="E596" t="s">
        <v>74</v>
      </c>
      <c r="F596" t="s">
        <v>11900</v>
      </c>
      <c r="G596" t="s">
        <v>74</v>
      </c>
      <c r="H596" t="s">
        <v>74</v>
      </c>
      <c r="I596" t="s">
        <v>11901</v>
      </c>
      <c r="J596" t="s">
        <v>372</v>
      </c>
      <c r="K596" t="s">
        <v>74</v>
      </c>
      <c r="L596" t="s">
        <v>74</v>
      </c>
      <c r="M596" t="s">
        <v>78</v>
      </c>
      <c r="N596" t="s">
        <v>79</v>
      </c>
      <c r="O596" t="s">
        <v>74</v>
      </c>
      <c r="P596" t="s">
        <v>74</v>
      </c>
      <c r="Q596" t="s">
        <v>74</v>
      </c>
      <c r="R596" t="s">
        <v>74</v>
      </c>
      <c r="S596" t="s">
        <v>74</v>
      </c>
      <c r="T596" t="s">
        <v>11902</v>
      </c>
      <c r="U596" t="s">
        <v>11903</v>
      </c>
      <c r="V596" t="s">
        <v>11904</v>
      </c>
      <c r="W596" t="s">
        <v>11905</v>
      </c>
      <c r="X596" t="s">
        <v>11906</v>
      </c>
      <c r="Y596" t="s">
        <v>11907</v>
      </c>
      <c r="Z596" t="s">
        <v>11908</v>
      </c>
      <c r="AA596" t="s">
        <v>74</v>
      </c>
      <c r="AB596" t="s">
        <v>74</v>
      </c>
      <c r="AC596" t="s">
        <v>11909</v>
      </c>
      <c r="AD596" t="s">
        <v>11910</v>
      </c>
      <c r="AE596" t="s">
        <v>11911</v>
      </c>
      <c r="AF596" t="s">
        <v>74</v>
      </c>
      <c r="AG596">
        <v>61</v>
      </c>
      <c r="AH596">
        <v>5</v>
      </c>
      <c r="AI596">
        <v>5</v>
      </c>
      <c r="AJ596">
        <v>3</v>
      </c>
      <c r="AK596">
        <v>19</v>
      </c>
      <c r="AL596" t="s">
        <v>383</v>
      </c>
      <c r="AM596" t="s">
        <v>384</v>
      </c>
      <c r="AN596" t="s">
        <v>385</v>
      </c>
      <c r="AO596" t="s">
        <v>74</v>
      </c>
      <c r="AP596" t="s">
        <v>386</v>
      </c>
      <c r="AQ596" t="s">
        <v>74</v>
      </c>
      <c r="AR596" t="s">
        <v>387</v>
      </c>
      <c r="AS596" t="s">
        <v>388</v>
      </c>
      <c r="AT596" t="s">
        <v>11852</v>
      </c>
      <c r="AU596">
        <v>2021</v>
      </c>
      <c r="AV596">
        <v>8</v>
      </c>
      <c r="AW596" t="s">
        <v>74</v>
      </c>
      <c r="AX596" t="s">
        <v>74</v>
      </c>
      <c r="AY596" t="s">
        <v>74</v>
      </c>
      <c r="AZ596" t="s">
        <v>74</v>
      </c>
      <c r="BA596" t="s">
        <v>74</v>
      </c>
      <c r="BB596" t="s">
        <v>74</v>
      </c>
      <c r="BC596" t="s">
        <v>74</v>
      </c>
      <c r="BD596">
        <v>577761</v>
      </c>
      <c r="BE596" t="s">
        <v>11912</v>
      </c>
      <c r="BF596" t="str">
        <f>HYPERLINK("http://dx.doi.org/10.3389/fmars.2021.577761","http://dx.doi.org/10.3389/fmars.2021.577761")</f>
        <v>http://dx.doi.org/10.3389/fmars.2021.577761</v>
      </c>
      <c r="BG596" t="s">
        <v>74</v>
      </c>
      <c r="BH596" t="s">
        <v>74</v>
      </c>
      <c r="BI596">
        <v>14</v>
      </c>
      <c r="BJ596" t="s">
        <v>391</v>
      </c>
      <c r="BK596" t="s">
        <v>101</v>
      </c>
      <c r="BL596" t="s">
        <v>392</v>
      </c>
      <c r="BM596" t="s">
        <v>11913</v>
      </c>
      <c r="BN596" t="s">
        <v>74</v>
      </c>
      <c r="BO596" t="s">
        <v>210</v>
      </c>
      <c r="BP596" t="s">
        <v>74</v>
      </c>
      <c r="BQ596" t="s">
        <v>74</v>
      </c>
      <c r="BR596" t="s">
        <v>105</v>
      </c>
      <c r="BS596" t="s">
        <v>11914</v>
      </c>
      <c r="BT596" t="str">
        <f>HYPERLINK("https%3A%2F%2Fwww.webofscience.com%2Fwos%2Fwoscc%2Ffull-record%2FWOS:000704581300001","View Full Record in Web of Science")</f>
        <v>View Full Record in Web of Science</v>
      </c>
    </row>
    <row r="597" spans="1:72" x14ac:dyDescent="0.15">
      <c r="A597" t="s">
        <v>72</v>
      </c>
      <c r="B597" t="s">
        <v>11915</v>
      </c>
      <c r="C597" t="s">
        <v>74</v>
      </c>
      <c r="D597" t="s">
        <v>74</v>
      </c>
      <c r="E597" t="s">
        <v>74</v>
      </c>
      <c r="F597" t="s">
        <v>11916</v>
      </c>
      <c r="G597" t="s">
        <v>74</v>
      </c>
      <c r="H597" t="s">
        <v>74</v>
      </c>
      <c r="I597" t="s">
        <v>11917</v>
      </c>
      <c r="J597" t="s">
        <v>11918</v>
      </c>
      <c r="K597" t="s">
        <v>74</v>
      </c>
      <c r="L597" t="s">
        <v>74</v>
      </c>
      <c r="M597" t="s">
        <v>78</v>
      </c>
      <c r="N597" t="s">
        <v>79</v>
      </c>
      <c r="O597" t="s">
        <v>74</v>
      </c>
      <c r="P597" t="s">
        <v>74</v>
      </c>
      <c r="Q597" t="s">
        <v>74</v>
      </c>
      <c r="R597" t="s">
        <v>74</v>
      </c>
      <c r="S597" t="s">
        <v>74</v>
      </c>
      <c r="T597" t="s">
        <v>11919</v>
      </c>
      <c r="U597" t="s">
        <v>11920</v>
      </c>
      <c r="V597" t="s">
        <v>11921</v>
      </c>
      <c r="W597" t="s">
        <v>11922</v>
      </c>
      <c r="X597" t="s">
        <v>11923</v>
      </c>
      <c r="Y597" t="s">
        <v>11924</v>
      </c>
      <c r="Z597" t="s">
        <v>11925</v>
      </c>
      <c r="AA597" t="s">
        <v>11926</v>
      </c>
      <c r="AB597" t="s">
        <v>11927</v>
      </c>
      <c r="AC597" t="s">
        <v>11928</v>
      </c>
      <c r="AD597" t="s">
        <v>11929</v>
      </c>
      <c r="AE597" t="s">
        <v>11930</v>
      </c>
      <c r="AF597" t="s">
        <v>74</v>
      </c>
      <c r="AG597">
        <v>77</v>
      </c>
      <c r="AH597">
        <v>2</v>
      </c>
      <c r="AI597">
        <v>2</v>
      </c>
      <c r="AJ597">
        <v>1</v>
      </c>
      <c r="AK597">
        <v>7</v>
      </c>
      <c r="AL597" t="s">
        <v>572</v>
      </c>
      <c r="AM597" t="s">
        <v>573</v>
      </c>
      <c r="AN597" t="s">
        <v>574</v>
      </c>
      <c r="AO597" t="s">
        <v>11931</v>
      </c>
      <c r="AP597" t="s">
        <v>11932</v>
      </c>
      <c r="AQ597" t="s">
        <v>74</v>
      </c>
      <c r="AR597" t="s">
        <v>11918</v>
      </c>
      <c r="AS597" t="s">
        <v>11933</v>
      </c>
      <c r="AT597" t="s">
        <v>310</v>
      </c>
      <c r="AU597">
        <v>2021</v>
      </c>
      <c r="AV597">
        <v>130</v>
      </c>
      <c r="AW597">
        <v>11</v>
      </c>
      <c r="AX597" t="s">
        <v>74</v>
      </c>
      <c r="AY597" t="s">
        <v>74</v>
      </c>
      <c r="AZ597" t="s">
        <v>74</v>
      </c>
      <c r="BA597" t="s">
        <v>74</v>
      </c>
      <c r="BB597">
        <v>1919</v>
      </c>
      <c r="BC597">
        <v>1929</v>
      </c>
      <c r="BD597" t="s">
        <v>74</v>
      </c>
      <c r="BE597" t="s">
        <v>11934</v>
      </c>
      <c r="BF597" t="str">
        <f>HYPERLINK("http://dx.doi.org/10.1111/oik.08249","http://dx.doi.org/10.1111/oik.08249")</f>
        <v>http://dx.doi.org/10.1111/oik.08249</v>
      </c>
      <c r="BG597" t="s">
        <v>74</v>
      </c>
      <c r="BH597" t="s">
        <v>11189</v>
      </c>
      <c r="BI597">
        <v>11</v>
      </c>
      <c r="BJ597" t="s">
        <v>629</v>
      </c>
      <c r="BK597" t="s">
        <v>101</v>
      </c>
      <c r="BL597" t="s">
        <v>630</v>
      </c>
      <c r="BM597" t="s">
        <v>11935</v>
      </c>
      <c r="BN597" t="s">
        <v>74</v>
      </c>
      <c r="BO597" t="s">
        <v>419</v>
      </c>
      <c r="BP597" t="s">
        <v>74</v>
      </c>
      <c r="BQ597" t="s">
        <v>74</v>
      </c>
      <c r="BR597" t="s">
        <v>105</v>
      </c>
      <c r="BS597" t="s">
        <v>11936</v>
      </c>
      <c r="BT597" t="str">
        <f>HYPERLINK("https%3A%2F%2Fwww.webofscience.com%2Fwos%2Fwoscc%2Ffull-record%2FWOS:000698666500001","View Full Record in Web of Science")</f>
        <v>View Full Record in Web of Science</v>
      </c>
    </row>
    <row r="598" spans="1:72" x14ac:dyDescent="0.15">
      <c r="A598" t="s">
        <v>72</v>
      </c>
      <c r="B598" t="s">
        <v>11937</v>
      </c>
      <c r="C598" t="s">
        <v>74</v>
      </c>
      <c r="D598" t="s">
        <v>74</v>
      </c>
      <c r="E598" t="s">
        <v>74</v>
      </c>
      <c r="F598" t="s">
        <v>11938</v>
      </c>
      <c r="G598" t="s">
        <v>74</v>
      </c>
      <c r="H598" t="s">
        <v>74</v>
      </c>
      <c r="I598" t="s">
        <v>11939</v>
      </c>
      <c r="J598" t="s">
        <v>11940</v>
      </c>
      <c r="K598" t="s">
        <v>74</v>
      </c>
      <c r="L598" t="s">
        <v>74</v>
      </c>
      <c r="M598" t="s">
        <v>78</v>
      </c>
      <c r="N598" t="s">
        <v>373</v>
      </c>
      <c r="O598" t="s">
        <v>74</v>
      </c>
      <c r="P598" t="s">
        <v>74</v>
      </c>
      <c r="Q598" t="s">
        <v>74</v>
      </c>
      <c r="R598" t="s">
        <v>74</v>
      </c>
      <c r="S598" t="s">
        <v>74</v>
      </c>
      <c r="T598" t="s">
        <v>11941</v>
      </c>
      <c r="U598" t="s">
        <v>74</v>
      </c>
      <c r="V598" t="s">
        <v>11942</v>
      </c>
      <c r="W598" t="s">
        <v>11943</v>
      </c>
      <c r="X598" t="s">
        <v>11944</v>
      </c>
      <c r="Y598" t="s">
        <v>11945</v>
      </c>
      <c r="Z598" t="s">
        <v>11946</v>
      </c>
      <c r="AA598" t="s">
        <v>11947</v>
      </c>
      <c r="AB598" t="s">
        <v>11948</v>
      </c>
      <c r="AC598" t="s">
        <v>11949</v>
      </c>
      <c r="AD598" t="s">
        <v>11950</v>
      </c>
      <c r="AE598" t="s">
        <v>11951</v>
      </c>
      <c r="AF598" t="s">
        <v>74</v>
      </c>
      <c r="AG598">
        <v>15</v>
      </c>
      <c r="AH598">
        <v>36</v>
      </c>
      <c r="AI598">
        <v>36</v>
      </c>
      <c r="AJ598">
        <v>4</v>
      </c>
      <c r="AK598">
        <v>16</v>
      </c>
      <c r="AL598" t="s">
        <v>572</v>
      </c>
      <c r="AM598" t="s">
        <v>573</v>
      </c>
      <c r="AN598" t="s">
        <v>574</v>
      </c>
      <c r="AO598" t="s">
        <v>11952</v>
      </c>
      <c r="AP598" t="s">
        <v>11953</v>
      </c>
      <c r="AQ598" t="s">
        <v>74</v>
      </c>
      <c r="AR598" t="s">
        <v>11954</v>
      </c>
      <c r="AS598" t="s">
        <v>11955</v>
      </c>
      <c r="AT598" t="s">
        <v>98</v>
      </c>
      <c r="AU598">
        <v>2021</v>
      </c>
      <c r="AV598">
        <v>12</v>
      </c>
      <c r="AW598">
        <v>12</v>
      </c>
      <c r="AX598" t="s">
        <v>74</v>
      </c>
      <c r="AY598" t="s">
        <v>74</v>
      </c>
      <c r="AZ598" t="s">
        <v>74</v>
      </c>
      <c r="BA598" t="s">
        <v>74</v>
      </c>
      <c r="BB598">
        <v>2372</v>
      </c>
      <c r="BC598">
        <v>2378</v>
      </c>
      <c r="BD598" t="s">
        <v>74</v>
      </c>
      <c r="BE598" t="s">
        <v>11956</v>
      </c>
      <c r="BF598" t="str">
        <f>HYPERLINK("http://dx.doi.org/10.1111/2041-210X.13713","http://dx.doi.org/10.1111/2041-210X.13713")</f>
        <v>http://dx.doi.org/10.1111/2041-210X.13713</v>
      </c>
      <c r="BG598" t="s">
        <v>74</v>
      </c>
      <c r="BH598" t="s">
        <v>11189</v>
      </c>
      <c r="BI598">
        <v>7</v>
      </c>
      <c r="BJ598" t="s">
        <v>629</v>
      </c>
      <c r="BK598" t="s">
        <v>101</v>
      </c>
      <c r="BL598" t="s">
        <v>630</v>
      </c>
      <c r="BM598" t="s">
        <v>11957</v>
      </c>
      <c r="BN598" t="s">
        <v>74</v>
      </c>
      <c r="BO598" t="s">
        <v>2470</v>
      </c>
      <c r="BP598" t="s">
        <v>74</v>
      </c>
      <c r="BQ598" t="s">
        <v>74</v>
      </c>
      <c r="BR598" t="s">
        <v>105</v>
      </c>
      <c r="BS598" t="s">
        <v>11958</v>
      </c>
      <c r="BT598" t="str">
        <f>HYPERLINK("https%3A%2F%2Fwww.webofscience.com%2Fwos%2Fwoscc%2Ffull-record%2FWOS:000698580700001","View Full Record in Web of Science")</f>
        <v>View Full Record in Web of Science</v>
      </c>
    </row>
    <row r="599" spans="1:72" x14ac:dyDescent="0.15">
      <c r="A599" t="s">
        <v>72</v>
      </c>
      <c r="B599" t="s">
        <v>11959</v>
      </c>
      <c r="C599" t="s">
        <v>74</v>
      </c>
      <c r="D599" t="s">
        <v>74</v>
      </c>
      <c r="E599" t="s">
        <v>74</v>
      </c>
      <c r="F599" t="s">
        <v>11960</v>
      </c>
      <c r="G599" t="s">
        <v>74</v>
      </c>
      <c r="H599" t="s">
        <v>74</v>
      </c>
      <c r="I599" t="s">
        <v>11961</v>
      </c>
      <c r="J599" t="s">
        <v>11741</v>
      </c>
      <c r="K599" t="s">
        <v>74</v>
      </c>
      <c r="L599" t="s">
        <v>74</v>
      </c>
      <c r="M599" t="s">
        <v>78</v>
      </c>
      <c r="N599" t="s">
        <v>79</v>
      </c>
      <c r="O599" t="s">
        <v>74</v>
      </c>
      <c r="P599" t="s">
        <v>74</v>
      </c>
      <c r="Q599" t="s">
        <v>74</v>
      </c>
      <c r="R599" t="s">
        <v>74</v>
      </c>
      <c r="S599" t="s">
        <v>74</v>
      </c>
      <c r="T599" t="s">
        <v>11962</v>
      </c>
      <c r="U599" t="s">
        <v>11963</v>
      </c>
      <c r="V599" t="s">
        <v>11964</v>
      </c>
      <c r="W599" t="s">
        <v>11965</v>
      </c>
      <c r="X599" t="s">
        <v>11966</v>
      </c>
      <c r="Y599" t="s">
        <v>11967</v>
      </c>
      <c r="Z599" t="s">
        <v>11968</v>
      </c>
      <c r="AA599" t="s">
        <v>11969</v>
      </c>
      <c r="AB599" t="s">
        <v>11970</v>
      </c>
      <c r="AC599" t="s">
        <v>74</v>
      </c>
      <c r="AD599" t="s">
        <v>74</v>
      </c>
      <c r="AE599" t="s">
        <v>74</v>
      </c>
      <c r="AF599" t="s">
        <v>74</v>
      </c>
      <c r="AG599">
        <v>52</v>
      </c>
      <c r="AH599">
        <v>23</v>
      </c>
      <c r="AI599">
        <v>24</v>
      </c>
      <c r="AJ599">
        <v>3</v>
      </c>
      <c r="AK599">
        <v>22</v>
      </c>
      <c r="AL599" t="s">
        <v>1326</v>
      </c>
      <c r="AM599" t="s">
        <v>256</v>
      </c>
      <c r="AN599" t="s">
        <v>1327</v>
      </c>
      <c r="AO599" t="s">
        <v>11747</v>
      </c>
      <c r="AP599" t="s">
        <v>11748</v>
      </c>
      <c r="AQ599" t="s">
        <v>74</v>
      </c>
      <c r="AR599" t="s">
        <v>11749</v>
      </c>
      <c r="AS599" t="s">
        <v>11750</v>
      </c>
      <c r="AT599" t="s">
        <v>98</v>
      </c>
      <c r="AU599">
        <v>2021</v>
      </c>
      <c r="AV599">
        <v>134</v>
      </c>
      <c r="AW599" t="s">
        <v>74</v>
      </c>
      <c r="AX599" t="s">
        <v>74</v>
      </c>
      <c r="AY599" t="s">
        <v>74</v>
      </c>
      <c r="AZ599" t="s">
        <v>74</v>
      </c>
      <c r="BA599" t="s">
        <v>74</v>
      </c>
      <c r="BB599" t="s">
        <v>74</v>
      </c>
      <c r="BC599" t="s">
        <v>74</v>
      </c>
      <c r="BD599">
        <v>104795</v>
      </c>
      <c r="BE599" t="s">
        <v>11971</v>
      </c>
      <c r="BF599" t="str">
        <f>HYPERLINK("http://dx.doi.org/10.1016/j.marpol.2021.104795","http://dx.doi.org/10.1016/j.marpol.2021.104795")</f>
        <v>http://dx.doi.org/10.1016/j.marpol.2021.104795</v>
      </c>
      <c r="BG599" t="s">
        <v>74</v>
      </c>
      <c r="BH599" t="s">
        <v>11189</v>
      </c>
      <c r="BI599">
        <v>7</v>
      </c>
      <c r="BJ599" t="s">
        <v>11752</v>
      </c>
      <c r="BK599" t="s">
        <v>2299</v>
      </c>
      <c r="BL599" t="s">
        <v>11753</v>
      </c>
      <c r="BM599" t="s">
        <v>11972</v>
      </c>
      <c r="BN599" t="s">
        <v>74</v>
      </c>
      <c r="BO599" t="s">
        <v>1471</v>
      </c>
      <c r="BP599" t="s">
        <v>74</v>
      </c>
      <c r="BQ599" t="s">
        <v>74</v>
      </c>
      <c r="BR599" t="s">
        <v>105</v>
      </c>
      <c r="BS599" t="s">
        <v>11973</v>
      </c>
      <c r="BT599" t="str">
        <f>HYPERLINK("https%3A%2F%2Fwww.webofscience.com%2Fwos%2Fwoscc%2Ffull-record%2FWOS:000708017400011","View Full Record in Web of Science")</f>
        <v>View Full Record in Web of Science</v>
      </c>
    </row>
    <row r="600" spans="1:72" x14ac:dyDescent="0.15">
      <c r="A600" t="s">
        <v>72</v>
      </c>
      <c r="B600" t="s">
        <v>11974</v>
      </c>
      <c r="C600" t="s">
        <v>74</v>
      </c>
      <c r="D600" t="s">
        <v>74</v>
      </c>
      <c r="E600" t="s">
        <v>74</v>
      </c>
      <c r="F600" t="s">
        <v>11975</v>
      </c>
      <c r="G600" t="s">
        <v>74</v>
      </c>
      <c r="H600" t="s">
        <v>74</v>
      </c>
      <c r="I600" t="s">
        <v>11976</v>
      </c>
      <c r="J600" t="s">
        <v>11977</v>
      </c>
      <c r="K600" t="s">
        <v>74</v>
      </c>
      <c r="L600" t="s">
        <v>74</v>
      </c>
      <c r="M600" t="s">
        <v>78</v>
      </c>
      <c r="N600" t="s">
        <v>79</v>
      </c>
      <c r="O600" t="s">
        <v>74</v>
      </c>
      <c r="P600" t="s">
        <v>74</v>
      </c>
      <c r="Q600" t="s">
        <v>74</v>
      </c>
      <c r="R600" t="s">
        <v>74</v>
      </c>
      <c r="S600" t="s">
        <v>74</v>
      </c>
      <c r="T600" t="s">
        <v>11978</v>
      </c>
      <c r="U600" t="s">
        <v>11979</v>
      </c>
      <c r="V600" t="s">
        <v>11980</v>
      </c>
      <c r="W600" t="s">
        <v>11981</v>
      </c>
      <c r="X600" t="s">
        <v>11982</v>
      </c>
      <c r="Y600" t="s">
        <v>11983</v>
      </c>
      <c r="Z600" t="s">
        <v>11984</v>
      </c>
      <c r="AA600" t="s">
        <v>11985</v>
      </c>
      <c r="AB600" t="s">
        <v>11986</v>
      </c>
      <c r="AC600" t="s">
        <v>11987</v>
      </c>
      <c r="AD600" t="s">
        <v>11988</v>
      </c>
      <c r="AE600" t="s">
        <v>11989</v>
      </c>
      <c r="AF600" t="s">
        <v>74</v>
      </c>
      <c r="AG600">
        <v>113</v>
      </c>
      <c r="AH600">
        <v>27</v>
      </c>
      <c r="AI600">
        <v>29</v>
      </c>
      <c r="AJ600">
        <v>32</v>
      </c>
      <c r="AK600">
        <v>171</v>
      </c>
      <c r="AL600" t="s">
        <v>437</v>
      </c>
      <c r="AM600" t="s">
        <v>438</v>
      </c>
      <c r="AN600" t="s">
        <v>439</v>
      </c>
      <c r="AO600" t="s">
        <v>11990</v>
      </c>
      <c r="AP600" t="s">
        <v>11991</v>
      </c>
      <c r="AQ600" t="s">
        <v>74</v>
      </c>
      <c r="AR600" t="s">
        <v>11992</v>
      </c>
      <c r="AS600" t="s">
        <v>11993</v>
      </c>
      <c r="AT600" t="s">
        <v>9066</v>
      </c>
      <c r="AU600">
        <v>2021</v>
      </c>
      <c r="AV600">
        <v>55</v>
      </c>
      <c r="AW600">
        <v>19</v>
      </c>
      <c r="AX600" t="s">
        <v>74</v>
      </c>
      <c r="AY600" t="s">
        <v>74</v>
      </c>
      <c r="AZ600" t="s">
        <v>74</v>
      </c>
      <c r="BA600" t="s">
        <v>74</v>
      </c>
      <c r="BB600">
        <v>12961</v>
      </c>
      <c r="BC600">
        <v>12972</v>
      </c>
      <c r="BD600" t="s">
        <v>74</v>
      </c>
      <c r="BE600" t="s">
        <v>11994</v>
      </c>
      <c r="BF600" t="str">
        <f>HYPERLINK("http://dx.doi.org/10.1021/acs.est.1c03295","http://dx.doi.org/10.1021/acs.est.1c03295")</f>
        <v>http://dx.doi.org/10.1021/acs.est.1c03295</v>
      </c>
      <c r="BG600" t="s">
        <v>74</v>
      </c>
      <c r="BH600" t="s">
        <v>11189</v>
      </c>
      <c r="BI600">
        <v>12</v>
      </c>
      <c r="BJ600" t="s">
        <v>528</v>
      </c>
      <c r="BK600" t="s">
        <v>101</v>
      </c>
      <c r="BL600" t="s">
        <v>529</v>
      </c>
      <c r="BM600" t="s">
        <v>11995</v>
      </c>
      <c r="BN600">
        <v>34553911</v>
      </c>
      <c r="BO600" t="s">
        <v>2241</v>
      </c>
      <c r="BP600" t="s">
        <v>74</v>
      </c>
      <c r="BQ600" t="s">
        <v>74</v>
      </c>
      <c r="BR600" t="s">
        <v>105</v>
      </c>
      <c r="BS600" t="s">
        <v>11996</v>
      </c>
      <c r="BT600" t="str">
        <f>HYPERLINK("https%3A%2F%2Fwww.webofscience.com%2Fwos%2Fwoscc%2Ffull-record%2FWOS:000705995700025","View Full Record in Web of Science")</f>
        <v>View Full Record in Web of Science</v>
      </c>
    </row>
    <row r="601" spans="1:72" x14ac:dyDescent="0.15">
      <c r="A601" t="s">
        <v>72</v>
      </c>
      <c r="B601" t="s">
        <v>11997</v>
      </c>
      <c r="C601" t="s">
        <v>74</v>
      </c>
      <c r="D601" t="s">
        <v>74</v>
      </c>
      <c r="E601" t="s">
        <v>74</v>
      </c>
      <c r="F601" t="s">
        <v>11998</v>
      </c>
      <c r="G601" t="s">
        <v>74</v>
      </c>
      <c r="H601" t="s">
        <v>74</v>
      </c>
      <c r="I601" t="s">
        <v>11999</v>
      </c>
      <c r="J601" t="s">
        <v>12000</v>
      </c>
      <c r="K601" t="s">
        <v>74</v>
      </c>
      <c r="L601" t="s">
        <v>74</v>
      </c>
      <c r="M601" t="s">
        <v>78</v>
      </c>
      <c r="N601" t="s">
        <v>7574</v>
      </c>
      <c r="O601" t="s">
        <v>74</v>
      </c>
      <c r="P601" t="s">
        <v>74</v>
      </c>
      <c r="Q601" t="s">
        <v>74</v>
      </c>
      <c r="R601" t="s">
        <v>74</v>
      </c>
      <c r="S601" t="s">
        <v>74</v>
      </c>
      <c r="T601" t="s">
        <v>12001</v>
      </c>
      <c r="U601" t="s">
        <v>12002</v>
      </c>
      <c r="V601" t="s">
        <v>12003</v>
      </c>
      <c r="W601" t="s">
        <v>12004</v>
      </c>
      <c r="X601" t="s">
        <v>12005</v>
      </c>
      <c r="Y601" t="s">
        <v>12006</v>
      </c>
      <c r="Z601" t="s">
        <v>12007</v>
      </c>
      <c r="AA601" t="s">
        <v>12008</v>
      </c>
      <c r="AB601" t="s">
        <v>12009</v>
      </c>
      <c r="AC601" t="s">
        <v>12010</v>
      </c>
      <c r="AD601" t="s">
        <v>12011</v>
      </c>
      <c r="AE601" t="s">
        <v>12012</v>
      </c>
      <c r="AF601" t="s">
        <v>74</v>
      </c>
      <c r="AG601">
        <v>20</v>
      </c>
      <c r="AH601">
        <v>1</v>
      </c>
      <c r="AI601">
        <v>1</v>
      </c>
      <c r="AJ601">
        <v>0</v>
      </c>
      <c r="AK601">
        <v>7</v>
      </c>
      <c r="AL601" t="s">
        <v>9264</v>
      </c>
      <c r="AM601" t="s">
        <v>9265</v>
      </c>
      <c r="AN601" t="s">
        <v>9266</v>
      </c>
      <c r="AO601" t="s">
        <v>12013</v>
      </c>
      <c r="AP601" t="s">
        <v>12014</v>
      </c>
      <c r="AQ601" t="s">
        <v>74</v>
      </c>
      <c r="AR601" t="s">
        <v>12015</v>
      </c>
      <c r="AS601" t="s">
        <v>12016</v>
      </c>
      <c r="AT601" t="s">
        <v>12017</v>
      </c>
      <c r="AU601">
        <v>2021</v>
      </c>
      <c r="AV601">
        <v>9</v>
      </c>
      <c r="AW601" t="s">
        <v>74</v>
      </c>
      <c r="AX601" t="s">
        <v>74</v>
      </c>
      <c r="AY601" t="s">
        <v>74</v>
      </c>
      <c r="AZ601" t="s">
        <v>74</v>
      </c>
      <c r="BA601" t="s">
        <v>74</v>
      </c>
      <c r="BB601" t="s">
        <v>74</v>
      </c>
      <c r="BC601" t="s">
        <v>74</v>
      </c>
      <c r="BD601" t="s">
        <v>12018</v>
      </c>
      <c r="BE601" t="s">
        <v>12019</v>
      </c>
      <c r="BF601" t="str">
        <f>HYPERLINK("http://dx.doi.org/10.3897/BDJ.9.e70590","http://dx.doi.org/10.3897/BDJ.9.e70590")</f>
        <v>http://dx.doi.org/10.3897/BDJ.9.e70590</v>
      </c>
      <c r="BG601" t="s">
        <v>74</v>
      </c>
      <c r="BH601" t="s">
        <v>74</v>
      </c>
      <c r="BI601">
        <v>19</v>
      </c>
      <c r="BJ601" t="s">
        <v>9674</v>
      </c>
      <c r="BK601" t="s">
        <v>101</v>
      </c>
      <c r="BL601" t="s">
        <v>9675</v>
      </c>
      <c r="BM601" t="s">
        <v>12020</v>
      </c>
      <c r="BN601">
        <v>34690516</v>
      </c>
      <c r="BO601" t="s">
        <v>394</v>
      </c>
      <c r="BP601" t="s">
        <v>74</v>
      </c>
      <c r="BQ601" t="s">
        <v>74</v>
      </c>
      <c r="BR601" t="s">
        <v>105</v>
      </c>
      <c r="BS601" t="s">
        <v>12021</v>
      </c>
      <c r="BT601" t="str">
        <f>HYPERLINK("https%3A%2F%2Fwww.webofscience.com%2Fwos%2Fwoscc%2Ffull-record%2FWOS:000705088000005","View Full Record in Web of Science")</f>
        <v>View Full Record in Web of Science</v>
      </c>
    </row>
    <row r="602" spans="1:72" x14ac:dyDescent="0.15">
      <c r="A602" t="s">
        <v>72</v>
      </c>
      <c r="B602" t="s">
        <v>12022</v>
      </c>
      <c r="C602" t="s">
        <v>74</v>
      </c>
      <c r="D602" t="s">
        <v>74</v>
      </c>
      <c r="E602" t="s">
        <v>74</v>
      </c>
      <c r="F602" t="s">
        <v>12023</v>
      </c>
      <c r="G602" t="s">
        <v>74</v>
      </c>
      <c r="H602" t="s">
        <v>74</v>
      </c>
      <c r="I602" t="s">
        <v>12024</v>
      </c>
      <c r="J602" t="s">
        <v>372</v>
      </c>
      <c r="K602" t="s">
        <v>74</v>
      </c>
      <c r="L602" t="s">
        <v>74</v>
      </c>
      <c r="M602" t="s">
        <v>78</v>
      </c>
      <c r="N602" t="s">
        <v>79</v>
      </c>
      <c r="O602" t="s">
        <v>74</v>
      </c>
      <c r="P602" t="s">
        <v>74</v>
      </c>
      <c r="Q602" t="s">
        <v>74</v>
      </c>
      <c r="R602" t="s">
        <v>74</v>
      </c>
      <c r="S602" t="s">
        <v>74</v>
      </c>
      <c r="T602" t="s">
        <v>12025</v>
      </c>
      <c r="U602" t="s">
        <v>12026</v>
      </c>
      <c r="V602" t="s">
        <v>12027</v>
      </c>
      <c r="W602" t="s">
        <v>12028</v>
      </c>
      <c r="X602" t="s">
        <v>12029</v>
      </c>
      <c r="Y602" t="s">
        <v>12030</v>
      </c>
      <c r="Z602" t="s">
        <v>12031</v>
      </c>
      <c r="AA602" t="s">
        <v>12032</v>
      </c>
      <c r="AB602" t="s">
        <v>12033</v>
      </c>
      <c r="AC602" t="s">
        <v>12034</v>
      </c>
      <c r="AD602" t="s">
        <v>12035</v>
      </c>
      <c r="AE602" t="s">
        <v>12036</v>
      </c>
      <c r="AF602" t="s">
        <v>74</v>
      </c>
      <c r="AG602">
        <v>55</v>
      </c>
      <c r="AH602">
        <v>4</v>
      </c>
      <c r="AI602">
        <v>4</v>
      </c>
      <c r="AJ602">
        <v>0</v>
      </c>
      <c r="AK602">
        <v>8</v>
      </c>
      <c r="AL602" t="s">
        <v>383</v>
      </c>
      <c r="AM602" t="s">
        <v>384</v>
      </c>
      <c r="AN602" t="s">
        <v>385</v>
      </c>
      <c r="AO602" t="s">
        <v>74</v>
      </c>
      <c r="AP602" t="s">
        <v>386</v>
      </c>
      <c r="AQ602" t="s">
        <v>74</v>
      </c>
      <c r="AR602" t="s">
        <v>387</v>
      </c>
      <c r="AS602" t="s">
        <v>388</v>
      </c>
      <c r="AT602" t="s">
        <v>12017</v>
      </c>
      <c r="AU602">
        <v>2021</v>
      </c>
      <c r="AV602">
        <v>8</v>
      </c>
      <c r="AW602" t="s">
        <v>74</v>
      </c>
      <c r="AX602" t="s">
        <v>74</v>
      </c>
      <c r="AY602" t="s">
        <v>74</v>
      </c>
      <c r="AZ602" t="s">
        <v>74</v>
      </c>
      <c r="BA602" t="s">
        <v>74</v>
      </c>
      <c r="BB602" t="s">
        <v>74</v>
      </c>
      <c r="BC602" t="s">
        <v>74</v>
      </c>
      <c r="BD602">
        <v>693695</v>
      </c>
      <c r="BE602" t="s">
        <v>12037</v>
      </c>
      <c r="BF602" t="str">
        <f>HYPERLINK("http://dx.doi.org/10.3389/fmars.2021.693695","http://dx.doi.org/10.3389/fmars.2021.693695")</f>
        <v>http://dx.doi.org/10.3389/fmars.2021.693695</v>
      </c>
      <c r="BG602" t="s">
        <v>74</v>
      </c>
      <c r="BH602" t="s">
        <v>74</v>
      </c>
      <c r="BI602">
        <v>10</v>
      </c>
      <c r="BJ602" t="s">
        <v>391</v>
      </c>
      <c r="BK602" t="s">
        <v>101</v>
      </c>
      <c r="BL602" t="s">
        <v>392</v>
      </c>
      <c r="BM602" t="s">
        <v>12038</v>
      </c>
      <c r="BN602" t="s">
        <v>74</v>
      </c>
      <c r="BO602" t="s">
        <v>1094</v>
      </c>
      <c r="BP602" t="s">
        <v>74</v>
      </c>
      <c r="BQ602" t="s">
        <v>74</v>
      </c>
      <c r="BR602" t="s">
        <v>105</v>
      </c>
      <c r="BS602" t="s">
        <v>12039</v>
      </c>
      <c r="BT602" t="str">
        <f>HYPERLINK("https%3A%2F%2Fwww.webofscience.com%2Fwos%2Fwoscc%2Ffull-record%2FWOS:000704169100001","View Full Record in Web of Science")</f>
        <v>View Full Record in Web of Science</v>
      </c>
    </row>
    <row r="603" spans="1:72" x14ac:dyDescent="0.15">
      <c r="A603" t="s">
        <v>72</v>
      </c>
      <c r="B603" t="s">
        <v>12040</v>
      </c>
      <c r="C603" t="s">
        <v>74</v>
      </c>
      <c r="D603" t="s">
        <v>74</v>
      </c>
      <c r="E603" t="s">
        <v>74</v>
      </c>
      <c r="F603" t="s">
        <v>12041</v>
      </c>
      <c r="G603" t="s">
        <v>74</v>
      </c>
      <c r="H603" t="s">
        <v>74</v>
      </c>
      <c r="I603" t="s">
        <v>12042</v>
      </c>
      <c r="J603" t="s">
        <v>12043</v>
      </c>
      <c r="K603" t="s">
        <v>74</v>
      </c>
      <c r="L603" t="s">
        <v>74</v>
      </c>
      <c r="M603" t="s">
        <v>78</v>
      </c>
      <c r="N603" t="s">
        <v>79</v>
      </c>
      <c r="O603" t="s">
        <v>74</v>
      </c>
      <c r="P603" t="s">
        <v>74</v>
      </c>
      <c r="Q603" t="s">
        <v>74</v>
      </c>
      <c r="R603" t="s">
        <v>74</v>
      </c>
      <c r="S603" t="s">
        <v>74</v>
      </c>
      <c r="T603" t="s">
        <v>12044</v>
      </c>
      <c r="U603" t="s">
        <v>12045</v>
      </c>
      <c r="V603" t="s">
        <v>12046</v>
      </c>
      <c r="W603" t="s">
        <v>12047</v>
      </c>
      <c r="X603" t="s">
        <v>12048</v>
      </c>
      <c r="Y603" t="s">
        <v>12049</v>
      </c>
      <c r="Z603" t="s">
        <v>12050</v>
      </c>
      <c r="AA603" t="s">
        <v>12051</v>
      </c>
      <c r="AB603" t="s">
        <v>12052</v>
      </c>
      <c r="AC603" t="s">
        <v>12053</v>
      </c>
      <c r="AD603" t="s">
        <v>968</v>
      </c>
      <c r="AE603" t="s">
        <v>12054</v>
      </c>
      <c r="AF603" t="s">
        <v>74</v>
      </c>
      <c r="AG603">
        <v>61</v>
      </c>
      <c r="AH603">
        <v>2</v>
      </c>
      <c r="AI603">
        <v>3</v>
      </c>
      <c r="AJ603">
        <v>1</v>
      </c>
      <c r="AK603">
        <v>11</v>
      </c>
      <c r="AL603" t="s">
        <v>1326</v>
      </c>
      <c r="AM603" t="s">
        <v>256</v>
      </c>
      <c r="AN603" t="s">
        <v>1327</v>
      </c>
      <c r="AO603" t="s">
        <v>12055</v>
      </c>
      <c r="AP603" t="s">
        <v>12056</v>
      </c>
      <c r="AQ603" t="s">
        <v>74</v>
      </c>
      <c r="AR603" t="s">
        <v>12057</v>
      </c>
      <c r="AS603" t="s">
        <v>12058</v>
      </c>
      <c r="AT603" t="s">
        <v>525</v>
      </c>
      <c r="AU603">
        <v>2022</v>
      </c>
      <c r="AV603">
        <v>67</v>
      </c>
      <c r="AW603" t="s">
        <v>74</v>
      </c>
      <c r="AX603" t="s">
        <v>74</v>
      </c>
      <c r="AY603" t="s">
        <v>74</v>
      </c>
      <c r="AZ603" t="s">
        <v>74</v>
      </c>
      <c r="BA603" t="s">
        <v>74</v>
      </c>
      <c r="BB603" t="s">
        <v>74</v>
      </c>
      <c r="BC603" t="s">
        <v>74</v>
      </c>
      <c r="BD603">
        <v>101233</v>
      </c>
      <c r="BE603" t="s">
        <v>12059</v>
      </c>
      <c r="BF603" t="str">
        <f>HYPERLINK("http://dx.doi.org/10.1016/j.quageo.2021.101233","http://dx.doi.org/10.1016/j.quageo.2021.101233")</f>
        <v>http://dx.doi.org/10.1016/j.quageo.2021.101233</v>
      </c>
      <c r="BG603" t="s">
        <v>74</v>
      </c>
      <c r="BH603" t="s">
        <v>11189</v>
      </c>
      <c r="BI603">
        <v>14</v>
      </c>
      <c r="BJ603" t="s">
        <v>340</v>
      </c>
      <c r="BK603" t="s">
        <v>101</v>
      </c>
      <c r="BL603" t="s">
        <v>341</v>
      </c>
      <c r="BM603" t="s">
        <v>12060</v>
      </c>
      <c r="BN603" t="s">
        <v>74</v>
      </c>
      <c r="BO603" t="s">
        <v>74</v>
      </c>
      <c r="BP603" t="s">
        <v>74</v>
      </c>
      <c r="BQ603" t="s">
        <v>74</v>
      </c>
      <c r="BR603" t="s">
        <v>105</v>
      </c>
      <c r="BS603" t="s">
        <v>12061</v>
      </c>
      <c r="BT603" t="str">
        <f>HYPERLINK("https%3A%2F%2Fwww.webofscience.com%2Fwos%2Fwoscc%2Ffull-record%2FWOS:000703668200002","View Full Record in Web of Science")</f>
        <v>View Full Record in Web of Science</v>
      </c>
    </row>
    <row r="604" spans="1:72" x14ac:dyDescent="0.15">
      <c r="A604" t="s">
        <v>72</v>
      </c>
      <c r="B604" t="s">
        <v>12062</v>
      </c>
      <c r="C604" t="s">
        <v>74</v>
      </c>
      <c r="D604" t="s">
        <v>74</v>
      </c>
      <c r="E604" t="s">
        <v>74</v>
      </c>
      <c r="F604" t="s">
        <v>12063</v>
      </c>
      <c r="G604" t="s">
        <v>74</v>
      </c>
      <c r="H604" t="s">
        <v>74</v>
      </c>
      <c r="I604" t="s">
        <v>12064</v>
      </c>
      <c r="J604" t="s">
        <v>1377</v>
      </c>
      <c r="K604" t="s">
        <v>74</v>
      </c>
      <c r="L604" t="s">
        <v>74</v>
      </c>
      <c r="M604" t="s">
        <v>78</v>
      </c>
      <c r="N604" t="s">
        <v>79</v>
      </c>
      <c r="O604" t="s">
        <v>74</v>
      </c>
      <c r="P604" t="s">
        <v>74</v>
      </c>
      <c r="Q604" t="s">
        <v>74</v>
      </c>
      <c r="R604" t="s">
        <v>74</v>
      </c>
      <c r="S604" t="s">
        <v>74</v>
      </c>
      <c r="T604" t="s">
        <v>12065</v>
      </c>
      <c r="U604" t="s">
        <v>12066</v>
      </c>
      <c r="V604" t="s">
        <v>12067</v>
      </c>
      <c r="W604" t="s">
        <v>12068</v>
      </c>
      <c r="X604" t="s">
        <v>12069</v>
      </c>
      <c r="Y604" t="s">
        <v>12070</v>
      </c>
      <c r="Z604" t="s">
        <v>12071</v>
      </c>
      <c r="AA604" t="s">
        <v>12072</v>
      </c>
      <c r="AB604" t="s">
        <v>12073</v>
      </c>
      <c r="AC604" t="s">
        <v>12074</v>
      </c>
      <c r="AD604" t="s">
        <v>12075</v>
      </c>
      <c r="AE604" t="s">
        <v>12076</v>
      </c>
      <c r="AF604" t="s">
        <v>74</v>
      </c>
      <c r="AG604">
        <v>62</v>
      </c>
      <c r="AH604">
        <v>10</v>
      </c>
      <c r="AI604">
        <v>10</v>
      </c>
      <c r="AJ604">
        <v>2</v>
      </c>
      <c r="AK604">
        <v>13</v>
      </c>
      <c r="AL604" t="s">
        <v>255</v>
      </c>
      <c r="AM604" t="s">
        <v>256</v>
      </c>
      <c r="AN604" t="s">
        <v>257</v>
      </c>
      <c r="AO604" t="s">
        <v>1390</v>
      </c>
      <c r="AP604" t="s">
        <v>1391</v>
      </c>
      <c r="AQ604" t="s">
        <v>74</v>
      </c>
      <c r="AR604" t="s">
        <v>1392</v>
      </c>
      <c r="AS604" t="s">
        <v>1393</v>
      </c>
      <c r="AT604" t="s">
        <v>4170</v>
      </c>
      <c r="AU604">
        <v>2021</v>
      </c>
      <c r="AV604">
        <v>271</v>
      </c>
      <c r="AW604" t="s">
        <v>74</v>
      </c>
      <c r="AX604" t="s">
        <v>74</v>
      </c>
      <c r="AY604" t="s">
        <v>74</v>
      </c>
      <c r="AZ604" t="s">
        <v>74</v>
      </c>
      <c r="BA604" t="s">
        <v>74</v>
      </c>
      <c r="BB604" t="s">
        <v>74</v>
      </c>
      <c r="BC604" t="s">
        <v>74</v>
      </c>
      <c r="BD604">
        <v>107189</v>
      </c>
      <c r="BE604" t="s">
        <v>12077</v>
      </c>
      <c r="BF604" t="str">
        <f>HYPERLINK("http://dx.doi.org/10.1016/j.quascirev.2021.107189","http://dx.doi.org/10.1016/j.quascirev.2021.107189")</f>
        <v>http://dx.doi.org/10.1016/j.quascirev.2021.107189</v>
      </c>
      <c r="BG604" t="s">
        <v>74</v>
      </c>
      <c r="BH604" t="s">
        <v>11189</v>
      </c>
      <c r="BI604">
        <v>7</v>
      </c>
      <c r="BJ604" t="s">
        <v>340</v>
      </c>
      <c r="BK604" t="s">
        <v>101</v>
      </c>
      <c r="BL604" t="s">
        <v>341</v>
      </c>
      <c r="BM604" t="s">
        <v>9454</v>
      </c>
      <c r="BN604" t="s">
        <v>74</v>
      </c>
      <c r="BO604" t="s">
        <v>314</v>
      </c>
      <c r="BP604" t="s">
        <v>74</v>
      </c>
      <c r="BQ604" t="s">
        <v>74</v>
      </c>
      <c r="BR604" t="s">
        <v>105</v>
      </c>
      <c r="BS604" t="s">
        <v>12078</v>
      </c>
      <c r="BT604" t="str">
        <f>HYPERLINK("https%3A%2F%2Fwww.webofscience.com%2Fwos%2Fwoscc%2Ffull-record%2FWOS:000703097800003","View Full Record in Web of Science")</f>
        <v>View Full Record in Web of Science</v>
      </c>
    </row>
    <row r="605" spans="1:72" x14ac:dyDescent="0.15">
      <c r="A605" t="s">
        <v>72</v>
      </c>
      <c r="B605" t="s">
        <v>12079</v>
      </c>
      <c r="C605" t="s">
        <v>74</v>
      </c>
      <c r="D605" t="s">
        <v>74</v>
      </c>
      <c r="E605" t="s">
        <v>74</v>
      </c>
      <c r="F605" t="s">
        <v>12080</v>
      </c>
      <c r="G605" t="s">
        <v>74</v>
      </c>
      <c r="H605" t="s">
        <v>74</v>
      </c>
      <c r="I605" t="s">
        <v>12081</v>
      </c>
      <c r="J605" t="s">
        <v>12082</v>
      </c>
      <c r="K605" t="s">
        <v>74</v>
      </c>
      <c r="L605" t="s">
        <v>74</v>
      </c>
      <c r="M605" t="s">
        <v>78</v>
      </c>
      <c r="N605" t="s">
        <v>373</v>
      </c>
      <c r="O605" t="s">
        <v>74</v>
      </c>
      <c r="P605" t="s">
        <v>74</v>
      </c>
      <c r="Q605" t="s">
        <v>74</v>
      </c>
      <c r="R605" t="s">
        <v>74</v>
      </c>
      <c r="S605" t="s">
        <v>74</v>
      </c>
      <c r="T605" t="s">
        <v>74</v>
      </c>
      <c r="U605" t="s">
        <v>12083</v>
      </c>
      <c r="V605" t="s">
        <v>12084</v>
      </c>
      <c r="W605" t="s">
        <v>12085</v>
      </c>
      <c r="X605" t="s">
        <v>12086</v>
      </c>
      <c r="Y605" t="s">
        <v>12087</v>
      </c>
      <c r="Z605" t="s">
        <v>12088</v>
      </c>
      <c r="AA605" t="s">
        <v>12089</v>
      </c>
      <c r="AB605" t="s">
        <v>12090</v>
      </c>
      <c r="AC605" t="s">
        <v>12091</v>
      </c>
      <c r="AD605" t="s">
        <v>12092</v>
      </c>
      <c r="AE605" t="s">
        <v>12093</v>
      </c>
      <c r="AF605" t="s">
        <v>74</v>
      </c>
      <c r="AG605">
        <v>140</v>
      </c>
      <c r="AH605">
        <v>53</v>
      </c>
      <c r="AI605">
        <v>56</v>
      </c>
      <c r="AJ605">
        <v>13</v>
      </c>
      <c r="AK605">
        <v>96</v>
      </c>
      <c r="AL605" t="s">
        <v>492</v>
      </c>
      <c r="AM605" t="s">
        <v>493</v>
      </c>
      <c r="AN605" t="s">
        <v>494</v>
      </c>
      <c r="AO605" t="s">
        <v>12094</v>
      </c>
      <c r="AP605" t="s">
        <v>74</v>
      </c>
      <c r="AQ605" t="s">
        <v>74</v>
      </c>
      <c r="AR605" t="s">
        <v>12095</v>
      </c>
      <c r="AS605" t="s">
        <v>12096</v>
      </c>
      <c r="AT605" t="s">
        <v>310</v>
      </c>
      <c r="AU605">
        <v>2021</v>
      </c>
      <c r="AV605">
        <v>5</v>
      </c>
      <c r="AW605">
        <v>11</v>
      </c>
      <c r="AX605" t="s">
        <v>74</v>
      </c>
      <c r="AY605" t="s">
        <v>74</v>
      </c>
      <c r="AZ605" t="s">
        <v>74</v>
      </c>
      <c r="BA605" t="s">
        <v>74</v>
      </c>
      <c r="BB605">
        <v>1478</v>
      </c>
      <c r="BC605">
        <v>1489</v>
      </c>
      <c r="BD605" t="s">
        <v>74</v>
      </c>
      <c r="BE605" t="s">
        <v>12097</v>
      </c>
      <c r="BF605" t="str">
        <f>HYPERLINK("http://dx.doi.org/10.1038/s41559-021-01547-4","http://dx.doi.org/10.1038/s41559-021-01547-4")</f>
        <v>http://dx.doi.org/10.1038/s41559-021-01547-4</v>
      </c>
      <c r="BG605" t="s">
        <v>74</v>
      </c>
      <c r="BH605" t="s">
        <v>11189</v>
      </c>
      <c r="BI605">
        <v>12</v>
      </c>
      <c r="BJ605" t="s">
        <v>579</v>
      </c>
      <c r="BK605" t="s">
        <v>101</v>
      </c>
      <c r="BL605" t="s">
        <v>580</v>
      </c>
      <c r="BM605" t="s">
        <v>12098</v>
      </c>
      <c r="BN605">
        <v>34556829</v>
      </c>
      <c r="BO605" t="s">
        <v>1902</v>
      </c>
      <c r="BP605" t="s">
        <v>74</v>
      </c>
      <c r="BQ605" t="s">
        <v>74</v>
      </c>
      <c r="BR605" t="s">
        <v>105</v>
      </c>
      <c r="BS605" t="s">
        <v>12099</v>
      </c>
      <c r="BT605" t="str">
        <f>HYPERLINK("https%3A%2F%2Fwww.webofscience.com%2Fwos%2Fwoscc%2Ffull-record%2FWOS:000698555000003","View Full Record in Web of Science")</f>
        <v>View Full Record in Web of Science</v>
      </c>
    </row>
    <row r="606" spans="1:72" x14ac:dyDescent="0.15">
      <c r="A606" t="s">
        <v>72</v>
      </c>
      <c r="B606" t="s">
        <v>12100</v>
      </c>
      <c r="C606" t="s">
        <v>74</v>
      </c>
      <c r="D606" t="s">
        <v>74</v>
      </c>
      <c r="E606" t="s">
        <v>74</v>
      </c>
      <c r="F606" t="s">
        <v>12101</v>
      </c>
      <c r="G606" t="s">
        <v>74</v>
      </c>
      <c r="H606" t="s">
        <v>74</v>
      </c>
      <c r="I606" t="s">
        <v>12102</v>
      </c>
      <c r="J606" t="s">
        <v>587</v>
      </c>
      <c r="K606" t="s">
        <v>74</v>
      </c>
      <c r="L606" t="s">
        <v>74</v>
      </c>
      <c r="M606" t="s">
        <v>78</v>
      </c>
      <c r="N606" t="s">
        <v>79</v>
      </c>
      <c r="O606" t="s">
        <v>74</v>
      </c>
      <c r="P606" t="s">
        <v>74</v>
      </c>
      <c r="Q606" t="s">
        <v>74</v>
      </c>
      <c r="R606" t="s">
        <v>74</v>
      </c>
      <c r="S606" t="s">
        <v>74</v>
      </c>
      <c r="T606" t="s">
        <v>12103</v>
      </c>
      <c r="U606" t="s">
        <v>12104</v>
      </c>
      <c r="V606" t="s">
        <v>12105</v>
      </c>
      <c r="W606" t="s">
        <v>12106</v>
      </c>
      <c r="X606" t="s">
        <v>12107</v>
      </c>
      <c r="Y606" t="s">
        <v>12108</v>
      </c>
      <c r="Z606" t="s">
        <v>12109</v>
      </c>
      <c r="AA606" t="s">
        <v>12110</v>
      </c>
      <c r="AB606" t="s">
        <v>12111</v>
      </c>
      <c r="AC606" t="s">
        <v>12112</v>
      </c>
      <c r="AD606" t="s">
        <v>12113</v>
      </c>
      <c r="AE606" t="s">
        <v>12114</v>
      </c>
      <c r="AF606" t="s">
        <v>74</v>
      </c>
      <c r="AG606">
        <v>141</v>
      </c>
      <c r="AH606">
        <v>3</v>
      </c>
      <c r="AI606">
        <v>3</v>
      </c>
      <c r="AJ606">
        <v>3</v>
      </c>
      <c r="AK606">
        <v>31</v>
      </c>
      <c r="AL606" t="s">
        <v>572</v>
      </c>
      <c r="AM606" t="s">
        <v>573</v>
      </c>
      <c r="AN606" t="s">
        <v>574</v>
      </c>
      <c r="AO606" t="s">
        <v>600</v>
      </c>
      <c r="AP606" t="s">
        <v>601</v>
      </c>
      <c r="AQ606" t="s">
        <v>74</v>
      </c>
      <c r="AR606" t="s">
        <v>602</v>
      </c>
      <c r="AS606" t="s">
        <v>603</v>
      </c>
      <c r="AT606" t="s">
        <v>310</v>
      </c>
      <c r="AU606">
        <v>2021</v>
      </c>
      <c r="AV606">
        <v>27</v>
      </c>
      <c r="AW606">
        <v>11</v>
      </c>
      <c r="AX606" t="s">
        <v>74</v>
      </c>
      <c r="AY606" t="s">
        <v>74</v>
      </c>
      <c r="AZ606" t="s">
        <v>74</v>
      </c>
      <c r="BA606" t="s">
        <v>74</v>
      </c>
      <c r="BB606">
        <v>2277</v>
      </c>
      <c r="BC606">
        <v>2296</v>
      </c>
      <c r="BD606" t="s">
        <v>74</v>
      </c>
      <c r="BE606" t="s">
        <v>12115</v>
      </c>
      <c r="BF606" t="str">
        <f>HYPERLINK("http://dx.doi.org/10.1111/ddi.13399","http://dx.doi.org/10.1111/ddi.13399")</f>
        <v>http://dx.doi.org/10.1111/ddi.13399</v>
      </c>
      <c r="BG606" t="s">
        <v>74</v>
      </c>
      <c r="BH606" t="s">
        <v>11189</v>
      </c>
      <c r="BI606">
        <v>20</v>
      </c>
      <c r="BJ606" t="s">
        <v>605</v>
      </c>
      <c r="BK606" t="s">
        <v>101</v>
      </c>
      <c r="BL606" t="s">
        <v>606</v>
      </c>
      <c r="BM606" t="s">
        <v>12116</v>
      </c>
      <c r="BN606" t="s">
        <v>74</v>
      </c>
      <c r="BO606" t="s">
        <v>582</v>
      </c>
      <c r="BP606" t="s">
        <v>74</v>
      </c>
      <c r="BQ606" t="s">
        <v>74</v>
      </c>
      <c r="BR606" t="s">
        <v>105</v>
      </c>
      <c r="BS606" t="s">
        <v>12117</v>
      </c>
      <c r="BT606" t="str">
        <f>HYPERLINK("https%3A%2F%2Fwww.webofscience.com%2Fwos%2Fwoscc%2Ffull-record%2FWOS:000698353600001","View Full Record in Web of Science")</f>
        <v>View Full Record in Web of Science</v>
      </c>
    </row>
    <row r="607" spans="1:72" x14ac:dyDescent="0.15">
      <c r="A607" t="s">
        <v>72</v>
      </c>
      <c r="B607" t="s">
        <v>12118</v>
      </c>
      <c r="C607" t="s">
        <v>74</v>
      </c>
      <c r="D607" t="s">
        <v>74</v>
      </c>
      <c r="E607" t="s">
        <v>74</v>
      </c>
      <c r="F607" t="s">
        <v>12119</v>
      </c>
      <c r="G607" t="s">
        <v>74</v>
      </c>
      <c r="H607" t="s">
        <v>74</v>
      </c>
      <c r="I607" t="s">
        <v>12120</v>
      </c>
      <c r="J607" t="s">
        <v>12121</v>
      </c>
      <c r="K607" t="s">
        <v>74</v>
      </c>
      <c r="L607" t="s">
        <v>74</v>
      </c>
      <c r="M607" t="s">
        <v>78</v>
      </c>
      <c r="N607" t="s">
        <v>79</v>
      </c>
      <c r="O607" t="s">
        <v>74</v>
      </c>
      <c r="P607" t="s">
        <v>74</v>
      </c>
      <c r="Q607" t="s">
        <v>74</v>
      </c>
      <c r="R607" t="s">
        <v>74</v>
      </c>
      <c r="S607" t="s">
        <v>74</v>
      </c>
      <c r="T607" t="s">
        <v>12122</v>
      </c>
      <c r="U607" t="s">
        <v>12123</v>
      </c>
      <c r="V607" t="s">
        <v>12124</v>
      </c>
      <c r="W607" t="s">
        <v>12125</v>
      </c>
      <c r="X607" t="s">
        <v>12126</v>
      </c>
      <c r="Y607" t="s">
        <v>12127</v>
      </c>
      <c r="Z607" t="s">
        <v>12128</v>
      </c>
      <c r="AA607" t="s">
        <v>12129</v>
      </c>
      <c r="AB607" t="s">
        <v>12130</v>
      </c>
      <c r="AC607" t="s">
        <v>12131</v>
      </c>
      <c r="AD607" t="s">
        <v>12132</v>
      </c>
      <c r="AE607" t="s">
        <v>12133</v>
      </c>
      <c r="AF607" t="s">
        <v>74</v>
      </c>
      <c r="AG607">
        <v>101</v>
      </c>
      <c r="AH607">
        <v>35</v>
      </c>
      <c r="AI607">
        <v>37</v>
      </c>
      <c r="AJ607">
        <v>4</v>
      </c>
      <c r="AK607">
        <v>16</v>
      </c>
      <c r="AL607" t="s">
        <v>1714</v>
      </c>
      <c r="AM607" t="s">
        <v>256</v>
      </c>
      <c r="AN607" t="s">
        <v>1715</v>
      </c>
      <c r="AO607" t="s">
        <v>12134</v>
      </c>
      <c r="AP607" t="s">
        <v>12135</v>
      </c>
      <c r="AQ607" t="s">
        <v>74</v>
      </c>
      <c r="AR607" t="s">
        <v>12136</v>
      </c>
      <c r="AS607" t="s">
        <v>12137</v>
      </c>
      <c r="AT607" t="s">
        <v>627</v>
      </c>
      <c r="AU607">
        <v>2021</v>
      </c>
      <c r="AV607">
        <v>41</v>
      </c>
      <c r="AW607">
        <v>3</v>
      </c>
      <c r="AX607" t="s">
        <v>74</v>
      </c>
      <c r="AY607" t="s">
        <v>74</v>
      </c>
      <c r="AZ607" t="s">
        <v>74</v>
      </c>
      <c r="BA607" t="s">
        <v>74</v>
      </c>
      <c r="BB607" t="s">
        <v>74</v>
      </c>
      <c r="BC607" t="s">
        <v>74</v>
      </c>
      <c r="BD607" t="s">
        <v>12138</v>
      </c>
      <c r="BE607" t="s">
        <v>12139</v>
      </c>
      <c r="BF607" t="str">
        <f>HYPERLINK("http://dx.doi.org/10.1093/jcbiol/ruab046","http://dx.doi.org/10.1093/jcbiol/ruab046")</f>
        <v>http://dx.doi.org/10.1093/jcbiol/ruab046</v>
      </c>
      <c r="BG607" t="s">
        <v>74</v>
      </c>
      <c r="BH607" t="s">
        <v>11189</v>
      </c>
      <c r="BI607">
        <v>17</v>
      </c>
      <c r="BJ607" t="s">
        <v>10594</v>
      </c>
      <c r="BK607" t="s">
        <v>101</v>
      </c>
      <c r="BL607" t="s">
        <v>10594</v>
      </c>
      <c r="BM607" t="s">
        <v>12140</v>
      </c>
      <c r="BN607" t="s">
        <v>74</v>
      </c>
      <c r="BO607" t="s">
        <v>314</v>
      </c>
      <c r="BP607" t="s">
        <v>74</v>
      </c>
      <c r="BQ607" t="s">
        <v>74</v>
      </c>
      <c r="BR607" t="s">
        <v>105</v>
      </c>
      <c r="BS607" t="s">
        <v>12141</v>
      </c>
      <c r="BT607" t="str">
        <f>HYPERLINK("https%3A%2F%2Fwww.webofscience.com%2Fwos%2Fwoscc%2Ffull-record%2FWOS:000739332000014","View Full Record in Web of Science")</f>
        <v>View Full Record in Web of Science</v>
      </c>
    </row>
    <row r="608" spans="1:72" x14ac:dyDescent="0.15">
      <c r="A608" t="s">
        <v>72</v>
      </c>
      <c r="B608" t="s">
        <v>12142</v>
      </c>
      <c r="C608" t="s">
        <v>74</v>
      </c>
      <c r="D608" t="s">
        <v>74</v>
      </c>
      <c r="E608" t="s">
        <v>74</v>
      </c>
      <c r="F608" t="s">
        <v>12143</v>
      </c>
      <c r="G608" t="s">
        <v>74</v>
      </c>
      <c r="H608" t="s">
        <v>74</v>
      </c>
      <c r="I608" t="s">
        <v>12144</v>
      </c>
      <c r="J608" t="s">
        <v>12145</v>
      </c>
      <c r="K608" t="s">
        <v>74</v>
      </c>
      <c r="L608" t="s">
        <v>74</v>
      </c>
      <c r="M608" t="s">
        <v>78</v>
      </c>
      <c r="N608" t="s">
        <v>79</v>
      </c>
      <c r="O608" t="s">
        <v>74</v>
      </c>
      <c r="P608" t="s">
        <v>74</v>
      </c>
      <c r="Q608" t="s">
        <v>74</v>
      </c>
      <c r="R608" t="s">
        <v>74</v>
      </c>
      <c r="S608" t="s">
        <v>74</v>
      </c>
      <c r="T608" t="s">
        <v>12146</v>
      </c>
      <c r="U608" t="s">
        <v>12147</v>
      </c>
      <c r="V608" t="s">
        <v>12148</v>
      </c>
      <c r="W608" t="s">
        <v>12149</v>
      </c>
      <c r="X608" t="s">
        <v>12150</v>
      </c>
      <c r="Y608" t="s">
        <v>12151</v>
      </c>
      <c r="Z608" t="s">
        <v>12152</v>
      </c>
      <c r="AA608" t="s">
        <v>74</v>
      </c>
      <c r="AB608" t="s">
        <v>12153</v>
      </c>
      <c r="AC608" t="s">
        <v>12154</v>
      </c>
      <c r="AD608" t="s">
        <v>12155</v>
      </c>
      <c r="AE608" t="s">
        <v>12156</v>
      </c>
      <c r="AF608" t="s">
        <v>74</v>
      </c>
      <c r="AG608">
        <v>120</v>
      </c>
      <c r="AH608">
        <v>3</v>
      </c>
      <c r="AI608">
        <v>3</v>
      </c>
      <c r="AJ608">
        <v>0</v>
      </c>
      <c r="AK608">
        <v>7</v>
      </c>
      <c r="AL608" t="s">
        <v>1326</v>
      </c>
      <c r="AM608" t="s">
        <v>256</v>
      </c>
      <c r="AN608" t="s">
        <v>1327</v>
      </c>
      <c r="AO608" t="s">
        <v>12157</v>
      </c>
      <c r="AP608" t="s">
        <v>12158</v>
      </c>
      <c r="AQ608" t="s">
        <v>74</v>
      </c>
      <c r="AR608" t="s">
        <v>12159</v>
      </c>
      <c r="AS608" t="s">
        <v>12160</v>
      </c>
      <c r="AT608" t="s">
        <v>7760</v>
      </c>
      <c r="AU608">
        <v>2021</v>
      </c>
      <c r="AV608">
        <v>171</v>
      </c>
      <c r="AW608" t="s">
        <v>74</v>
      </c>
      <c r="AX608" t="s">
        <v>74</v>
      </c>
      <c r="AY608" t="s">
        <v>74</v>
      </c>
      <c r="AZ608" t="s">
        <v>74</v>
      </c>
      <c r="BA608" t="s">
        <v>74</v>
      </c>
      <c r="BB608" t="s">
        <v>74</v>
      </c>
      <c r="BC608" t="s">
        <v>74</v>
      </c>
      <c r="BD608">
        <v>105478</v>
      </c>
      <c r="BE608" t="s">
        <v>12161</v>
      </c>
      <c r="BF608" t="str">
        <f>HYPERLINK("http://dx.doi.org/10.1016/j.marenvres.2021.105478","http://dx.doi.org/10.1016/j.marenvres.2021.105478")</f>
        <v>http://dx.doi.org/10.1016/j.marenvres.2021.105478</v>
      </c>
      <c r="BG608" t="s">
        <v>74</v>
      </c>
      <c r="BH608" t="s">
        <v>11189</v>
      </c>
      <c r="BI608">
        <v>11</v>
      </c>
      <c r="BJ608" t="s">
        <v>12162</v>
      </c>
      <c r="BK608" t="s">
        <v>101</v>
      </c>
      <c r="BL608" t="s">
        <v>12163</v>
      </c>
      <c r="BM608" t="s">
        <v>12164</v>
      </c>
      <c r="BN608">
        <v>34562790</v>
      </c>
      <c r="BO608" t="s">
        <v>74</v>
      </c>
      <c r="BP608" t="s">
        <v>74</v>
      </c>
      <c r="BQ608" t="s">
        <v>74</v>
      </c>
      <c r="BR608" t="s">
        <v>105</v>
      </c>
      <c r="BS608" t="s">
        <v>12165</v>
      </c>
      <c r="BT608" t="str">
        <f>HYPERLINK("https%3A%2F%2Fwww.webofscience.com%2Fwos%2Fwoscc%2Ffull-record%2FWOS:000707667200001","View Full Record in Web of Science")</f>
        <v>View Full Record in Web of Science</v>
      </c>
    </row>
    <row r="609" spans="1:72" x14ac:dyDescent="0.15">
      <c r="A609" t="s">
        <v>72</v>
      </c>
      <c r="B609" t="s">
        <v>12166</v>
      </c>
      <c r="C609" t="s">
        <v>74</v>
      </c>
      <c r="D609" t="s">
        <v>74</v>
      </c>
      <c r="E609" t="s">
        <v>74</v>
      </c>
      <c r="F609" t="s">
        <v>12167</v>
      </c>
      <c r="G609" t="s">
        <v>74</v>
      </c>
      <c r="H609" t="s">
        <v>4054</v>
      </c>
      <c r="I609" t="s">
        <v>12168</v>
      </c>
      <c r="J609" t="s">
        <v>863</v>
      </c>
      <c r="K609" t="s">
        <v>74</v>
      </c>
      <c r="L609" t="s">
        <v>74</v>
      </c>
      <c r="M609" t="s">
        <v>78</v>
      </c>
      <c r="N609" t="s">
        <v>79</v>
      </c>
      <c r="O609" t="s">
        <v>74</v>
      </c>
      <c r="P609" t="s">
        <v>74</v>
      </c>
      <c r="Q609" t="s">
        <v>74</v>
      </c>
      <c r="R609" t="s">
        <v>74</v>
      </c>
      <c r="S609" t="s">
        <v>74</v>
      </c>
      <c r="T609" t="s">
        <v>12169</v>
      </c>
      <c r="U609" t="s">
        <v>12170</v>
      </c>
      <c r="V609" t="s">
        <v>12171</v>
      </c>
      <c r="W609" t="s">
        <v>12172</v>
      </c>
      <c r="X609" t="s">
        <v>12173</v>
      </c>
      <c r="Y609" t="s">
        <v>12174</v>
      </c>
      <c r="Z609" t="s">
        <v>12175</v>
      </c>
      <c r="AA609" t="s">
        <v>12176</v>
      </c>
      <c r="AB609" t="s">
        <v>12177</v>
      </c>
      <c r="AC609" t="s">
        <v>12178</v>
      </c>
      <c r="AD609" t="s">
        <v>12179</v>
      </c>
      <c r="AE609" t="s">
        <v>12180</v>
      </c>
      <c r="AF609" t="s">
        <v>74</v>
      </c>
      <c r="AG609">
        <v>152</v>
      </c>
      <c r="AH609">
        <v>9</v>
      </c>
      <c r="AI609">
        <v>9</v>
      </c>
      <c r="AJ609">
        <v>6</v>
      </c>
      <c r="AK609">
        <v>13</v>
      </c>
      <c r="AL609" t="s">
        <v>255</v>
      </c>
      <c r="AM609" t="s">
        <v>256</v>
      </c>
      <c r="AN609" t="s">
        <v>257</v>
      </c>
      <c r="AO609" t="s">
        <v>876</v>
      </c>
      <c r="AP609" t="s">
        <v>877</v>
      </c>
      <c r="AQ609" t="s">
        <v>74</v>
      </c>
      <c r="AR609" t="s">
        <v>878</v>
      </c>
      <c r="AS609" t="s">
        <v>879</v>
      </c>
      <c r="AT609" t="s">
        <v>7760</v>
      </c>
      <c r="AU609">
        <v>2021</v>
      </c>
      <c r="AV609">
        <v>176</v>
      </c>
      <c r="AW609" t="s">
        <v>74</v>
      </c>
      <c r="AX609" t="s">
        <v>74</v>
      </c>
      <c r="AY609" t="s">
        <v>74</v>
      </c>
      <c r="AZ609" t="s">
        <v>74</v>
      </c>
      <c r="BA609" t="s">
        <v>74</v>
      </c>
      <c r="BB609" t="s">
        <v>74</v>
      </c>
      <c r="BC609" t="s">
        <v>74</v>
      </c>
      <c r="BD609">
        <v>103606</v>
      </c>
      <c r="BE609" t="s">
        <v>12181</v>
      </c>
      <c r="BF609" t="str">
        <f>HYPERLINK("http://dx.doi.org/10.1016/j.dsr.2021.103606","http://dx.doi.org/10.1016/j.dsr.2021.103606")</f>
        <v>http://dx.doi.org/10.1016/j.dsr.2021.103606</v>
      </c>
      <c r="BG609" t="s">
        <v>74</v>
      </c>
      <c r="BH609" t="s">
        <v>11189</v>
      </c>
      <c r="BI609">
        <v>22</v>
      </c>
      <c r="BJ609" t="s">
        <v>264</v>
      </c>
      <c r="BK609" t="s">
        <v>101</v>
      </c>
      <c r="BL609" t="s">
        <v>264</v>
      </c>
      <c r="BM609" t="s">
        <v>12182</v>
      </c>
      <c r="BN609" t="s">
        <v>74</v>
      </c>
      <c r="BO609" t="s">
        <v>7354</v>
      </c>
      <c r="BP609" t="s">
        <v>74</v>
      </c>
      <c r="BQ609" t="s">
        <v>74</v>
      </c>
      <c r="BR609" t="s">
        <v>105</v>
      </c>
      <c r="BS609" t="s">
        <v>12183</v>
      </c>
      <c r="BT609" t="str">
        <f>HYPERLINK("https%3A%2F%2Fwww.webofscience.com%2Fwos%2Fwoscc%2Ffull-record%2FWOS:000703607200003","View Full Record in Web of Science")</f>
        <v>View Full Record in Web of Science</v>
      </c>
    </row>
    <row r="610" spans="1:72" x14ac:dyDescent="0.15">
      <c r="A610" t="s">
        <v>72</v>
      </c>
      <c r="B610" t="s">
        <v>12184</v>
      </c>
      <c r="C610" t="s">
        <v>74</v>
      </c>
      <c r="D610" t="s">
        <v>74</v>
      </c>
      <c r="E610" t="s">
        <v>74</v>
      </c>
      <c r="F610" t="s">
        <v>12185</v>
      </c>
      <c r="G610" t="s">
        <v>74</v>
      </c>
      <c r="H610" t="s">
        <v>74</v>
      </c>
      <c r="I610" t="s">
        <v>12186</v>
      </c>
      <c r="J610" t="s">
        <v>372</v>
      </c>
      <c r="K610" t="s">
        <v>74</v>
      </c>
      <c r="L610" t="s">
        <v>74</v>
      </c>
      <c r="M610" t="s">
        <v>78</v>
      </c>
      <c r="N610" t="s">
        <v>79</v>
      </c>
      <c r="O610" t="s">
        <v>74</v>
      </c>
      <c r="P610" t="s">
        <v>74</v>
      </c>
      <c r="Q610" t="s">
        <v>74</v>
      </c>
      <c r="R610" t="s">
        <v>74</v>
      </c>
      <c r="S610" t="s">
        <v>74</v>
      </c>
      <c r="T610" t="s">
        <v>12187</v>
      </c>
      <c r="U610" t="s">
        <v>12188</v>
      </c>
      <c r="V610" t="s">
        <v>12189</v>
      </c>
      <c r="W610" t="s">
        <v>12190</v>
      </c>
      <c r="X610" t="s">
        <v>12191</v>
      </c>
      <c r="Y610" t="s">
        <v>12192</v>
      </c>
      <c r="Z610" t="s">
        <v>3713</v>
      </c>
      <c r="AA610" t="s">
        <v>12193</v>
      </c>
      <c r="AB610" t="s">
        <v>12194</v>
      </c>
      <c r="AC610" t="s">
        <v>12195</v>
      </c>
      <c r="AD610" t="s">
        <v>12196</v>
      </c>
      <c r="AE610" t="s">
        <v>12197</v>
      </c>
      <c r="AF610" t="s">
        <v>74</v>
      </c>
      <c r="AG610">
        <v>87</v>
      </c>
      <c r="AH610">
        <v>7</v>
      </c>
      <c r="AI610">
        <v>7</v>
      </c>
      <c r="AJ610">
        <v>1</v>
      </c>
      <c r="AK610">
        <v>13</v>
      </c>
      <c r="AL610" t="s">
        <v>383</v>
      </c>
      <c r="AM610" t="s">
        <v>384</v>
      </c>
      <c r="AN610" t="s">
        <v>385</v>
      </c>
      <c r="AO610" t="s">
        <v>74</v>
      </c>
      <c r="AP610" t="s">
        <v>386</v>
      </c>
      <c r="AQ610" t="s">
        <v>74</v>
      </c>
      <c r="AR610" t="s">
        <v>387</v>
      </c>
      <c r="AS610" t="s">
        <v>388</v>
      </c>
      <c r="AT610" t="s">
        <v>12198</v>
      </c>
      <c r="AU610">
        <v>2021</v>
      </c>
      <c r="AV610">
        <v>8</v>
      </c>
      <c r="AW610" t="s">
        <v>74</v>
      </c>
      <c r="AX610" t="s">
        <v>74</v>
      </c>
      <c r="AY610" t="s">
        <v>74</v>
      </c>
      <c r="AZ610" t="s">
        <v>74</v>
      </c>
      <c r="BA610" t="s">
        <v>74</v>
      </c>
      <c r="BB610" t="s">
        <v>74</v>
      </c>
      <c r="BC610" t="s">
        <v>74</v>
      </c>
      <c r="BD610">
        <v>720335</v>
      </c>
      <c r="BE610" t="s">
        <v>12199</v>
      </c>
      <c r="BF610" t="str">
        <f>HYPERLINK("http://dx.doi.org/10.3389/fmars.2021.720335","http://dx.doi.org/10.3389/fmars.2021.720335")</f>
        <v>http://dx.doi.org/10.3389/fmars.2021.720335</v>
      </c>
      <c r="BG610" t="s">
        <v>74</v>
      </c>
      <c r="BH610" t="s">
        <v>74</v>
      </c>
      <c r="BI610">
        <v>13</v>
      </c>
      <c r="BJ610" t="s">
        <v>391</v>
      </c>
      <c r="BK610" t="s">
        <v>101</v>
      </c>
      <c r="BL610" t="s">
        <v>392</v>
      </c>
      <c r="BM610" t="s">
        <v>12200</v>
      </c>
      <c r="BN610" t="s">
        <v>74</v>
      </c>
      <c r="BO610" t="s">
        <v>394</v>
      </c>
      <c r="BP610" t="s">
        <v>74</v>
      </c>
      <c r="BQ610" t="s">
        <v>74</v>
      </c>
      <c r="BR610" t="s">
        <v>105</v>
      </c>
      <c r="BS610" t="s">
        <v>12201</v>
      </c>
      <c r="BT610" t="str">
        <f>HYPERLINK("https%3A%2F%2Fwww.webofscience.com%2Fwos%2Fwoscc%2Ffull-record%2FWOS:000704118500001","View Full Record in Web of Science")</f>
        <v>View Full Record in Web of Science</v>
      </c>
    </row>
    <row r="611" spans="1:72" x14ac:dyDescent="0.15">
      <c r="A611" t="s">
        <v>72</v>
      </c>
      <c r="B611" t="s">
        <v>12202</v>
      </c>
      <c r="C611" t="s">
        <v>74</v>
      </c>
      <c r="D611" t="s">
        <v>74</v>
      </c>
      <c r="E611" t="s">
        <v>74</v>
      </c>
      <c r="F611" t="s">
        <v>12203</v>
      </c>
      <c r="G611" t="s">
        <v>74</v>
      </c>
      <c r="H611" t="s">
        <v>74</v>
      </c>
      <c r="I611" t="s">
        <v>12204</v>
      </c>
      <c r="J611" t="s">
        <v>1212</v>
      </c>
      <c r="K611" t="s">
        <v>74</v>
      </c>
      <c r="L611" t="s">
        <v>74</v>
      </c>
      <c r="M611" t="s">
        <v>78</v>
      </c>
      <c r="N611" t="s">
        <v>79</v>
      </c>
      <c r="O611" t="s">
        <v>74</v>
      </c>
      <c r="P611" t="s">
        <v>74</v>
      </c>
      <c r="Q611" t="s">
        <v>74</v>
      </c>
      <c r="R611" t="s">
        <v>74</v>
      </c>
      <c r="S611" t="s">
        <v>74</v>
      </c>
      <c r="T611" t="s">
        <v>74</v>
      </c>
      <c r="U611" t="s">
        <v>12205</v>
      </c>
      <c r="V611" t="s">
        <v>12206</v>
      </c>
      <c r="W611" t="s">
        <v>12207</v>
      </c>
      <c r="X611" t="s">
        <v>12208</v>
      </c>
      <c r="Y611" t="s">
        <v>12209</v>
      </c>
      <c r="Z611" t="s">
        <v>12210</v>
      </c>
      <c r="AA611" t="s">
        <v>74</v>
      </c>
      <c r="AB611" t="s">
        <v>74</v>
      </c>
      <c r="AC611" t="s">
        <v>12211</v>
      </c>
      <c r="AD611" t="s">
        <v>12212</v>
      </c>
      <c r="AE611" t="s">
        <v>12213</v>
      </c>
      <c r="AF611" t="s">
        <v>74</v>
      </c>
      <c r="AG611">
        <v>71</v>
      </c>
      <c r="AH611">
        <v>2</v>
      </c>
      <c r="AI611">
        <v>2</v>
      </c>
      <c r="AJ611">
        <v>0</v>
      </c>
      <c r="AK611">
        <v>2</v>
      </c>
      <c r="AL611" t="s">
        <v>492</v>
      </c>
      <c r="AM611" t="s">
        <v>493</v>
      </c>
      <c r="AN611" t="s">
        <v>494</v>
      </c>
      <c r="AO611" t="s">
        <v>1224</v>
      </c>
      <c r="AP611" t="s">
        <v>74</v>
      </c>
      <c r="AQ611" t="s">
        <v>74</v>
      </c>
      <c r="AR611" t="s">
        <v>1225</v>
      </c>
      <c r="AS611" t="s">
        <v>1226</v>
      </c>
      <c r="AT611" t="s">
        <v>12198</v>
      </c>
      <c r="AU611">
        <v>2021</v>
      </c>
      <c r="AV611">
        <v>11</v>
      </c>
      <c r="AW611">
        <v>1</v>
      </c>
      <c r="AX611" t="s">
        <v>74</v>
      </c>
      <c r="AY611" t="s">
        <v>74</v>
      </c>
      <c r="AZ611" t="s">
        <v>74</v>
      </c>
      <c r="BA611" t="s">
        <v>74</v>
      </c>
      <c r="BB611" t="s">
        <v>74</v>
      </c>
      <c r="BC611" t="s">
        <v>74</v>
      </c>
      <c r="BD611">
        <v>18868</v>
      </c>
      <c r="BE611" t="s">
        <v>12214</v>
      </c>
      <c r="BF611" t="str">
        <f>HYPERLINK("http://dx.doi.org/10.1038/s41598-021-98444-4","http://dx.doi.org/10.1038/s41598-021-98444-4")</f>
        <v>http://dx.doi.org/10.1038/s41598-021-98444-4</v>
      </c>
      <c r="BG611" t="s">
        <v>74</v>
      </c>
      <c r="BH611" t="s">
        <v>74</v>
      </c>
      <c r="BI611">
        <v>13</v>
      </c>
      <c r="BJ611" t="s">
        <v>126</v>
      </c>
      <c r="BK611" t="s">
        <v>101</v>
      </c>
      <c r="BL611" t="s">
        <v>127</v>
      </c>
      <c r="BM611" t="s">
        <v>12215</v>
      </c>
      <c r="BN611">
        <v>34552166</v>
      </c>
      <c r="BO611" t="s">
        <v>1248</v>
      </c>
      <c r="BP611" t="s">
        <v>74</v>
      </c>
      <c r="BQ611" t="s">
        <v>74</v>
      </c>
      <c r="BR611" t="s">
        <v>105</v>
      </c>
      <c r="BS611" t="s">
        <v>12216</v>
      </c>
      <c r="BT611" t="str">
        <f>HYPERLINK("https%3A%2F%2Fwww.webofscience.com%2Fwos%2Fwoscc%2Ffull-record%2FWOS:000700297100021","View Full Record in Web of Science")</f>
        <v>View Full Record in Web of Science</v>
      </c>
    </row>
    <row r="612" spans="1:72" x14ac:dyDescent="0.15">
      <c r="A612" t="s">
        <v>72</v>
      </c>
      <c r="B612" t="s">
        <v>12217</v>
      </c>
      <c r="C612" t="s">
        <v>74</v>
      </c>
      <c r="D612" t="s">
        <v>74</v>
      </c>
      <c r="E612" t="s">
        <v>74</v>
      </c>
      <c r="F612" t="s">
        <v>12218</v>
      </c>
      <c r="G612" t="s">
        <v>74</v>
      </c>
      <c r="H612" t="s">
        <v>74</v>
      </c>
      <c r="I612" t="s">
        <v>12219</v>
      </c>
      <c r="J612" t="s">
        <v>1212</v>
      </c>
      <c r="K612" t="s">
        <v>74</v>
      </c>
      <c r="L612" t="s">
        <v>74</v>
      </c>
      <c r="M612" t="s">
        <v>78</v>
      </c>
      <c r="N612" t="s">
        <v>79</v>
      </c>
      <c r="O612" t="s">
        <v>74</v>
      </c>
      <c r="P612" t="s">
        <v>74</v>
      </c>
      <c r="Q612" t="s">
        <v>74</v>
      </c>
      <c r="R612" t="s">
        <v>74</v>
      </c>
      <c r="S612" t="s">
        <v>74</v>
      </c>
      <c r="T612" t="s">
        <v>74</v>
      </c>
      <c r="U612" t="s">
        <v>12220</v>
      </c>
      <c r="V612" t="s">
        <v>12221</v>
      </c>
      <c r="W612" t="s">
        <v>12222</v>
      </c>
      <c r="X612" t="s">
        <v>12223</v>
      </c>
      <c r="Y612" t="s">
        <v>12224</v>
      </c>
      <c r="Z612" t="s">
        <v>3003</v>
      </c>
      <c r="AA612" t="s">
        <v>12225</v>
      </c>
      <c r="AB612" t="s">
        <v>12226</v>
      </c>
      <c r="AC612" t="s">
        <v>12227</v>
      </c>
      <c r="AD612" t="s">
        <v>12228</v>
      </c>
      <c r="AE612" t="s">
        <v>12229</v>
      </c>
      <c r="AF612" t="s">
        <v>74</v>
      </c>
      <c r="AG612">
        <v>75</v>
      </c>
      <c r="AH612">
        <v>7</v>
      </c>
      <c r="AI612">
        <v>8</v>
      </c>
      <c r="AJ612">
        <v>1</v>
      </c>
      <c r="AK612">
        <v>10</v>
      </c>
      <c r="AL612" t="s">
        <v>492</v>
      </c>
      <c r="AM612" t="s">
        <v>493</v>
      </c>
      <c r="AN612" t="s">
        <v>494</v>
      </c>
      <c r="AO612" t="s">
        <v>1224</v>
      </c>
      <c r="AP612" t="s">
        <v>74</v>
      </c>
      <c r="AQ612" t="s">
        <v>74</v>
      </c>
      <c r="AR612" t="s">
        <v>1225</v>
      </c>
      <c r="AS612" t="s">
        <v>1226</v>
      </c>
      <c r="AT612" t="s">
        <v>12198</v>
      </c>
      <c r="AU612">
        <v>2021</v>
      </c>
      <c r="AV612">
        <v>11</v>
      </c>
      <c r="AW612">
        <v>1</v>
      </c>
      <c r="AX612" t="s">
        <v>74</v>
      </c>
      <c r="AY612" t="s">
        <v>74</v>
      </c>
      <c r="AZ612" t="s">
        <v>74</v>
      </c>
      <c r="BA612" t="s">
        <v>74</v>
      </c>
      <c r="BB612" t="s">
        <v>74</v>
      </c>
      <c r="BC612" t="s">
        <v>74</v>
      </c>
      <c r="BD612">
        <v>18793</v>
      </c>
      <c r="BE612" t="s">
        <v>12230</v>
      </c>
      <c r="BF612" t="str">
        <f>HYPERLINK("http://dx.doi.org/10.1038/s41598-021-97890-4","http://dx.doi.org/10.1038/s41598-021-97890-4")</f>
        <v>http://dx.doi.org/10.1038/s41598-021-97890-4</v>
      </c>
      <c r="BG612" t="s">
        <v>74</v>
      </c>
      <c r="BH612" t="s">
        <v>74</v>
      </c>
      <c r="BI612">
        <v>14</v>
      </c>
      <c r="BJ612" t="s">
        <v>126</v>
      </c>
      <c r="BK612" t="s">
        <v>101</v>
      </c>
      <c r="BL612" t="s">
        <v>127</v>
      </c>
      <c r="BM612" t="s">
        <v>12215</v>
      </c>
      <c r="BN612">
        <v>34552104</v>
      </c>
      <c r="BO612" t="s">
        <v>1094</v>
      </c>
      <c r="BP612" t="s">
        <v>74</v>
      </c>
      <c r="BQ612" t="s">
        <v>74</v>
      </c>
      <c r="BR612" t="s">
        <v>105</v>
      </c>
      <c r="BS612" t="s">
        <v>12231</v>
      </c>
      <c r="BT612" t="str">
        <f>HYPERLINK("https%3A%2F%2Fwww.webofscience.com%2Fwos%2Fwoscc%2Ffull-record%2FWOS:000700297100039","View Full Record in Web of Science")</f>
        <v>View Full Record in Web of Science</v>
      </c>
    </row>
    <row r="613" spans="1:72" x14ac:dyDescent="0.15">
      <c r="A613" t="s">
        <v>72</v>
      </c>
      <c r="B613" t="s">
        <v>12232</v>
      </c>
      <c r="C613" t="s">
        <v>74</v>
      </c>
      <c r="D613" t="s">
        <v>74</v>
      </c>
      <c r="E613" t="s">
        <v>74</v>
      </c>
      <c r="F613" t="s">
        <v>12233</v>
      </c>
      <c r="G613" t="s">
        <v>74</v>
      </c>
      <c r="H613" t="s">
        <v>74</v>
      </c>
      <c r="I613" t="s">
        <v>12234</v>
      </c>
      <c r="J613" t="s">
        <v>12235</v>
      </c>
      <c r="K613" t="s">
        <v>74</v>
      </c>
      <c r="L613" t="s">
        <v>74</v>
      </c>
      <c r="M613" t="s">
        <v>78</v>
      </c>
      <c r="N613" t="s">
        <v>373</v>
      </c>
      <c r="O613" t="s">
        <v>74</v>
      </c>
      <c r="P613" t="s">
        <v>74</v>
      </c>
      <c r="Q613" t="s">
        <v>74</v>
      </c>
      <c r="R613" t="s">
        <v>74</v>
      </c>
      <c r="S613" t="s">
        <v>74</v>
      </c>
      <c r="T613" t="s">
        <v>12236</v>
      </c>
      <c r="U613" t="s">
        <v>12237</v>
      </c>
      <c r="V613" t="s">
        <v>12238</v>
      </c>
      <c r="W613" t="s">
        <v>12239</v>
      </c>
      <c r="X613" t="s">
        <v>5890</v>
      </c>
      <c r="Y613" t="s">
        <v>12240</v>
      </c>
      <c r="Z613" t="s">
        <v>12241</v>
      </c>
      <c r="AA613" t="s">
        <v>12242</v>
      </c>
      <c r="AB613" t="s">
        <v>12243</v>
      </c>
      <c r="AC613" t="s">
        <v>74</v>
      </c>
      <c r="AD613" t="s">
        <v>74</v>
      </c>
      <c r="AE613" t="s">
        <v>74</v>
      </c>
      <c r="AF613" t="s">
        <v>74</v>
      </c>
      <c r="AG613">
        <v>151</v>
      </c>
      <c r="AH613">
        <v>6</v>
      </c>
      <c r="AI613">
        <v>6</v>
      </c>
      <c r="AJ613">
        <v>6</v>
      </c>
      <c r="AK613">
        <v>29</v>
      </c>
      <c r="AL613" t="s">
        <v>572</v>
      </c>
      <c r="AM613" t="s">
        <v>573</v>
      </c>
      <c r="AN613" t="s">
        <v>574</v>
      </c>
      <c r="AO613" t="s">
        <v>12244</v>
      </c>
      <c r="AP613" t="s">
        <v>12245</v>
      </c>
      <c r="AQ613" t="s">
        <v>74</v>
      </c>
      <c r="AR613" t="s">
        <v>12246</v>
      </c>
      <c r="AS613" t="s">
        <v>12247</v>
      </c>
      <c r="AT613" t="s">
        <v>1000</v>
      </c>
      <c r="AU613">
        <v>2022</v>
      </c>
      <c r="AV613">
        <v>47</v>
      </c>
      <c r="AW613">
        <v>2</v>
      </c>
      <c r="AX613" t="s">
        <v>74</v>
      </c>
      <c r="AY613" t="s">
        <v>74</v>
      </c>
      <c r="AZ613" t="s">
        <v>74</v>
      </c>
      <c r="BA613" t="s">
        <v>74</v>
      </c>
      <c r="BB613">
        <v>145</v>
      </c>
      <c r="BC613">
        <v>165</v>
      </c>
      <c r="BD613" t="s">
        <v>74</v>
      </c>
      <c r="BE613" t="s">
        <v>12248</v>
      </c>
      <c r="BF613" t="str">
        <f>HYPERLINK("http://dx.doi.org/10.1111/aec.13103","http://dx.doi.org/10.1111/aec.13103")</f>
        <v>http://dx.doi.org/10.1111/aec.13103</v>
      </c>
      <c r="BG613" t="s">
        <v>74</v>
      </c>
      <c r="BH613" t="s">
        <v>11189</v>
      </c>
      <c r="BI613">
        <v>21</v>
      </c>
      <c r="BJ613" t="s">
        <v>629</v>
      </c>
      <c r="BK613" t="s">
        <v>101</v>
      </c>
      <c r="BL613" t="s">
        <v>630</v>
      </c>
      <c r="BM613" t="s">
        <v>12249</v>
      </c>
      <c r="BN613" t="s">
        <v>74</v>
      </c>
      <c r="BO613" t="s">
        <v>74</v>
      </c>
      <c r="BP613" t="s">
        <v>74</v>
      </c>
      <c r="BQ613" t="s">
        <v>74</v>
      </c>
      <c r="BR613" t="s">
        <v>105</v>
      </c>
      <c r="BS613" t="s">
        <v>12250</v>
      </c>
      <c r="BT613" t="str">
        <f>HYPERLINK("https%3A%2F%2Fwww.webofscience.com%2Fwos%2Fwoscc%2Ffull-record%2FWOS:000697861900001","View Full Record in Web of Science")</f>
        <v>View Full Record in Web of Science</v>
      </c>
    </row>
    <row r="614" spans="1:72" x14ac:dyDescent="0.15">
      <c r="A614" t="s">
        <v>72</v>
      </c>
      <c r="B614" t="s">
        <v>12251</v>
      </c>
      <c r="C614" t="s">
        <v>74</v>
      </c>
      <c r="D614" t="s">
        <v>74</v>
      </c>
      <c r="E614" t="s">
        <v>74</v>
      </c>
      <c r="F614" t="s">
        <v>12252</v>
      </c>
      <c r="G614" t="s">
        <v>74</v>
      </c>
      <c r="H614" t="s">
        <v>74</v>
      </c>
      <c r="I614" t="s">
        <v>12253</v>
      </c>
      <c r="J614" t="s">
        <v>11918</v>
      </c>
      <c r="K614" t="s">
        <v>74</v>
      </c>
      <c r="L614" t="s">
        <v>74</v>
      </c>
      <c r="M614" t="s">
        <v>78</v>
      </c>
      <c r="N614" t="s">
        <v>79</v>
      </c>
      <c r="O614" t="s">
        <v>74</v>
      </c>
      <c r="P614" t="s">
        <v>74</v>
      </c>
      <c r="Q614" t="s">
        <v>74</v>
      </c>
      <c r="R614" t="s">
        <v>74</v>
      </c>
      <c r="S614" t="s">
        <v>74</v>
      </c>
      <c r="T614" t="s">
        <v>12254</v>
      </c>
      <c r="U614" t="s">
        <v>12255</v>
      </c>
      <c r="V614" t="s">
        <v>12256</v>
      </c>
      <c r="W614" t="s">
        <v>12257</v>
      </c>
      <c r="X614" t="s">
        <v>12258</v>
      </c>
      <c r="Y614" t="s">
        <v>12259</v>
      </c>
      <c r="Z614" t="s">
        <v>12260</v>
      </c>
      <c r="AA614" t="s">
        <v>12261</v>
      </c>
      <c r="AB614" t="s">
        <v>12262</v>
      </c>
      <c r="AC614" t="s">
        <v>12263</v>
      </c>
      <c r="AD614" t="s">
        <v>12264</v>
      </c>
      <c r="AE614" t="s">
        <v>12265</v>
      </c>
      <c r="AF614" t="s">
        <v>74</v>
      </c>
      <c r="AG614">
        <v>70</v>
      </c>
      <c r="AH614">
        <v>2</v>
      </c>
      <c r="AI614">
        <v>2</v>
      </c>
      <c r="AJ614">
        <v>4</v>
      </c>
      <c r="AK614">
        <v>19</v>
      </c>
      <c r="AL614" t="s">
        <v>572</v>
      </c>
      <c r="AM614" t="s">
        <v>573</v>
      </c>
      <c r="AN614" t="s">
        <v>574</v>
      </c>
      <c r="AO614" t="s">
        <v>11931</v>
      </c>
      <c r="AP614" t="s">
        <v>11932</v>
      </c>
      <c r="AQ614" t="s">
        <v>74</v>
      </c>
      <c r="AR614" t="s">
        <v>11918</v>
      </c>
      <c r="AS614" t="s">
        <v>11933</v>
      </c>
      <c r="AT614" t="s">
        <v>310</v>
      </c>
      <c r="AU614">
        <v>2021</v>
      </c>
      <c r="AV614">
        <v>130</v>
      </c>
      <c r="AW614">
        <v>11</v>
      </c>
      <c r="AX614" t="s">
        <v>74</v>
      </c>
      <c r="AY614" t="s">
        <v>74</v>
      </c>
      <c r="AZ614" t="s">
        <v>74</v>
      </c>
      <c r="BA614" t="s">
        <v>74</v>
      </c>
      <c r="BB614">
        <v>1943</v>
      </c>
      <c r="BC614">
        <v>1953</v>
      </c>
      <c r="BD614" t="s">
        <v>74</v>
      </c>
      <c r="BE614" t="s">
        <v>12266</v>
      </c>
      <c r="BF614" t="str">
        <f>HYPERLINK("http://dx.doi.org/10.1111/oik.08426","http://dx.doi.org/10.1111/oik.08426")</f>
        <v>http://dx.doi.org/10.1111/oik.08426</v>
      </c>
      <c r="BG614" t="s">
        <v>74</v>
      </c>
      <c r="BH614" t="s">
        <v>11189</v>
      </c>
      <c r="BI614">
        <v>11</v>
      </c>
      <c r="BJ614" t="s">
        <v>629</v>
      </c>
      <c r="BK614" t="s">
        <v>101</v>
      </c>
      <c r="BL614" t="s">
        <v>630</v>
      </c>
      <c r="BM614" t="s">
        <v>11935</v>
      </c>
      <c r="BN614" t="s">
        <v>74</v>
      </c>
      <c r="BO614" t="s">
        <v>74</v>
      </c>
      <c r="BP614" t="s">
        <v>74</v>
      </c>
      <c r="BQ614" t="s">
        <v>74</v>
      </c>
      <c r="BR614" t="s">
        <v>105</v>
      </c>
      <c r="BS614" t="s">
        <v>12267</v>
      </c>
      <c r="BT614" t="str">
        <f>HYPERLINK("https%3A%2F%2Fwww.webofscience.com%2Fwos%2Fwoscc%2Ffull-record%2FWOS:000697633700001","View Full Record in Web of Science")</f>
        <v>View Full Record in Web of Science</v>
      </c>
    </row>
    <row r="615" spans="1:72" x14ac:dyDescent="0.15">
      <c r="A615" t="s">
        <v>72</v>
      </c>
      <c r="B615" t="s">
        <v>12268</v>
      </c>
      <c r="C615" t="s">
        <v>74</v>
      </c>
      <c r="D615" t="s">
        <v>74</v>
      </c>
      <c r="E615" t="s">
        <v>74</v>
      </c>
      <c r="F615" t="s">
        <v>12269</v>
      </c>
      <c r="G615" t="s">
        <v>74</v>
      </c>
      <c r="H615" t="s">
        <v>74</v>
      </c>
      <c r="I615" t="s">
        <v>12270</v>
      </c>
      <c r="J615" t="s">
        <v>536</v>
      </c>
      <c r="K615" t="s">
        <v>74</v>
      </c>
      <c r="L615" t="s">
        <v>74</v>
      </c>
      <c r="M615" t="s">
        <v>78</v>
      </c>
      <c r="N615" t="s">
        <v>79</v>
      </c>
      <c r="O615" t="s">
        <v>74</v>
      </c>
      <c r="P615" t="s">
        <v>74</v>
      </c>
      <c r="Q615" t="s">
        <v>74</v>
      </c>
      <c r="R615" t="s">
        <v>74</v>
      </c>
      <c r="S615" t="s">
        <v>74</v>
      </c>
      <c r="T615" t="s">
        <v>74</v>
      </c>
      <c r="U615" t="s">
        <v>12271</v>
      </c>
      <c r="V615" t="s">
        <v>12272</v>
      </c>
      <c r="W615" t="s">
        <v>12273</v>
      </c>
      <c r="X615" t="s">
        <v>12274</v>
      </c>
      <c r="Y615" t="s">
        <v>12275</v>
      </c>
      <c r="Z615" t="s">
        <v>12276</v>
      </c>
      <c r="AA615" t="s">
        <v>12277</v>
      </c>
      <c r="AB615" t="s">
        <v>12278</v>
      </c>
      <c r="AC615" t="s">
        <v>12279</v>
      </c>
      <c r="AD615" t="s">
        <v>12279</v>
      </c>
      <c r="AE615" t="s">
        <v>12280</v>
      </c>
      <c r="AF615" t="s">
        <v>74</v>
      </c>
      <c r="AG615">
        <v>104</v>
      </c>
      <c r="AH615">
        <v>12</v>
      </c>
      <c r="AI615">
        <v>12</v>
      </c>
      <c r="AJ615">
        <v>5</v>
      </c>
      <c r="AK615">
        <v>19</v>
      </c>
      <c r="AL615" t="s">
        <v>227</v>
      </c>
      <c r="AM615" t="s">
        <v>228</v>
      </c>
      <c r="AN615" t="s">
        <v>229</v>
      </c>
      <c r="AO615" t="s">
        <v>548</v>
      </c>
      <c r="AP615" t="s">
        <v>549</v>
      </c>
      <c r="AQ615" t="s">
        <v>74</v>
      </c>
      <c r="AR615" t="s">
        <v>550</v>
      </c>
      <c r="AS615" t="s">
        <v>551</v>
      </c>
      <c r="AT615" t="s">
        <v>12281</v>
      </c>
      <c r="AU615">
        <v>2021</v>
      </c>
      <c r="AV615">
        <v>21</v>
      </c>
      <c r="AW615">
        <v>18</v>
      </c>
      <c r="AX615" t="s">
        <v>74</v>
      </c>
      <c r="AY615" t="s">
        <v>74</v>
      </c>
      <c r="AZ615" t="s">
        <v>74</v>
      </c>
      <c r="BA615" t="s">
        <v>74</v>
      </c>
      <c r="BB615">
        <v>14019</v>
      </c>
      <c r="BC615">
        <v>14037</v>
      </c>
      <c r="BD615" t="s">
        <v>74</v>
      </c>
      <c r="BE615" t="s">
        <v>12282</v>
      </c>
      <c r="BF615" t="str">
        <f>HYPERLINK("http://dx.doi.org/10.5194/acp-21-14019-2021","http://dx.doi.org/10.5194/acp-21-14019-2021")</f>
        <v>http://dx.doi.org/10.5194/acp-21-14019-2021</v>
      </c>
      <c r="BG615" t="s">
        <v>74</v>
      </c>
      <c r="BH615" t="s">
        <v>74</v>
      </c>
      <c r="BI615">
        <v>19</v>
      </c>
      <c r="BJ615" t="s">
        <v>100</v>
      </c>
      <c r="BK615" t="s">
        <v>101</v>
      </c>
      <c r="BL615" t="s">
        <v>102</v>
      </c>
      <c r="BM615" t="s">
        <v>12283</v>
      </c>
      <c r="BN615" t="s">
        <v>74</v>
      </c>
      <c r="BO615" t="s">
        <v>554</v>
      </c>
      <c r="BP615" t="s">
        <v>74</v>
      </c>
      <c r="BQ615" t="s">
        <v>74</v>
      </c>
      <c r="BR615" t="s">
        <v>105</v>
      </c>
      <c r="BS615" t="s">
        <v>12284</v>
      </c>
      <c r="BT615" t="str">
        <f>HYPERLINK("https%3A%2F%2Fwww.webofscience.com%2Fwos%2Fwoscc%2Ffull-record%2FWOS:000697603300005","View Full Record in Web of Science")</f>
        <v>View Full Record in Web of Science</v>
      </c>
    </row>
    <row r="616" spans="1:72" x14ac:dyDescent="0.15">
      <c r="A616" t="s">
        <v>72</v>
      </c>
      <c r="B616" t="s">
        <v>12285</v>
      </c>
      <c r="C616" t="s">
        <v>74</v>
      </c>
      <c r="D616" t="s">
        <v>74</v>
      </c>
      <c r="E616" t="s">
        <v>74</v>
      </c>
      <c r="F616" t="s">
        <v>12286</v>
      </c>
      <c r="G616" t="s">
        <v>74</v>
      </c>
      <c r="H616" t="s">
        <v>74</v>
      </c>
      <c r="I616" t="s">
        <v>12287</v>
      </c>
      <c r="J616" t="s">
        <v>1212</v>
      </c>
      <c r="K616" t="s">
        <v>74</v>
      </c>
      <c r="L616" t="s">
        <v>74</v>
      </c>
      <c r="M616" t="s">
        <v>78</v>
      </c>
      <c r="N616" t="s">
        <v>79</v>
      </c>
      <c r="O616" t="s">
        <v>74</v>
      </c>
      <c r="P616" t="s">
        <v>74</v>
      </c>
      <c r="Q616" t="s">
        <v>74</v>
      </c>
      <c r="R616" t="s">
        <v>74</v>
      </c>
      <c r="S616" t="s">
        <v>74</v>
      </c>
      <c r="T616" t="s">
        <v>74</v>
      </c>
      <c r="U616" t="s">
        <v>12288</v>
      </c>
      <c r="V616" t="s">
        <v>12289</v>
      </c>
      <c r="W616" t="s">
        <v>12290</v>
      </c>
      <c r="X616" t="s">
        <v>12291</v>
      </c>
      <c r="Y616" t="s">
        <v>12292</v>
      </c>
      <c r="Z616" t="s">
        <v>12293</v>
      </c>
      <c r="AA616" t="s">
        <v>12294</v>
      </c>
      <c r="AB616" t="s">
        <v>12295</v>
      </c>
      <c r="AC616" t="s">
        <v>12296</v>
      </c>
      <c r="AD616" t="s">
        <v>12297</v>
      </c>
      <c r="AE616" t="s">
        <v>12298</v>
      </c>
      <c r="AF616" t="s">
        <v>74</v>
      </c>
      <c r="AG616">
        <v>114</v>
      </c>
      <c r="AH616">
        <v>14</v>
      </c>
      <c r="AI616">
        <v>14</v>
      </c>
      <c r="AJ616">
        <v>1</v>
      </c>
      <c r="AK616">
        <v>13</v>
      </c>
      <c r="AL616" t="s">
        <v>492</v>
      </c>
      <c r="AM616" t="s">
        <v>493</v>
      </c>
      <c r="AN616" t="s">
        <v>494</v>
      </c>
      <c r="AO616" t="s">
        <v>1224</v>
      </c>
      <c r="AP616" t="s">
        <v>74</v>
      </c>
      <c r="AQ616" t="s">
        <v>74</v>
      </c>
      <c r="AR616" t="s">
        <v>1225</v>
      </c>
      <c r="AS616" t="s">
        <v>1226</v>
      </c>
      <c r="AT616" t="s">
        <v>12281</v>
      </c>
      <c r="AU616">
        <v>2021</v>
      </c>
      <c r="AV616">
        <v>11</v>
      </c>
      <c r="AW616">
        <v>1</v>
      </c>
      <c r="AX616" t="s">
        <v>74</v>
      </c>
      <c r="AY616" t="s">
        <v>74</v>
      </c>
      <c r="AZ616" t="s">
        <v>74</v>
      </c>
      <c r="BA616" t="s">
        <v>74</v>
      </c>
      <c r="BB616" t="s">
        <v>74</v>
      </c>
      <c r="BC616" t="s">
        <v>74</v>
      </c>
      <c r="BD616">
        <v>18782</v>
      </c>
      <c r="BE616" t="s">
        <v>12299</v>
      </c>
      <c r="BF616" t="str">
        <f>HYPERLINK("http://dx.doi.org/10.1038/s41598-021-98168-5","http://dx.doi.org/10.1038/s41598-021-98168-5")</f>
        <v>http://dx.doi.org/10.1038/s41598-021-98168-5</v>
      </c>
      <c r="BG616" t="s">
        <v>74</v>
      </c>
      <c r="BH616" t="s">
        <v>74</v>
      </c>
      <c r="BI616">
        <v>20</v>
      </c>
      <c r="BJ616" t="s">
        <v>126</v>
      </c>
      <c r="BK616" t="s">
        <v>101</v>
      </c>
      <c r="BL616" t="s">
        <v>127</v>
      </c>
      <c r="BM616" t="s">
        <v>12300</v>
      </c>
      <c r="BN616">
        <v>34548559</v>
      </c>
      <c r="BO616" t="s">
        <v>394</v>
      </c>
      <c r="BP616" t="s">
        <v>74</v>
      </c>
      <c r="BQ616" t="s">
        <v>74</v>
      </c>
      <c r="BR616" t="s">
        <v>105</v>
      </c>
      <c r="BS616" t="s">
        <v>12301</v>
      </c>
      <c r="BT616" t="str">
        <f>HYPERLINK("https%3A%2F%2Fwww.webofscience.com%2Fwos%2Fwoscc%2Ffull-record%2FWOS:000697793400028","View Full Record in Web of Science")</f>
        <v>View Full Record in Web of Science</v>
      </c>
    </row>
    <row r="617" spans="1:72" x14ac:dyDescent="0.15">
      <c r="A617" t="s">
        <v>72</v>
      </c>
      <c r="B617" t="s">
        <v>12302</v>
      </c>
      <c r="C617" t="s">
        <v>74</v>
      </c>
      <c r="D617" t="s">
        <v>74</v>
      </c>
      <c r="E617" t="s">
        <v>74</v>
      </c>
      <c r="F617" t="s">
        <v>12303</v>
      </c>
      <c r="G617" t="s">
        <v>74</v>
      </c>
      <c r="H617" t="s">
        <v>74</v>
      </c>
      <c r="I617" t="s">
        <v>12304</v>
      </c>
      <c r="J617" t="s">
        <v>12305</v>
      </c>
      <c r="K617" t="s">
        <v>74</v>
      </c>
      <c r="L617" t="s">
        <v>74</v>
      </c>
      <c r="M617" t="s">
        <v>78</v>
      </c>
      <c r="N617" t="s">
        <v>373</v>
      </c>
      <c r="O617" t="s">
        <v>74</v>
      </c>
      <c r="P617" t="s">
        <v>74</v>
      </c>
      <c r="Q617" t="s">
        <v>74</v>
      </c>
      <c r="R617" t="s">
        <v>74</v>
      </c>
      <c r="S617" t="s">
        <v>74</v>
      </c>
      <c r="T617" t="s">
        <v>12306</v>
      </c>
      <c r="U617" t="s">
        <v>12307</v>
      </c>
      <c r="V617" t="s">
        <v>12308</v>
      </c>
      <c r="W617" t="s">
        <v>12309</v>
      </c>
      <c r="X617" t="s">
        <v>12310</v>
      </c>
      <c r="Y617" t="s">
        <v>12311</v>
      </c>
      <c r="Z617" t="s">
        <v>12312</v>
      </c>
      <c r="AA617" t="s">
        <v>12313</v>
      </c>
      <c r="AB617" t="s">
        <v>12314</v>
      </c>
      <c r="AC617" t="s">
        <v>12315</v>
      </c>
      <c r="AD617" t="s">
        <v>12315</v>
      </c>
      <c r="AE617" t="s">
        <v>12316</v>
      </c>
      <c r="AF617" t="s">
        <v>74</v>
      </c>
      <c r="AG617">
        <v>187</v>
      </c>
      <c r="AH617">
        <v>6</v>
      </c>
      <c r="AI617">
        <v>6</v>
      </c>
      <c r="AJ617">
        <v>2</v>
      </c>
      <c r="AK617">
        <v>36</v>
      </c>
      <c r="AL617" t="s">
        <v>169</v>
      </c>
      <c r="AM617" t="s">
        <v>520</v>
      </c>
      <c r="AN617" t="s">
        <v>521</v>
      </c>
      <c r="AO617" t="s">
        <v>12317</v>
      </c>
      <c r="AP617" t="s">
        <v>12318</v>
      </c>
      <c r="AQ617" t="s">
        <v>74</v>
      </c>
      <c r="AR617" t="s">
        <v>12319</v>
      </c>
      <c r="AS617" t="s">
        <v>12320</v>
      </c>
      <c r="AT617" t="s">
        <v>338</v>
      </c>
      <c r="AU617">
        <v>2022</v>
      </c>
      <c r="AV617">
        <v>32</v>
      </c>
      <c r="AW617">
        <v>1</v>
      </c>
      <c r="AX617" t="s">
        <v>74</v>
      </c>
      <c r="AY617" t="s">
        <v>74</v>
      </c>
      <c r="AZ617" t="s">
        <v>526</v>
      </c>
      <c r="BA617" t="s">
        <v>74</v>
      </c>
      <c r="BB617">
        <v>39</v>
      </c>
      <c r="BC617">
        <v>63</v>
      </c>
      <c r="BD617" t="s">
        <v>74</v>
      </c>
      <c r="BE617" t="s">
        <v>12321</v>
      </c>
      <c r="BF617" t="str">
        <f>HYPERLINK("http://dx.doi.org/10.1007/s11160-021-09678-4","http://dx.doi.org/10.1007/s11160-021-09678-4")</f>
        <v>http://dx.doi.org/10.1007/s11160-021-09678-4</v>
      </c>
      <c r="BG617" t="s">
        <v>74</v>
      </c>
      <c r="BH617" t="s">
        <v>11189</v>
      </c>
      <c r="BI617">
        <v>25</v>
      </c>
      <c r="BJ617" t="s">
        <v>2624</v>
      </c>
      <c r="BK617" t="s">
        <v>207</v>
      </c>
      <c r="BL617" t="s">
        <v>2624</v>
      </c>
      <c r="BM617" t="s">
        <v>12322</v>
      </c>
      <c r="BN617">
        <v>34566277</v>
      </c>
      <c r="BO617" t="s">
        <v>12323</v>
      </c>
      <c r="BP617" t="s">
        <v>74</v>
      </c>
      <c r="BQ617" t="s">
        <v>74</v>
      </c>
      <c r="BR617" t="s">
        <v>105</v>
      </c>
      <c r="BS617" t="s">
        <v>12324</v>
      </c>
      <c r="BT617" t="str">
        <f>HYPERLINK("https%3A%2F%2Fwww.webofscience.com%2Fwos%2Fwoscc%2Ffull-record%2FWOS:000697619100001","View Full Record in Web of Science")</f>
        <v>View Full Record in Web of Science</v>
      </c>
    </row>
    <row r="618" spans="1:72" x14ac:dyDescent="0.15">
      <c r="A618" t="s">
        <v>72</v>
      </c>
      <c r="B618" t="s">
        <v>12325</v>
      </c>
      <c r="C618" t="s">
        <v>74</v>
      </c>
      <c r="D618" t="s">
        <v>74</v>
      </c>
      <c r="E618" t="s">
        <v>74</v>
      </c>
      <c r="F618" t="s">
        <v>12326</v>
      </c>
      <c r="G618" t="s">
        <v>74</v>
      </c>
      <c r="H618" t="s">
        <v>74</v>
      </c>
      <c r="I618" t="s">
        <v>12327</v>
      </c>
      <c r="J618" t="s">
        <v>911</v>
      </c>
      <c r="K618" t="s">
        <v>74</v>
      </c>
      <c r="L618" t="s">
        <v>74</v>
      </c>
      <c r="M618" t="s">
        <v>78</v>
      </c>
      <c r="N618" t="s">
        <v>79</v>
      </c>
      <c r="O618" t="s">
        <v>74</v>
      </c>
      <c r="P618" t="s">
        <v>74</v>
      </c>
      <c r="Q618" t="s">
        <v>74</v>
      </c>
      <c r="R618" t="s">
        <v>74</v>
      </c>
      <c r="S618" t="s">
        <v>74</v>
      </c>
      <c r="T618" t="s">
        <v>12328</v>
      </c>
      <c r="U618" t="s">
        <v>12329</v>
      </c>
      <c r="V618" t="s">
        <v>12330</v>
      </c>
      <c r="W618" t="s">
        <v>12331</v>
      </c>
      <c r="X618" t="s">
        <v>12332</v>
      </c>
      <c r="Y618" t="s">
        <v>12333</v>
      </c>
      <c r="Z618" t="s">
        <v>12334</v>
      </c>
      <c r="AA618" t="s">
        <v>12335</v>
      </c>
      <c r="AB618" t="s">
        <v>12336</v>
      </c>
      <c r="AC618" t="s">
        <v>12337</v>
      </c>
      <c r="AD618" t="s">
        <v>12338</v>
      </c>
      <c r="AE618" t="s">
        <v>12339</v>
      </c>
      <c r="AF618" t="s">
        <v>74</v>
      </c>
      <c r="AG618">
        <v>103</v>
      </c>
      <c r="AH618">
        <v>7</v>
      </c>
      <c r="AI618">
        <v>7</v>
      </c>
      <c r="AJ618">
        <v>6</v>
      </c>
      <c r="AK618">
        <v>33</v>
      </c>
      <c r="AL618" t="s">
        <v>169</v>
      </c>
      <c r="AM618" t="s">
        <v>170</v>
      </c>
      <c r="AN618" t="s">
        <v>171</v>
      </c>
      <c r="AO618" t="s">
        <v>924</v>
      </c>
      <c r="AP618" t="s">
        <v>925</v>
      </c>
      <c r="AQ618" t="s">
        <v>74</v>
      </c>
      <c r="AR618" t="s">
        <v>926</v>
      </c>
      <c r="AS618" t="s">
        <v>927</v>
      </c>
      <c r="AT618" t="s">
        <v>525</v>
      </c>
      <c r="AU618">
        <v>2022</v>
      </c>
      <c r="AV618">
        <v>58</v>
      </c>
      <c r="AW618" t="s">
        <v>12340</v>
      </c>
      <c r="AX618" t="s">
        <v>74</v>
      </c>
      <c r="AY618" t="s">
        <v>74</v>
      </c>
      <c r="AZ618" t="s">
        <v>74</v>
      </c>
      <c r="BA618" t="s">
        <v>74</v>
      </c>
      <c r="BB618">
        <v>1237</v>
      </c>
      <c r="BC618">
        <v>1255</v>
      </c>
      <c r="BD618" t="s">
        <v>74</v>
      </c>
      <c r="BE618" t="s">
        <v>12341</v>
      </c>
      <c r="BF618" t="str">
        <f>HYPERLINK("http://dx.doi.org/10.1007/s00382-021-05961-z","http://dx.doi.org/10.1007/s00382-021-05961-z")</f>
        <v>http://dx.doi.org/10.1007/s00382-021-05961-z</v>
      </c>
      <c r="BG618" t="s">
        <v>74</v>
      </c>
      <c r="BH618" t="s">
        <v>11189</v>
      </c>
      <c r="BI618">
        <v>19</v>
      </c>
      <c r="BJ618" t="s">
        <v>829</v>
      </c>
      <c r="BK618" t="s">
        <v>101</v>
      </c>
      <c r="BL618" t="s">
        <v>829</v>
      </c>
      <c r="BM618" t="s">
        <v>12342</v>
      </c>
      <c r="BN618" t="s">
        <v>74</v>
      </c>
      <c r="BO618" t="s">
        <v>419</v>
      </c>
      <c r="BP618" t="s">
        <v>74</v>
      </c>
      <c r="BQ618" t="s">
        <v>74</v>
      </c>
      <c r="BR618" t="s">
        <v>105</v>
      </c>
      <c r="BS618" t="s">
        <v>12343</v>
      </c>
      <c r="BT618" t="str">
        <f>HYPERLINK("https%3A%2F%2Fwww.webofscience.com%2Fwos%2Fwoscc%2Ffull-record%2FWOS:000698164200001","View Full Record in Web of Science")</f>
        <v>View Full Record in Web of Science</v>
      </c>
    </row>
    <row r="619" spans="1:72" x14ac:dyDescent="0.15">
      <c r="A619" t="s">
        <v>72</v>
      </c>
      <c r="B619" t="s">
        <v>12344</v>
      </c>
      <c r="C619" t="s">
        <v>74</v>
      </c>
      <c r="D619" t="s">
        <v>74</v>
      </c>
      <c r="E619" t="s">
        <v>74</v>
      </c>
      <c r="F619" t="s">
        <v>12345</v>
      </c>
      <c r="G619" t="s">
        <v>74</v>
      </c>
      <c r="H619" t="s">
        <v>74</v>
      </c>
      <c r="I619" t="s">
        <v>12346</v>
      </c>
      <c r="J619" t="s">
        <v>6143</v>
      </c>
      <c r="K619" t="s">
        <v>74</v>
      </c>
      <c r="L619" t="s">
        <v>74</v>
      </c>
      <c r="M619" t="s">
        <v>78</v>
      </c>
      <c r="N619" t="s">
        <v>79</v>
      </c>
      <c r="O619" t="s">
        <v>74</v>
      </c>
      <c r="P619" t="s">
        <v>74</v>
      </c>
      <c r="Q619" t="s">
        <v>74</v>
      </c>
      <c r="R619" t="s">
        <v>74</v>
      </c>
      <c r="S619" t="s">
        <v>74</v>
      </c>
      <c r="T619" t="s">
        <v>12347</v>
      </c>
      <c r="U619" t="s">
        <v>12348</v>
      </c>
      <c r="V619" t="s">
        <v>12349</v>
      </c>
      <c r="W619" t="s">
        <v>12350</v>
      </c>
      <c r="X619" t="s">
        <v>12351</v>
      </c>
      <c r="Y619" t="s">
        <v>12352</v>
      </c>
      <c r="Z619" t="s">
        <v>12353</v>
      </c>
      <c r="AA619" t="s">
        <v>9781</v>
      </c>
      <c r="AB619" t="s">
        <v>12354</v>
      </c>
      <c r="AC619" t="s">
        <v>8429</v>
      </c>
      <c r="AD619" t="s">
        <v>8430</v>
      </c>
      <c r="AE619" t="s">
        <v>12355</v>
      </c>
      <c r="AF619" t="s">
        <v>74</v>
      </c>
      <c r="AG619">
        <v>46</v>
      </c>
      <c r="AH619">
        <v>4</v>
      </c>
      <c r="AI619">
        <v>4</v>
      </c>
      <c r="AJ619">
        <v>0</v>
      </c>
      <c r="AK619">
        <v>4</v>
      </c>
      <c r="AL619" t="s">
        <v>666</v>
      </c>
      <c r="AM619" t="s">
        <v>170</v>
      </c>
      <c r="AN619" t="s">
        <v>667</v>
      </c>
      <c r="AO619" t="s">
        <v>6156</v>
      </c>
      <c r="AP619" t="s">
        <v>6157</v>
      </c>
      <c r="AQ619" t="s">
        <v>74</v>
      </c>
      <c r="AR619" t="s">
        <v>6158</v>
      </c>
      <c r="AS619" t="s">
        <v>6159</v>
      </c>
      <c r="AT619" t="s">
        <v>98</v>
      </c>
      <c r="AU619">
        <v>2021</v>
      </c>
      <c r="AV619">
        <v>33</v>
      </c>
      <c r="AW619">
        <v>6</v>
      </c>
      <c r="AX619" t="s">
        <v>74</v>
      </c>
      <c r="AY619" t="s">
        <v>74</v>
      </c>
      <c r="AZ619" t="s">
        <v>74</v>
      </c>
      <c r="BA619" t="s">
        <v>74</v>
      </c>
      <c r="BB619">
        <v>596</v>
      </c>
      <c r="BC619">
        <v>604</v>
      </c>
      <c r="BD619" t="s">
        <v>12356</v>
      </c>
      <c r="BE619" t="s">
        <v>12357</v>
      </c>
      <c r="BF619" t="str">
        <f>HYPERLINK("http://dx.doi.org/10.1017/S0954102021000316","http://dx.doi.org/10.1017/S0954102021000316")</f>
        <v>http://dx.doi.org/10.1017/S0954102021000316</v>
      </c>
      <c r="BG619" t="s">
        <v>74</v>
      </c>
      <c r="BH619" t="s">
        <v>11189</v>
      </c>
      <c r="BI619">
        <v>9</v>
      </c>
      <c r="BJ619" t="s">
        <v>6161</v>
      </c>
      <c r="BK619" t="s">
        <v>101</v>
      </c>
      <c r="BL619" t="s">
        <v>6162</v>
      </c>
      <c r="BM619" t="s">
        <v>6163</v>
      </c>
      <c r="BN619" t="s">
        <v>74</v>
      </c>
      <c r="BO619" t="s">
        <v>74</v>
      </c>
      <c r="BP619" t="s">
        <v>74</v>
      </c>
      <c r="BQ619" t="s">
        <v>74</v>
      </c>
      <c r="BR619" t="s">
        <v>105</v>
      </c>
      <c r="BS619" t="s">
        <v>12358</v>
      </c>
      <c r="BT619" t="str">
        <f>HYPERLINK("https%3A%2F%2Fwww.webofscience.com%2Fwos%2Fwoscc%2Ffull-record%2FWOS:000737583400001","View Full Record in Web of Science")</f>
        <v>View Full Record in Web of Science</v>
      </c>
    </row>
    <row r="620" spans="1:72" x14ac:dyDescent="0.15">
      <c r="A620" t="s">
        <v>72</v>
      </c>
      <c r="B620" t="s">
        <v>12359</v>
      </c>
      <c r="C620" t="s">
        <v>74</v>
      </c>
      <c r="D620" t="s">
        <v>74</v>
      </c>
      <c r="E620" t="s">
        <v>74</v>
      </c>
      <c r="F620" t="s">
        <v>12360</v>
      </c>
      <c r="G620" t="s">
        <v>74</v>
      </c>
      <c r="H620" t="s">
        <v>74</v>
      </c>
      <c r="I620" t="s">
        <v>12361</v>
      </c>
      <c r="J620" t="s">
        <v>835</v>
      </c>
      <c r="K620" t="s">
        <v>74</v>
      </c>
      <c r="L620" t="s">
        <v>74</v>
      </c>
      <c r="M620" t="s">
        <v>78</v>
      </c>
      <c r="N620" t="s">
        <v>79</v>
      </c>
      <c r="O620" t="s">
        <v>74</v>
      </c>
      <c r="P620" t="s">
        <v>74</v>
      </c>
      <c r="Q620" t="s">
        <v>74</v>
      </c>
      <c r="R620" t="s">
        <v>74</v>
      </c>
      <c r="S620" t="s">
        <v>74</v>
      </c>
      <c r="T620" t="s">
        <v>12362</v>
      </c>
      <c r="U620" t="s">
        <v>12363</v>
      </c>
      <c r="V620" t="s">
        <v>12364</v>
      </c>
      <c r="W620" t="s">
        <v>12365</v>
      </c>
      <c r="X620" t="s">
        <v>12366</v>
      </c>
      <c r="Y620" t="s">
        <v>12367</v>
      </c>
      <c r="Z620" t="s">
        <v>12368</v>
      </c>
      <c r="AA620" t="s">
        <v>12369</v>
      </c>
      <c r="AB620" t="s">
        <v>12370</v>
      </c>
      <c r="AC620" t="s">
        <v>12371</v>
      </c>
      <c r="AD620" t="s">
        <v>12372</v>
      </c>
      <c r="AE620" t="s">
        <v>12373</v>
      </c>
      <c r="AF620" t="s">
        <v>74</v>
      </c>
      <c r="AG620">
        <v>114</v>
      </c>
      <c r="AH620">
        <v>10</v>
      </c>
      <c r="AI620">
        <v>10</v>
      </c>
      <c r="AJ620">
        <v>4</v>
      </c>
      <c r="AK620">
        <v>54</v>
      </c>
      <c r="AL620" t="s">
        <v>847</v>
      </c>
      <c r="AM620" t="s">
        <v>848</v>
      </c>
      <c r="AN620" t="s">
        <v>849</v>
      </c>
      <c r="AO620" t="s">
        <v>850</v>
      </c>
      <c r="AP620" t="s">
        <v>851</v>
      </c>
      <c r="AQ620" t="s">
        <v>74</v>
      </c>
      <c r="AR620" t="s">
        <v>852</v>
      </c>
      <c r="AS620" t="s">
        <v>853</v>
      </c>
      <c r="AT620" t="s">
        <v>1270</v>
      </c>
      <c r="AU620">
        <v>2022</v>
      </c>
      <c r="AV620">
        <v>805</v>
      </c>
      <c r="AW620" t="s">
        <v>74</v>
      </c>
      <c r="AX620" t="s">
        <v>74</v>
      </c>
      <c r="AY620" t="s">
        <v>74</v>
      </c>
      <c r="AZ620" t="s">
        <v>74</v>
      </c>
      <c r="BA620" t="s">
        <v>74</v>
      </c>
      <c r="BB620" t="s">
        <v>74</v>
      </c>
      <c r="BC620" t="s">
        <v>74</v>
      </c>
      <c r="BD620">
        <v>150305</v>
      </c>
      <c r="BE620" t="s">
        <v>12374</v>
      </c>
      <c r="BF620" t="str">
        <f>HYPERLINK("http://dx.doi.org/10.1016/j.scitotenv.2021.150305","http://dx.doi.org/10.1016/j.scitotenv.2021.150305")</f>
        <v>http://dx.doi.org/10.1016/j.scitotenv.2021.150305</v>
      </c>
      <c r="BG620" t="s">
        <v>74</v>
      </c>
      <c r="BH620" t="s">
        <v>11189</v>
      </c>
      <c r="BI620">
        <v>13</v>
      </c>
      <c r="BJ620" t="s">
        <v>856</v>
      </c>
      <c r="BK620" t="s">
        <v>101</v>
      </c>
      <c r="BL620" t="s">
        <v>630</v>
      </c>
      <c r="BM620" t="s">
        <v>12375</v>
      </c>
      <c r="BN620">
        <v>34818790</v>
      </c>
      <c r="BO620" t="s">
        <v>74</v>
      </c>
      <c r="BP620" t="s">
        <v>74</v>
      </c>
      <c r="BQ620" t="s">
        <v>74</v>
      </c>
      <c r="BR620" t="s">
        <v>105</v>
      </c>
      <c r="BS620" t="s">
        <v>12376</v>
      </c>
      <c r="BT620" t="str">
        <f>HYPERLINK("https%3A%2F%2Fwww.webofscience.com%2Fwos%2Fwoscc%2Ffull-record%2FWOS:000701762700011","View Full Record in Web of Science")</f>
        <v>View Full Record in Web of Science</v>
      </c>
    </row>
    <row r="621" spans="1:72" x14ac:dyDescent="0.15">
      <c r="A621" t="s">
        <v>72</v>
      </c>
      <c r="B621" t="s">
        <v>12377</v>
      </c>
      <c r="C621" t="s">
        <v>74</v>
      </c>
      <c r="D621" t="s">
        <v>74</v>
      </c>
      <c r="E621" t="s">
        <v>74</v>
      </c>
      <c r="F621" t="s">
        <v>12378</v>
      </c>
      <c r="G621" t="s">
        <v>74</v>
      </c>
      <c r="H621" t="s">
        <v>74</v>
      </c>
      <c r="I621" t="s">
        <v>12379</v>
      </c>
      <c r="J621" t="s">
        <v>12380</v>
      </c>
      <c r="K621" t="s">
        <v>74</v>
      </c>
      <c r="L621" t="s">
        <v>74</v>
      </c>
      <c r="M621" t="s">
        <v>78</v>
      </c>
      <c r="N621" t="s">
        <v>79</v>
      </c>
      <c r="O621" t="s">
        <v>74</v>
      </c>
      <c r="P621" t="s">
        <v>74</v>
      </c>
      <c r="Q621" t="s">
        <v>74</v>
      </c>
      <c r="R621" t="s">
        <v>74</v>
      </c>
      <c r="S621" t="s">
        <v>74</v>
      </c>
      <c r="T621" t="s">
        <v>12381</v>
      </c>
      <c r="U621" t="s">
        <v>12382</v>
      </c>
      <c r="V621" t="s">
        <v>12383</v>
      </c>
      <c r="W621" t="s">
        <v>12384</v>
      </c>
      <c r="X621" t="s">
        <v>12385</v>
      </c>
      <c r="Y621" t="s">
        <v>12386</v>
      </c>
      <c r="Z621" t="s">
        <v>5443</v>
      </c>
      <c r="AA621" t="s">
        <v>12387</v>
      </c>
      <c r="AB621" t="s">
        <v>12388</v>
      </c>
      <c r="AC621" t="s">
        <v>12389</v>
      </c>
      <c r="AD621" t="s">
        <v>12390</v>
      </c>
      <c r="AE621" t="s">
        <v>12391</v>
      </c>
      <c r="AF621" t="s">
        <v>74</v>
      </c>
      <c r="AG621">
        <v>87</v>
      </c>
      <c r="AH621">
        <v>8</v>
      </c>
      <c r="AI621">
        <v>9</v>
      </c>
      <c r="AJ621">
        <v>0</v>
      </c>
      <c r="AK621">
        <v>36</v>
      </c>
      <c r="AL621" t="s">
        <v>1088</v>
      </c>
      <c r="AM621" t="s">
        <v>333</v>
      </c>
      <c r="AN621" t="s">
        <v>1089</v>
      </c>
      <c r="AO621" t="s">
        <v>12392</v>
      </c>
      <c r="AP621" t="s">
        <v>74</v>
      </c>
      <c r="AQ621" t="s">
        <v>74</v>
      </c>
      <c r="AR621" t="s">
        <v>12380</v>
      </c>
      <c r="AS621" t="s">
        <v>12393</v>
      </c>
      <c r="AT621" t="s">
        <v>12394</v>
      </c>
      <c r="AU621">
        <v>2021</v>
      </c>
      <c r="AV621">
        <v>22</v>
      </c>
      <c r="AW621">
        <v>1</v>
      </c>
      <c r="AX621" t="s">
        <v>74</v>
      </c>
      <c r="AY621" t="s">
        <v>74</v>
      </c>
      <c r="AZ621" t="s">
        <v>74</v>
      </c>
      <c r="BA621" t="s">
        <v>74</v>
      </c>
      <c r="BB621" t="s">
        <v>74</v>
      </c>
      <c r="BC621" t="s">
        <v>74</v>
      </c>
      <c r="BD621">
        <v>675</v>
      </c>
      <c r="BE621" t="s">
        <v>12395</v>
      </c>
      <c r="BF621" t="str">
        <f>HYPERLINK("http://dx.doi.org/10.1186/s12864-021-07978-4","http://dx.doi.org/10.1186/s12864-021-07978-4")</f>
        <v>http://dx.doi.org/10.1186/s12864-021-07978-4</v>
      </c>
      <c r="BG621" t="s">
        <v>74</v>
      </c>
      <c r="BH621" t="s">
        <v>74</v>
      </c>
      <c r="BI621">
        <v>16</v>
      </c>
      <c r="BJ621" t="s">
        <v>12396</v>
      </c>
      <c r="BK621" t="s">
        <v>101</v>
      </c>
      <c r="BL621" t="s">
        <v>12396</v>
      </c>
      <c r="BM621" t="s">
        <v>12397</v>
      </c>
      <c r="BN621">
        <v>34544379</v>
      </c>
      <c r="BO621" t="s">
        <v>2114</v>
      </c>
      <c r="BP621" t="s">
        <v>74</v>
      </c>
      <c r="BQ621" t="s">
        <v>74</v>
      </c>
      <c r="BR621" t="s">
        <v>105</v>
      </c>
      <c r="BS621" t="s">
        <v>12398</v>
      </c>
      <c r="BT621" t="str">
        <f>HYPERLINK("https%3A%2F%2Fwww.webofscience.com%2Fwos%2Fwoscc%2Ffull-record%2FWOS:000698382000003","View Full Record in Web of Science")</f>
        <v>View Full Record in Web of Science</v>
      </c>
    </row>
    <row r="622" spans="1:72" x14ac:dyDescent="0.15">
      <c r="A622" t="s">
        <v>72</v>
      </c>
      <c r="B622" t="s">
        <v>12399</v>
      </c>
      <c r="C622" t="s">
        <v>74</v>
      </c>
      <c r="D622" t="s">
        <v>74</v>
      </c>
      <c r="E622" t="s">
        <v>74</v>
      </c>
      <c r="F622" t="s">
        <v>12400</v>
      </c>
      <c r="G622" t="s">
        <v>74</v>
      </c>
      <c r="H622" t="s">
        <v>74</v>
      </c>
      <c r="I622" t="s">
        <v>12401</v>
      </c>
      <c r="J622" t="s">
        <v>12402</v>
      </c>
      <c r="K622" t="s">
        <v>74</v>
      </c>
      <c r="L622" t="s">
        <v>74</v>
      </c>
      <c r="M622" t="s">
        <v>78</v>
      </c>
      <c r="N622" t="s">
        <v>79</v>
      </c>
      <c r="O622" t="s">
        <v>74</v>
      </c>
      <c r="P622" t="s">
        <v>74</v>
      </c>
      <c r="Q622" t="s">
        <v>74</v>
      </c>
      <c r="R622" t="s">
        <v>74</v>
      </c>
      <c r="S622" t="s">
        <v>74</v>
      </c>
      <c r="T622" t="s">
        <v>12403</v>
      </c>
      <c r="U622" t="s">
        <v>12404</v>
      </c>
      <c r="V622" t="s">
        <v>12405</v>
      </c>
      <c r="W622" t="s">
        <v>12406</v>
      </c>
      <c r="X622" t="s">
        <v>12407</v>
      </c>
      <c r="Y622" t="s">
        <v>12408</v>
      </c>
      <c r="Z622" t="s">
        <v>12409</v>
      </c>
      <c r="AA622" t="s">
        <v>12410</v>
      </c>
      <c r="AB622" t="s">
        <v>12411</v>
      </c>
      <c r="AC622" t="s">
        <v>12412</v>
      </c>
      <c r="AD622" t="s">
        <v>12413</v>
      </c>
      <c r="AE622" t="s">
        <v>12414</v>
      </c>
      <c r="AF622" t="s">
        <v>74</v>
      </c>
      <c r="AG622">
        <v>32</v>
      </c>
      <c r="AH622">
        <v>25</v>
      </c>
      <c r="AI622">
        <v>25</v>
      </c>
      <c r="AJ622">
        <v>5</v>
      </c>
      <c r="AK622">
        <v>47</v>
      </c>
      <c r="AL622" t="s">
        <v>1347</v>
      </c>
      <c r="AM622" t="s">
        <v>333</v>
      </c>
      <c r="AN622" t="s">
        <v>1348</v>
      </c>
      <c r="AO622" t="s">
        <v>12415</v>
      </c>
      <c r="AP622" t="s">
        <v>12416</v>
      </c>
      <c r="AQ622" t="s">
        <v>74</v>
      </c>
      <c r="AR622" t="s">
        <v>12417</v>
      </c>
      <c r="AS622" t="s">
        <v>12418</v>
      </c>
      <c r="AT622" t="s">
        <v>1000</v>
      </c>
      <c r="AU622">
        <v>2022</v>
      </c>
      <c r="AV622">
        <v>4</v>
      </c>
      <c r="AW622">
        <v>2</v>
      </c>
      <c r="AX622" t="s">
        <v>74</v>
      </c>
      <c r="AY622" t="s">
        <v>74</v>
      </c>
      <c r="AZ622" t="s">
        <v>74</v>
      </c>
      <c r="BA622" t="s">
        <v>74</v>
      </c>
      <c r="BB622">
        <v>256</v>
      </c>
      <c r="BC622">
        <v>267</v>
      </c>
      <c r="BD622" t="s">
        <v>74</v>
      </c>
      <c r="BE622" t="s">
        <v>12419</v>
      </c>
      <c r="BF622" t="str">
        <f>HYPERLINK("http://dx.doi.org/10.1007/s42765-021-00103-w","http://dx.doi.org/10.1007/s42765-021-00103-w")</f>
        <v>http://dx.doi.org/10.1007/s42765-021-00103-w</v>
      </c>
      <c r="BG622" t="s">
        <v>74</v>
      </c>
      <c r="BH622" t="s">
        <v>11189</v>
      </c>
      <c r="BI622">
        <v>12</v>
      </c>
      <c r="BJ622" t="s">
        <v>12420</v>
      </c>
      <c r="BK622" t="s">
        <v>101</v>
      </c>
      <c r="BL622" t="s">
        <v>12421</v>
      </c>
      <c r="BM622" t="s">
        <v>12422</v>
      </c>
      <c r="BN622" t="s">
        <v>74</v>
      </c>
      <c r="BO622" t="s">
        <v>74</v>
      </c>
      <c r="BP622" t="s">
        <v>74</v>
      </c>
      <c r="BQ622" t="s">
        <v>74</v>
      </c>
      <c r="BR622" t="s">
        <v>105</v>
      </c>
      <c r="BS622" t="s">
        <v>12423</v>
      </c>
      <c r="BT622" t="str">
        <f>HYPERLINK("https%3A%2F%2Fwww.webofscience.com%2Fwos%2Fwoscc%2Ffull-record%2FWOS:000698156500002","View Full Record in Web of Science")</f>
        <v>View Full Record in Web of Science</v>
      </c>
    </row>
    <row r="623" spans="1:72" x14ac:dyDescent="0.15">
      <c r="A623" t="s">
        <v>72</v>
      </c>
      <c r="B623" t="s">
        <v>12424</v>
      </c>
      <c r="C623" t="s">
        <v>74</v>
      </c>
      <c r="D623" t="s">
        <v>74</v>
      </c>
      <c r="E623" t="s">
        <v>74</v>
      </c>
      <c r="F623" t="s">
        <v>12425</v>
      </c>
      <c r="G623" t="s">
        <v>74</v>
      </c>
      <c r="H623" t="s">
        <v>74</v>
      </c>
      <c r="I623" t="s">
        <v>12426</v>
      </c>
      <c r="J623" t="s">
        <v>12427</v>
      </c>
      <c r="K623" t="s">
        <v>74</v>
      </c>
      <c r="L623" t="s">
        <v>74</v>
      </c>
      <c r="M623" t="s">
        <v>78</v>
      </c>
      <c r="N623" t="s">
        <v>79</v>
      </c>
      <c r="O623" t="s">
        <v>74</v>
      </c>
      <c r="P623" t="s">
        <v>74</v>
      </c>
      <c r="Q623" t="s">
        <v>74</v>
      </c>
      <c r="R623" t="s">
        <v>74</v>
      </c>
      <c r="S623" t="s">
        <v>74</v>
      </c>
      <c r="T623" t="s">
        <v>12428</v>
      </c>
      <c r="U623" t="s">
        <v>12429</v>
      </c>
      <c r="V623" t="s">
        <v>12430</v>
      </c>
      <c r="W623" t="s">
        <v>12431</v>
      </c>
      <c r="X623" t="s">
        <v>12432</v>
      </c>
      <c r="Y623" t="s">
        <v>12433</v>
      </c>
      <c r="Z623" t="s">
        <v>12434</v>
      </c>
      <c r="AA623" t="s">
        <v>12435</v>
      </c>
      <c r="AB623" t="s">
        <v>12436</v>
      </c>
      <c r="AC623" t="s">
        <v>12437</v>
      </c>
      <c r="AD623" t="s">
        <v>12438</v>
      </c>
      <c r="AE623" t="s">
        <v>12439</v>
      </c>
      <c r="AF623" t="s">
        <v>74</v>
      </c>
      <c r="AG623">
        <v>52</v>
      </c>
      <c r="AH623">
        <v>6</v>
      </c>
      <c r="AI623">
        <v>6</v>
      </c>
      <c r="AJ623">
        <v>8</v>
      </c>
      <c r="AK623">
        <v>71</v>
      </c>
      <c r="AL623" t="s">
        <v>572</v>
      </c>
      <c r="AM623" t="s">
        <v>573</v>
      </c>
      <c r="AN623" t="s">
        <v>574</v>
      </c>
      <c r="AO623" t="s">
        <v>12440</v>
      </c>
      <c r="AP623" t="s">
        <v>12441</v>
      </c>
      <c r="AQ623" t="s">
        <v>74</v>
      </c>
      <c r="AR623" t="s">
        <v>12427</v>
      </c>
      <c r="AS623" t="s">
        <v>12442</v>
      </c>
      <c r="AT623" t="s">
        <v>416</v>
      </c>
      <c r="AU623">
        <v>2022</v>
      </c>
      <c r="AV623">
        <v>20</v>
      </c>
      <c r="AW623">
        <v>1</v>
      </c>
      <c r="AX623" t="s">
        <v>74</v>
      </c>
      <c r="AY623" t="s">
        <v>74</v>
      </c>
      <c r="AZ623" t="s">
        <v>74</v>
      </c>
      <c r="BA623" t="s">
        <v>74</v>
      </c>
      <c r="BB623">
        <v>98</v>
      </c>
      <c r="BC623">
        <v>111</v>
      </c>
      <c r="BD623" t="s">
        <v>74</v>
      </c>
      <c r="BE623" t="s">
        <v>12443</v>
      </c>
      <c r="BF623" t="str">
        <f>HYPERLINK("http://dx.doi.org/10.1111/gbi.12472","http://dx.doi.org/10.1111/gbi.12472")</f>
        <v>http://dx.doi.org/10.1111/gbi.12472</v>
      </c>
      <c r="BG623" t="s">
        <v>74</v>
      </c>
      <c r="BH623" t="s">
        <v>11189</v>
      </c>
      <c r="BI623">
        <v>14</v>
      </c>
      <c r="BJ623" t="s">
        <v>12444</v>
      </c>
      <c r="BK623" t="s">
        <v>101</v>
      </c>
      <c r="BL623" t="s">
        <v>12445</v>
      </c>
      <c r="BM623" t="s">
        <v>12446</v>
      </c>
      <c r="BN623">
        <v>34545693</v>
      </c>
      <c r="BO623" t="s">
        <v>74</v>
      </c>
      <c r="BP623" t="s">
        <v>74</v>
      </c>
      <c r="BQ623" t="s">
        <v>74</v>
      </c>
      <c r="BR623" t="s">
        <v>105</v>
      </c>
      <c r="BS623" t="s">
        <v>12447</v>
      </c>
      <c r="BT623" t="str">
        <f>HYPERLINK("https%3A%2F%2Fwww.webofscience.com%2Fwos%2Fwoscc%2Ffull-record%2FWOS:000697304900001","View Full Record in Web of Science")</f>
        <v>View Full Record in Web of Science</v>
      </c>
    </row>
    <row r="624" spans="1:72" x14ac:dyDescent="0.15">
      <c r="A624" t="s">
        <v>72</v>
      </c>
      <c r="B624" t="s">
        <v>12448</v>
      </c>
      <c r="C624" t="s">
        <v>74</v>
      </c>
      <c r="D624" t="s">
        <v>74</v>
      </c>
      <c r="E624" t="s">
        <v>74</v>
      </c>
      <c r="F624" t="s">
        <v>12449</v>
      </c>
      <c r="G624" t="s">
        <v>74</v>
      </c>
      <c r="H624" t="s">
        <v>74</v>
      </c>
      <c r="I624" t="s">
        <v>12450</v>
      </c>
      <c r="J624" t="s">
        <v>12451</v>
      </c>
      <c r="K624" t="s">
        <v>74</v>
      </c>
      <c r="L624" t="s">
        <v>74</v>
      </c>
      <c r="M624" t="s">
        <v>78</v>
      </c>
      <c r="N624" t="s">
        <v>79</v>
      </c>
      <c r="O624" t="s">
        <v>74</v>
      </c>
      <c r="P624" t="s">
        <v>74</v>
      </c>
      <c r="Q624" t="s">
        <v>74</v>
      </c>
      <c r="R624" t="s">
        <v>74</v>
      </c>
      <c r="S624" t="s">
        <v>74</v>
      </c>
      <c r="T624" t="s">
        <v>12452</v>
      </c>
      <c r="U624" t="s">
        <v>12453</v>
      </c>
      <c r="V624" t="s">
        <v>12454</v>
      </c>
      <c r="W624" t="s">
        <v>12455</v>
      </c>
      <c r="X624" t="s">
        <v>12456</v>
      </c>
      <c r="Y624" t="s">
        <v>12457</v>
      </c>
      <c r="Z624" t="s">
        <v>12458</v>
      </c>
      <c r="AA624" t="s">
        <v>74</v>
      </c>
      <c r="AB624" t="s">
        <v>74</v>
      </c>
      <c r="AC624" t="s">
        <v>12459</v>
      </c>
      <c r="AD624" t="s">
        <v>12460</v>
      </c>
      <c r="AE624" t="s">
        <v>12461</v>
      </c>
      <c r="AF624" t="s">
        <v>74</v>
      </c>
      <c r="AG624">
        <v>44</v>
      </c>
      <c r="AH624">
        <v>5</v>
      </c>
      <c r="AI624">
        <v>5</v>
      </c>
      <c r="AJ624">
        <v>1</v>
      </c>
      <c r="AK624">
        <v>8</v>
      </c>
      <c r="AL624" t="s">
        <v>572</v>
      </c>
      <c r="AM624" t="s">
        <v>573</v>
      </c>
      <c r="AN624" t="s">
        <v>574</v>
      </c>
      <c r="AO624" t="s">
        <v>12462</v>
      </c>
      <c r="AP624" t="s">
        <v>12463</v>
      </c>
      <c r="AQ624" t="s">
        <v>74</v>
      </c>
      <c r="AR624" t="s">
        <v>12464</v>
      </c>
      <c r="AS624" t="s">
        <v>12465</v>
      </c>
      <c r="AT624" t="s">
        <v>12466</v>
      </c>
      <c r="AU624">
        <v>2022</v>
      </c>
      <c r="AV624">
        <v>102</v>
      </c>
      <c r="AW624">
        <v>4</v>
      </c>
      <c r="AX624" t="s">
        <v>74</v>
      </c>
      <c r="AY624" t="s">
        <v>74</v>
      </c>
      <c r="AZ624" t="s">
        <v>74</v>
      </c>
      <c r="BA624" t="s">
        <v>74</v>
      </c>
      <c r="BB624">
        <v>1674</v>
      </c>
      <c r="BC624">
        <v>1683</v>
      </c>
      <c r="BD624" t="s">
        <v>74</v>
      </c>
      <c r="BE624" t="s">
        <v>12467</v>
      </c>
      <c r="BF624" t="str">
        <f>HYPERLINK("http://dx.doi.org/10.1002/jsfa.11507","http://dx.doi.org/10.1002/jsfa.11507")</f>
        <v>http://dx.doi.org/10.1002/jsfa.11507</v>
      </c>
      <c r="BG624" t="s">
        <v>74</v>
      </c>
      <c r="BH624" t="s">
        <v>11189</v>
      </c>
      <c r="BI624">
        <v>10</v>
      </c>
      <c r="BJ624" t="s">
        <v>12468</v>
      </c>
      <c r="BK624" t="s">
        <v>101</v>
      </c>
      <c r="BL624" t="s">
        <v>12469</v>
      </c>
      <c r="BM624" t="s">
        <v>12470</v>
      </c>
      <c r="BN624">
        <v>34453344</v>
      </c>
      <c r="BO624" t="s">
        <v>74</v>
      </c>
      <c r="BP624" t="s">
        <v>74</v>
      </c>
      <c r="BQ624" t="s">
        <v>74</v>
      </c>
      <c r="BR624" t="s">
        <v>105</v>
      </c>
      <c r="BS624" t="s">
        <v>12471</v>
      </c>
      <c r="BT624" t="str">
        <f>HYPERLINK("https%3A%2F%2Fwww.webofscience.com%2Fwos%2Fwoscc%2Ffull-record%2FWOS:000697224000001","View Full Record in Web of Science")</f>
        <v>View Full Record in Web of Science</v>
      </c>
    </row>
    <row r="625" spans="1:72" x14ac:dyDescent="0.15">
      <c r="A625" t="s">
        <v>72</v>
      </c>
      <c r="B625" t="s">
        <v>12472</v>
      </c>
      <c r="C625" t="s">
        <v>74</v>
      </c>
      <c r="D625" t="s">
        <v>74</v>
      </c>
      <c r="E625" t="s">
        <v>74</v>
      </c>
      <c r="F625" t="s">
        <v>12473</v>
      </c>
      <c r="G625" t="s">
        <v>74</v>
      </c>
      <c r="H625" t="s">
        <v>74</v>
      </c>
      <c r="I625" t="s">
        <v>12474</v>
      </c>
      <c r="J625" t="s">
        <v>12475</v>
      </c>
      <c r="K625" t="s">
        <v>74</v>
      </c>
      <c r="L625" t="s">
        <v>74</v>
      </c>
      <c r="M625" t="s">
        <v>78</v>
      </c>
      <c r="N625" t="s">
        <v>79</v>
      </c>
      <c r="O625" t="s">
        <v>74</v>
      </c>
      <c r="P625" t="s">
        <v>74</v>
      </c>
      <c r="Q625" t="s">
        <v>74</v>
      </c>
      <c r="R625" t="s">
        <v>74</v>
      </c>
      <c r="S625" t="s">
        <v>74</v>
      </c>
      <c r="T625" t="s">
        <v>12476</v>
      </c>
      <c r="U625" t="s">
        <v>12477</v>
      </c>
      <c r="V625" t="s">
        <v>12478</v>
      </c>
      <c r="W625" t="s">
        <v>12479</v>
      </c>
      <c r="X625" t="s">
        <v>12480</v>
      </c>
      <c r="Y625" t="s">
        <v>12481</v>
      </c>
      <c r="Z625" t="s">
        <v>12482</v>
      </c>
      <c r="AA625" t="s">
        <v>74</v>
      </c>
      <c r="AB625" t="s">
        <v>12483</v>
      </c>
      <c r="AC625" t="s">
        <v>74</v>
      </c>
      <c r="AD625" t="s">
        <v>74</v>
      </c>
      <c r="AE625" t="s">
        <v>74</v>
      </c>
      <c r="AF625" t="s">
        <v>74</v>
      </c>
      <c r="AG625">
        <v>10</v>
      </c>
      <c r="AH625">
        <v>3</v>
      </c>
      <c r="AI625">
        <v>3</v>
      </c>
      <c r="AJ625">
        <v>1</v>
      </c>
      <c r="AK625">
        <v>5</v>
      </c>
      <c r="AL625" t="s">
        <v>198</v>
      </c>
      <c r="AM625" t="s">
        <v>199</v>
      </c>
      <c r="AN625" t="s">
        <v>200</v>
      </c>
      <c r="AO625" t="s">
        <v>12484</v>
      </c>
      <c r="AP625" t="s">
        <v>12485</v>
      </c>
      <c r="AQ625" t="s">
        <v>74</v>
      </c>
      <c r="AR625" t="s">
        <v>12486</v>
      </c>
      <c r="AS625" t="s">
        <v>12487</v>
      </c>
      <c r="AT625" t="s">
        <v>6525</v>
      </c>
      <c r="AU625">
        <v>2023</v>
      </c>
      <c r="AV625">
        <v>35</v>
      </c>
      <c r="AW625">
        <v>2</v>
      </c>
      <c r="AX625" t="s">
        <v>74</v>
      </c>
      <c r="AY625" t="s">
        <v>74</v>
      </c>
      <c r="AZ625" t="s">
        <v>74</v>
      </c>
      <c r="BA625" t="s">
        <v>74</v>
      </c>
      <c r="BB625">
        <v>437</v>
      </c>
      <c r="BC625">
        <v>447</v>
      </c>
      <c r="BD625" t="s">
        <v>74</v>
      </c>
      <c r="BE625" t="s">
        <v>12488</v>
      </c>
      <c r="BF625" t="str">
        <f>HYPERLINK("http://dx.doi.org/10.1080/10454438.2021.1976346","http://dx.doi.org/10.1080/10454438.2021.1976346")</f>
        <v>http://dx.doi.org/10.1080/10454438.2021.1976346</v>
      </c>
      <c r="BG625" t="s">
        <v>74</v>
      </c>
      <c r="BH625" t="s">
        <v>11189</v>
      </c>
      <c r="BI625">
        <v>11</v>
      </c>
      <c r="BJ625" t="s">
        <v>700</v>
      </c>
      <c r="BK625" t="s">
        <v>1629</v>
      </c>
      <c r="BL625" t="s">
        <v>700</v>
      </c>
      <c r="BM625" t="s">
        <v>12489</v>
      </c>
      <c r="BN625" t="s">
        <v>74</v>
      </c>
      <c r="BO625" t="s">
        <v>74</v>
      </c>
      <c r="BP625" t="s">
        <v>74</v>
      </c>
      <c r="BQ625" t="s">
        <v>74</v>
      </c>
      <c r="BR625" t="s">
        <v>105</v>
      </c>
      <c r="BS625" t="s">
        <v>12490</v>
      </c>
      <c r="BT625" t="str">
        <f>HYPERLINK("https%3A%2F%2Fwww.webofscience.com%2Fwos%2Fwoscc%2Ffull-record%2FWOS:000698215500001","View Full Record in Web of Science")</f>
        <v>View Full Record in Web of Science</v>
      </c>
    </row>
    <row r="626" spans="1:72" x14ac:dyDescent="0.15">
      <c r="A626" t="s">
        <v>72</v>
      </c>
      <c r="B626" t="s">
        <v>12491</v>
      </c>
      <c r="C626" t="s">
        <v>74</v>
      </c>
      <c r="D626" t="s">
        <v>74</v>
      </c>
      <c r="E626" t="s">
        <v>74</v>
      </c>
      <c r="F626" t="s">
        <v>12492</v>
      </c>
      <c r="G626" t="s">
        <v>74</v>
      </c>
      <c r="H626" t="s">
        <v>74</v>
      </c>
      <c r="I626" t="s">
        <v>12493</v>
      </c>
      <c r="J626" t="s">
        <v>7650</v>
      </c>
      <c r="K626" t="s">
        <v>74</v>
      </c>
      <c r="L626" t="s">
        <v>74</v>
      </c>
      <c r="M626" t="s">
        <v>78</v>
      </c>
      <c r="N626" t="s">
        <v>79</v>
      </c>
      <c r="O626" t="s">
        <v>74</v>
      </c>
      <c r="P626" t="s">
        <v>74</v>
      </c>
      <c r="Q626" t="s">
        <v>74</v>
      </c>
      <c r="R626" t="s">
        <v>74</v>
      </c>
      <c r="S626" t="s">
        <v>74</v>
      </c>
      <c r="T626" t="s">
        <v>12494</v>
      </c>
      <c r="U626" t="s">
        <v>12495</v>
      </c>
      <c r="V626" t="s">
        <v>12496</v>
      </c>
      <c r="W626" t="s">
        <v>12497</v>
      </c>
      <c r="X626" t="s">
        <v>12498</v>
      </c>
      <c r="Y626" t="s">
        <v>12499</v>
      </c>
      <c r="Z626" t="s">
        <v>12500</v>
      </c>
      <c r="AA626" t="s">
        <v>12501</v>
      </c>
      <c r="AB626" t="s">
        <v>12502</v>
      </c>
      <c r="AC626" t="s">
        <v>74</v>
      </c>
      <c r="AD626" t="s">
        <v>74</v>
      </c>
      <c r="AE626" t="s">
        <v>74</v>
      </c>
      <c r="AF626" t="s">
        <v>74</v>
      </c>
      <c r="AG626">
        <v>97</v>
      </c>
      <c r="AH626">
        <v>8</v>
      </c>
      <c r="AI626">
        <v>9</v>
      </c>
      <c r="AJ626">
        <v>4</v>
      </c>
      <c r="AK626">
        <v>15</v>
      </c>
      <c r="AL626" t="s">
        <v>7663</v>
      </c>
      <c r="AM626" t="s">
        <v>7664</v>
      </c>
      <c r="AN626" t="s">
        <v>7665</v>
      </c>
      <c r="AO626" t="s">
        <v>7666</v>
      </c>
      <c r="AP626" t="s">
        <v>74</v>
      </c>
      <c r="AQ626" t="s">
        <v>74</v>
      </c>
      <c r="AR626" t="s">
        <v>7667</v>
      </c>
      <c r="AS626" t="s">
        <v>7668</v>
      </c>
      <c r="AT626" t="s">
        <v>7760</v>
      </c>
      <c r="AU626">
        <v>2021</v>
      </c>
      <c r="AV626">
        <v>12</v>
      </c>
      <c r="AW626">
        <v>10</v>
      </c>
      <c r="AX626" t="s">
        <v>74</v>
      </c>
      <c r="AY626" t="s">
        <v>74</v>
      </c>
      <c r="AZ626" t="s">
        <v>74</v>
      </c>
      <c r="BA626" t="s">
        <v>74</v>
      </c>
      <c r="BB626" t="s">
        <v>74</v>
      </c>
      <c r="BC626" t="s">
        <v>74</v>
      </c>
      <c r="BD626">
        <v>101203</v>
      </c>
      <c r="BE626" t="s">
        <v>12503</v>
      </c>
      <c r="BF626" t="str">
        <f>HYPERLINK("http://dx.doi.org/10.1016/j.apr.2021.101203","http://dx.doi.org/10.1016/j.apr.2021.101203")</f>
        <v>http://dx.doi.org/10.1016/j.apr.2021.101203</v>
      </c>
      <c r="BG626" t="s">
        <v>74</v>
      </c>
      <c r="BH626" t="s">
        <v>11189</v>
      </c>
      <c r="BI626">
        <v>8</v>
      </c>
      <c r="BJ626" t="s">
        <v>856</v>
      </c>
      <c r="BK626" t="s">
        <v>101</v>
      </c>
      <c r="BL626" t="s">
        <v>630</v>
      </c>
      <c r="BM626" t="s">
        <v>12504</v>
      </c>
      <c r="BN626" t="s">
        <v>74</v>
      </c>
      <c r="BO626" t="s">
        <v>74</v>
      </c>
      <c r="BP626" t="s">
        <v>74</v>
      </c>
      <c r="BQ626" t="s">
        <v>74</v>
      </c>
      <c r="BR626" t="s">
        <v>105</v>
      </c>
      <c r="BS626" t="s">
        <v>12505</v>
      </c>
      <c r="BT626" t="str">
        <f>HYPERLINK("https%3A%2F%2Fwww.webofscience.com%2Fwos%2Fwoscc%2Ffull-record%2FWOS:000712823000002","View Full Record in Web of Science")</f>
        <v>View Full Record in Web of Science</v>
      </c>
    </row>
    <row r="627" spans="1:72" x14ac:dyDescent="0.15">
      <c r="A627" t="s">
        <v>72</v>
      </c>
      <c r="B627" t="s">
        <v>12506</v>
      </c>
      <c r="C627" t="s">
        <v>74</v>
      </c>
      <c r="D627" t="s">
        <v>74</v>
      </c>
      <c r="E627" t="s">
        <v>74</v>
      </c>
      <c r="F627" t="s">
        <v>12507</v>
      </c>
      <c r="G627" t="s">
        <v>74</v>
      </c>
      <c r="H627" t="s">
        <v>74</v>
      </c>
      <c r="I627" t="s">
        <v>12508</v>
      </c>
      <c r="J627" t="s">
        <v>12509</v>
      </c>
      <c r="K627" t="s">
        <v>74</v>
      </c>
      <c r="L627" t="s">
        <v>74</v>
      </c>
      <c r="M627" t="s">
        <v>78</v>
      </c>
      <c r="N627" t="s">
        <v>79</v>
      </c>
      <c r="O627" t="s">
        <v>74</v>
      </c>
      <c r="P627" t="s">
        <v>74</v>
      </c>
      <c r="Q627" t="s">
        <v>74</v>
      </c>
      <c r="R627" t="s">
        <v>74</v>
      </c>
      <c r="S627" t="s">
        <v>74</v>
      </c>
      <c r="T627" t="s">
        <v>12510</v>
      </c>
      <c r="U627" t="s">
        <v>12511</v>
      </c>
      <c r="V627" t="s">
        <v>12512</v>
      </c>
      <c r="W627" t="s">
        <v>12513</v>
      </c>
      <c r="X627" t="s">
        <v>12514</v>
      </c>
      <c r="Y627" t="s">
        <v>12515</v>
      </c>
      <c r="Z627" t="s">
        <v>12516</v>
      </c>
      <c r="AA627" t="s">
        <v>12517</v>
      </c>
      <c r="AB627" t="s">
        <v>12518</v>
      </c>
      <c r="AC627" t="s">
        <v>12519</v>
      </c>
      <c r="AD627" t="s">
        <v>12520</v>
      </c>
      <c r="AE627" t="s">
        <v>12521</v>
      </c>
      <c r="AF627" t="s">
        <v>74</v>
      </c>
      <c r="AG627">
        <v>77</v>
      </c>
      <c r="AH627">
        <v>2</v>
      </c>
      <c r="AI627">
        <v>2</v>
      </c>
      <c r="AJ627">
        <v>3</v>
      </c>
      <c r="AK627">
        <v>21</v>
      </c>
      <c r="AL627" t="s">
        <v>3285</v>
      </c>
      <c r="AM627" t="s">
        <v>3286</v>
      </c>
      <c r="AN627" t="s">
        <v>3287</v>
      </c>
      <c r="AO627" t="s">
        <v>12522</v>
      </c>
      <c r="AP627" t="s">
        <v>12523</v>
      </c>
      <c r="AQ627" t="s">
        <v>74</v>
      </c>
      <c r="AR627" t="s">
        <v>12524</v>
      </c>
      <c r="AS627" t="s">
        <v>12525</v>
      </c>
      <c r="AT627" t="s">
        <v>338</v>
      </c>
      <c r="AU627">
        <v>2022</v>
      </c>
      <c r="AV627">
        <v>204</v>
      </c>
      <c r="AW627" t="s">
        <v>74</v>
      </c>
      <c r="AX627" t="s">
        <v>12526</v>
      </c>
      <c r="AY627" t="s">
        <v>74</v>
      </c>
      <c r="AZ627" t="s">
        <v>74</v>
      </c>
      <c r="BA627" t="s">
        <v>74</v>
      </c>
      <c r="BB627" t="s">
        <v>74</v>
      </c>
      <c r="BC627" t="s">
        <v>74</v>
      </c>
      <c r="BD627">
        <v>112075</v>
      </c>
      <c r="BE627" t="s">
        <v>12527</v>
      </c>
      <c r="BF627" t="str">
        <f>HYPERLINK("http://dx.doi.org/10.1016/j.envres.2021.112075","http://dx.doi.org/10.1016/j.envres.2021.112075")</f>
        <v>http://dx.doi.org/10.1016/j.envres.2021.112075</v>
      </c>
      <c r="BG627" t="s">
        <v>74</v>
      </c>
      <c r="BH627" t="s">
        <v>11189</v>
      </c>
      <c r="BI627">
        <v>10</v>
      </c>
      <c r="BJ627" t="s">
        <v>12528</v>
      </c>
      <c r="BK627" t="s">
        <v>101</v>
      </c>
      <c r="BL627" t="s">
        <v>12529</v>
      </c>
      <c r="BM627" t="s">
        <v>12530</v>
      </c>
      <c r="BN627">
        <v>34536374</v>
      </c>
      <c r="BO627" t="s">
        <v>74</v>
      </c>
      <c r="BP627" t="s">
        <v>74</v>
      </c>
      <c r="BQ627" t="s">
        <v>74</v>
      </c>
      <c r="BR627" t="s">
        <v>105</v>
      </c>
      <c r="BS627" t="s">
        <v>12531</v>
      </c>
      <c r="BT627" t="str">
        <f>HYPERLINK("https%3A%2F%2Fwww.webofscience.com%2Fwos%2Fwoscc%2Ffull-record%2FWOS:000704705500008","View Full Record in Web of Science")</f>
        <v>View Full Record in Web of Science</v>
      </c>
    </row>
    <row r="628" spans="1:72" x14ac:dyDescent="0.15">
      <c r="A628" t="s">
        <v>72</v>
      </c>
      <c r="B628" t="s">
        <v>12532</v>
      </c>
      <c r="C628" t="s">
        <v>74</v>
      </c>
      <c r="D628" t="s">
        <v>74</v>
      </c>
      <c r="E628" t="s">
        <v>74</v>
      </c>
      <c r="F628" t="s">
        <v>12533</v>
      </c>
      <c r="G628" t="s">
        <v>74</v>
      </c>
      <c r="H628" t="s">
        <v>74</v>
      </c>
      <c r="I628" t="s">
        <v>12534</v>
      </c>
      <c r="J628" t="s">
        <v>1377</v>
      </c>
      <c r="K628" t="s">
        <v>74</v>
      </c>
      <c r="L628" t="s">
        <v>74</v>
      </c>
      <c r="M628" t="s">
        <v>78</v>
      </c>
      <c r="N628" t="s">
        <v>79</v>
      </c>
      <c r="O628" t="s">
        <v>74</v>
      </c>
      <c r="P628" t="s">
        <v>74</v>
      </c>
      <c r="Q628" t="s">
        <v>74</v>
      </c>
      <c r="R628" t="s">
        <v>74</v>
      </c>
      <c r="S628" t="s">
        <v>74</v>
      </c>
      <c r="T628" t="s">
        <v>12535</v>
      </c>
      <c r="U628" t="s">
        <v>12536</v>
      </c>
      <c r="V628" t="s">
        <v>12537</v>
      </c>
      <c r="W628" t="s">
        <v>12538</v>
      </c>
      <c r="X628" t="s">
        <v>12539</v>
      </c>
      <c r="Y628" t="s">
        <v>12540</v>
      </c>
      <c r="Z628" t="s">
        <v>12541</v>
      </c>
      <c r="AA628" t="s">
        <v>12542</v>
      </c>
      <c r="AB628" t="s">
        <v>74</v>
      </c>
      <c r="AC628" t="s">
        <v>12543</v>
      </c>
      <c r="AD628" t="s">
        <v>12544</v>
      </c>
      <c r="AE628" t="s">
        <v>12545</v>
      </c>
      <c r="AF628" t="s">
        <v>74</v>
      </c>
      <c r="AG628">
        <v>167</v>
      </c>
      <c r="AH628">
        <v>4</v>
      </c>
      <c r="AI628">
        <v>4</v>
      </c>
      <c r="AJ628">
        <v>2</v>
      </c>
      <c r="AK628">
        <v>16</v>
      </c>
      <c r="AL628" t="s">
        <v>255</v>
      </c>
      <c r="AM628" t="s">
        <v>256</v>
      </c>
      <c r="AN628" t="s">
        <v>257</v>
      </c>
      <c r="AO628" t="s">
        <v>1390</v>
      </c>
      <c r="AP628" t="s">
        <v>1391</v>
      </c>
      <c r="AQ628" t="s">
        <v>74</v>
      </c>
      <c r="AR628" t="s">
        <v>1392</v>
      </c>
      <c r="AS628" t="s">
        <v>1393</v>
      </c>
      <c r="AT628" t="s">
        <v>8017</v>
      </c>
      <c r="AU628">
        <v>2021</v>
      </c>
      <c r="AV628">
        <v>270</v>
      </c>
      <c r="AW628" t="s">
        <v>74</v>
      </c>
      <c r="AX628" t="s">
        <v>74</v>
      </c>
      <c r="AY628" t="s">
        <v>74</v>
      </c>
      <c r="AZ628" t="s">
        <v>74</v>
      </c>
      <c r="BA628" t="s">
        <v>74</v>
      </c>
      <c r="BB628" t="s">
        <v>74</v>
      </c>
      <c r="BC628" t="s">
        <v>74</v>
      </c>
      <c r="BD628">
        <v>107159</v>
      </c>
      <c r="BE628" t="s">
        <v>12546</v>
      </c>
      <c r="BF628" t="str">
        <f>HYPERLINK("http://dx.doi.org/10.1016/j.quascirev.2021.107159","http://dx.doi.org/10.1016/j.quascirev.2021.107159")</f>
        <v>http://dx.doi.org/10.1016/j.quascirev.2021.107159</v>
      </c>
      <c r="BG628" t="s">
        <v>74</v>
      </c>
      <c r="BH628" t="s">
        <v>11189</v>
      </c>
      <c r="BI628">
        <v>16</v>
      </c>
      <c r="BJ628" t="s">
        <v>340</v>
      </c>
      <c r="BK628" t="s">
        <v>101</v>
      </c>
      <c r="BL628" t="s">
        <v>341</v>
      </c>
      <c r="BM628" t="s">
        <v>12547</v>
      </c>
      <c r="BN628" t="s">
        <v>74</v>
      </c>
      <c r="BO628" t="s">
        <v>314</v>
      </c>
      <c r="BP628" t="s">
        <v>74</v>
      </c>
      <c r="BQ628" t="s">
        <v>74</v>
      </c>
      <c r="BR628" t="s">
        <v>105</v>
      </c>
      <c r="BS628" t="s">
        <v>12548</v>
      </c>
      <c r="BT628" t="str">
        <f>HYPERLINK("https%3A%2F%2Fwww.webofscience.com%2Fwos%2Fwoscc%2Ffull-record%2FWOS:000703094700006","View Full Record in Web of Science")</f>
        <v>View Full Record in Web of Science</v>
      </c>
    </row>
    <row r="629" spans="1:72" x14ac:dyDescent="0.15">
      <c r="A629" t="s">
        <v>72</v>
      </c>
      <c r="B629" t="s">
        <v>12549</v>
      </c>
      <c r="C629" t="s">
        <v>74</v>
      </c>
      <c r="D629" t="s">
        <v>74</v>
      </c>
      <c r="E629" t="s">
        <v>74</v>
      </c>
      <c r="F629" t="s">
        <v>12550</v>
      </c>
      <c r="G629" t="s">
        <v>74</v>
      </c>
      <c r="H629" t="s">
        <v>74</v>
      </c>
      <c r="I629" t="s">
        <v>12551</v>
      </c>
      <c r="J629" t="s">
        <v>12145</v>
      </c>
      <c r="K629" t="s">
        <v>74</v>
      </c>
      <c r="L629" t="s">
        <v>74</v>
      </c>
      <c r="M629" t="s">
        <v>78</v>
      </c>
      <c r="N629" t="s">
        <v>79</v>
      </c>
      <c r="O629" t="s">
        <v>74</v>
      </c>
      <c r="P629" t="s">
        <v>74</v>
      </c>
      <c r="Q629" t="s">
        <v>74</v>
      </c>
      <c r="R629" t="s">
        <v>74</v>
      </c>
      <c r="S629" t="s">
        <v>74</v>
      </c>
      <c r="T629" t="s">
        <v>12552</v>
      </c>
      <c r="U629" t="s">
        <v>12553</v>
      </c>
      <c r="V629" t="s">
        <v>12554</v>
      </c>
      <c r="W629" t="s">
        <v>12555</v>
      </c>
      <c r="X629" t="s">
        <v>1768</v>
      </c>
      <c r="Y629" t="s">
        <v>12556</v>
      </c>
      <c r="Z629" t="s">
        <v>12557</v>
      </c>
      <c r="AA629" t="s">
        <v>12558</v>
      </c>
      <c r="AB629" t="s">
        <v>12559</v>
      </c>
      <c r="AC629" t="s">
        <v>12560</v>
      </c>
      <c r="AD629" t="s">
        <v>12561</v>
      </c>
      <c r="AE629" t="s">
        <v>12562</v>
      </c>
      <c r="AF629" t="s">
        <v>74</v>
      </c>
      <c r="AG629">
        <v>52</v>
      </c>
      <c r="AH629">
        <v>7</v>
      </c>
      <c r="AI629">
        <v>7</v>
      </c>
      <c r="AJ629">
        <v>0</v>
      </c>
      <c r="AK629">
        <v>6</v>
      </c>
      <c r="AL629" t="s">
        <v>1326</v>
      </c>
      <c r="AM629" t="s">
        <v>256</v>
      </c>
      <c r="AN629" t="s">
        <v>1327</v>
      </c>
      <c r="AO629" t="s">
        <v>12157</v>
      </c>
      <c r="AP629" t="s">
        <v>12158</v>
      </c>
      <c r="AQ629" t="s">
        <v>74</v>
      </c>
      <c r="AR629" t="s">
        <v>12159</v>
      </c>
      <c r="AS629" t="s">
        <v>12160</v>
      </c>
      <c r="AT629" t="s">
        <v>7760</v>
      </c>
      <c r="AU629">
        <v>2021</v>
      </c>
      <c r="AV629">
        <v>171</v>
      </c>
      <c r="AW629" t="s">
        <v>74</v>
      </c>
      <c r="AX629" t="s">
        <v>74</v>
      </c>
      <c r="AY629" t="s">
        <v>74</v>
      </c>
      <c r="AZ629" t="s">
        <v>74</v>
      </c>
      <c r="BA629" t="s">
        <v>74</v>
      </c>
      <c r="BB629" t="s">
        <v>74</v>
      </c>
      <c r="BC629" t="s">
        <v>74</v>
      </c>
      <c r="BD629">
        <v>105450</v>
      </c>
      <c r="BE629" t="s">
        <v>12563</v>
      </c>
      <c r="BF629" t="str">
        <f>HYPERLINK("http://dx.doi.org/10.1016/j.marenvres.2021.105450","http://dx.doi.org/10.1016/j.marenvres.2021.105450")</f>
        <v>http://dx.doi.org/10.1016/j.marenvres.2021.105450</v>
      </c>
      <c r="BG629" t="s">
        <v>74</v>
      </c>
      <c r="BH629" t="s">
        <v>11189</v>
      </c>
      <c r="BI629">
        <v>8</v>
      </c>
      <c r="BJ629" t="s">
        <v>12162</v>
      </c>
      <c r="BK629" t="s">
        <v>101</v>
      </c>
      <c r="BL629" t="s">
        <v>12163</v>
      </c>
      <c r="BM629" t="s">
        <v>12564</v>
      </c>
      <c r="BN629">
        <v>34543878</v>
      </c>
      <c r="BO629" t="s">
        <v>74</v>
      </c>
      <c r="BP629" t="s">
        <v>74</v>
      </c>
      <c r="BQ629" t="s">
        <v>74</v>
      </c>
      <c r="BR629" t="s">
        <v>105</v>
      </c>
      <c r="BS629" t="s">
        <v>12565</v>
      </c>
      <c r="BT629" t="str">
        <f>HYPERLINK("https%3A%2F%2Fwww.webofscience.com%2Fwos%2Fwoscc%2Ffull-record%2FWOS:000702785100008","View Full Record in Web of Science")</f>
        <v>View Full Record in Web of Science</v>
      </c>
    </row>
    <row r="630" spans="1:72" x14ac:dyDescent="0.15">
      <c r="A630" t="s">
        <v>72</v>
      </c>
      <c r="B630" t="s">
        <v>12566</v>
      </c>
      <c r="C630" t="s">
        <v>74</v>
      </c>
      <c r="D630" t="s">
        <v>74</v>
      </c>
      <c r="E630" t="s">
        <v>74</v>
      </c>
      <c r="F630" t="s">
        <v>12567</v>
      </c>
      <c r="G630" t="s">
        <v>74</v>
      </c>
      <c r="H630" t="s">
        <v>74</v>
      </c>
      <c r="I630" t="s">
        <v>12568</v>
      </c>
      <c r="J630" t="s">
        <v>536</v>
      </c>
      <c r="K630" t="s">
        <v>74</v>
      </c>
      <c r="L630" t="s">
        <v>74</v>
      </c>
      <c r="M630" t="s">
        <v>78</v>
      </c>
      <c r="N630" t="s">
        <v>79</v>
      </c>
      <c r="O630" t="s">
        <v>74</v>
      </c>
      <c r="P630" t="s">
        <v>74</v>
      </c>
      <c r="Q630" t="s">
        <v>74</v>
      </c>
      <c r="R630" t="s">
        <v>74</v>
      </c>
      <c r="S630" t="s">
        <v>74</v>
      </c>
      <c r="T630" t="s">
        <v>74</v>
      </c>
      <c r="U630" t="s">
        <v>12569</v>
      </c>
      <c r="V630" t="s">
        <v>12570</v>
      </c>
      <c r="W630" t="s">
        <v>12571</v>
      </c>
      <c r="X630" t="s">
        <v>12572</v>
      </c>
      <c r="Y630" t="s">
        <v>8801</v>
      </c>
      <c r="Z630" t="s">
        <v>8802</v>
      </c>
      <c r="AA630" t="s">
        <v>12573</v>
      </c>
      <c r="AB630" t="s">
        <v>12574</v>
      </c>
      <c r="AC630" t="s">
        <v>12575</v>
      </c>
      <c r="AD630" t="s">
        <v>12576</v>
      </c>
      <c r="AE630" t="s">
        <v>12577</v>
      </c>
      <c r="AF630" t="s">
        <v>74</v>
      </c>
      <c r="AG630">
        <v>99</v>
      </c>
      <c r="AH630">
        <v>30</v>
      </c>
      <c r="AI630">
        <v>31</v>
      </c>
      <c r="AJ630">
        <v>2</v>
      </c>
      <c r="AK630">
        <v>21</v>
      </c>
      <c r="AL630" t="s">
        <v>227</v>
      </c>
      <c r="AM630" t="s">
        <v>228</v>
      </c>
      <c r="AN630" t="s">
        <v>229</v>
      </c>
      <c r="AO630" t="s">
        <v>548</v>
      </c>
      <c r="AP630" t="s">
        <v>549</v>
      </c>
      <c r="AQ630" t="s">
        <v>74</v>
      </c>
      <c r="AR630" t="s">
        <v>550</v>
      </c>
      <c r="AS630" t="s">
        <v>551</v>
      </c>
      <c r="AT630" t="s">
        <v>12578</v>
      </c>
      <c r="AU630">
        <v>2021</v>
      </c>
      <c r="AV630">
        <v>21</v>
      </c>
      <c r="AW630">
        <v>18</v>
      </c>
      <c r="AX630" t="s">
        <v>74</v>
      </c>
      <c r="AY630" t="s">
        <v>74</v>
      </c>
      <c r="AZ630" t="s">
        <v>74</v>
      </c>
      <c r="BA630" t="s">
        <v>74</v>
      </c>
      <c r="BB630">
        <v>13855</v>
      </c>
      <c r="BC630">
        <v>13902</v>
      </c>
      <c r="BD630" t="s">
        <v>74</v>
      </c>
      <c r="BE630" t="s">
        <v>12579</v>
      </c>
      <c r="BF630" t="str">
        <f>HYPERLINK("http://dx.doi.org/10.5194/acp-21-13855-2021","http://dx.doi.org/10.5194/acp-21-13855-2021")</f>
        <v>http://dx.doi.org/10.5194/acp-21-13855-2021</v>
      </c>
      <c r="BG630" t="s">
        <v>74</v>
      </c>
      <c r="BH630" t="s">
        <v>74</v>
      </c>
      <c r="BI630">
        <v>48</v>
      </c>
      <c r="BJ630" t="s">
        <v>100</v>
      </c>
      <c r="BK630" t="s">
        <v>101</v>
      </c>
      <c r="BL630" t="s">
        <v>102</v>
      </c>
      <c r="BM630" t="s">
        <v>12580</v>
      </c>
      <c r="BN630" t="s">
        <v>74</v>
      </c>
      <c r="BO630" t="s">
        <v>8814</v>
      </c>
      <c r="BP630" t="s">
        <v>74</v>
      </c>
      <c r="BQ630" t="s">
        <v>74</v>
      </c>
      <c r="BR630" t="s">
        <v>105</v>
      </c>
      <c r="BS630" t="s">
        <v>12581</v>
      </c>
      <c r="BT630" t="str">
        <f>HYPERLINK("https%3A%2F%2Fwww.webofscience.com%2Fwos%2Fwoscc%2Ffull-record%2FWOS:000697321200004","View Full Record in Web of Science")</f>
        <v>View Full Record in Web of Science</v>
      </c>
    </row>
    <row r="631" spans="1:72" x14ac:dyDescent="0.15">
      <c r="A631" t="s">
        <v>72</v>
      </c>
      <c r="B631" t="s">
        <v>12582</v>
      </c>
      <c r="C631" t="s">
        <v>74</v>
      </c>
      <c r="D631" t="s">
        <v>74</v>
      </c>
      <c r="E631" t="s">
        <v>74</v>
      </c>
      <c r="F631" t="s">
        <v>12583</v>
      </c>
      <c r="G631" t="s">
        <v>74</v>
      </c>
      <c r="H631" t="s">
        <v>74</v>
      </c>
      <c r="I631" t="s">
        <v>12584</v>
      </c>
      <c r="J631" t="s">
        <v>2675</v>
      </c>
      <c r="K631" t="s">
        <v>74</v>
      </c>
      <c r="L631" t="s">
        <v>74</v>
      </c>
      <c r="M631" t="s">
        <v>78</v>
      </c>
      <c r="N631" t="s">
        <v>79</v>
      </c>
      <c r="O631" t="s">
        <v>74</v>
      </c>
      <c r="P631" t="s">
        <v>74</v>
      </c>
      <c r="Q631" t="s">
        <v>74</v>
      </c>
      <c r="R631" t="s">
        <v>74</v>
      </c>
      <c r="S631" t="s">
        <v>74</v>
      </c>
      <c r="T631" t="s">
        <v>74</v>
      </c>
      <c r="U631" t="s">
        <v>12585</v>
      </c>
      <c r="V631" t="s">
        <v>12586</v>
      </c>
      <c r="W631" t="s">
        <v>12587</v>
      </c>
      <c r="X631" t="s">
        <v>12588</v>
      </c>
      <c r="Y631" t="s">
        <v>12589</v>
      </c>
      <c r="Z631" t="s">
        <v>12590</v>
      </c>
      <c r="AA631" t="s">
        <v>12591</v>
      </c>
      <c r="AB631" t="s">
        <v>12592</v>
      </c>
      <c r="AC631" t="s">
        <v>12593</v>
      </c>
      <c r="AD631" t="s">
        <v>12594</v>
      </c>
      <c r="AE631" t="s">
        <v>12595</v>
      </c>
      <c r="AF631" t="s">
        <v>74</v>
      </c>
      <c r="AG631">
        <v>66</v>
      </c>
      <c r="AH631">
        <v>5</v>
      </c>
      <c r="AI631">
        <v>6</v>
      </c>
      <c r="AJ631">
        <v>2</v>
      </c>
      <c r="AK631">
        <v>13</v>
      </c>
      <c r="AL631" t="s">
        <v>227</v>
      </c>
      <c r="AM631" t="s">
        <v>228</v>
      </c>
      <c r="AN631" t="s">
        <v>229</v>
      </c>
      <c r="AO631" t="s">
        <v>2687</v>
      </c>
      <c r="AP631" t="s">
        <v>2688</v>
      </c>
      <c r="AQ631" t="s">
        <v>74</v>
      </c>
      <c r="AR631" t="s">
        <v>2689</v>
      </c>
      <c r="AS631" t="s">
        <v>2690</v>
      </c>
      <c r="AT631" t="s">
        <v>12578</v>
      </c>
      <c r="AU631">
        <v>2021</v>
      </c>
      <c r="AV631">
        <v>17</v>
      </c>
      <c r="AW631">
        <v>5</v>
      </c>
      <c r="AX631" t="s">
        <v>74</v>
      </c>
      <c r="AY631" t="s">
        <v>74</v>
      </c>
      <c r="AZ631" t="s">
        <v>74</v>
      </c>
      <c r="BA631" t="s">
        <v>74</v>
      </c>
      <c r="BB631">
        <v>1841</v>
      </c>
      <c r="BC631">
        <v>1855</v>
      </c>
      <c r="BD631" t="s">
        <v>74</v>
      </c>
      <c r="BE631" t="s">
        <v>12596</v>
      </c>
      <c r="BF631" t="str">
        <f>HYPERLINK("http://dx.doi.org/10.5194/cp-17-1841-2021","http://dx.doi.org/10.5194/cp-17-1841-2021")</f>
        <v>http://dx.doi.org/10.5194/cp-17-1841-2021</v>
      </c>
      <c r="BG631" t="s">
        <v>74</v>
      </c>
      <c r="BH631" t="s">
        <v>74</v>
      </c>
      <c r="BI631">
        <v>15</v>
      </c>
      <c r="BJ631" t="s">
        <v>1418</v>
      </c>
      <c r="BK631" t="s">
        <v>101</v>
      </c>
      <c r="BL631" t="s">
        <v>1419</v>
      </c>
      <c r="BM631" t="s">
        <v>12597</v>
      </c>
      <c r="BN631" t="s">
        <v>74</v>
      </c>
      <c r="BO631" t="s">
        <v>239</v>
      </c>
      <c r="BP631" t="s">
        <v>74</v>
      </c>
      <c r="BQ631" t="s">
        <v>74</v>
      </c>
      <c r="BR631" t="s">
        <v>105</v>
      </c>
      <c r="BS631" t="s">
        <v>12598</v>
      </c>
      <c r="BT631" t="str">
        <f>HYPERLINK("https%3A%2F%2Fwww.webofscience.com%2Fwos%2Fwoscc%2Ffull-record%2FWOS:000697322800001","View Full Record in Web of Science")</f>
        <v>View Full Record in Web of Science</v>
      </c>
    </row>
    <row r="632" spans="1:72" x14ac:dyDescent="0.15">
      <c r="A632" t="s">
        <v>72</v>
      </c>
      <c r="B632" t="s">
        <v>12599</v>
      </c>
      <c r="C632" t="s">
        <v>74</v>
      </c>
      <c r="D632" t="s">
        <v>74</v>
      </c>
      <c r="E632" t="s">
        <v>74</v>
      </c>
      <c r="F632" t="s">
        <v>12600</v>
      </c>
      <c r="G632" t="s">
        <v>74</v>
      </c>
      <c r="H632" t="s">
        <v>74</v>
      </c>
      <c r="I632" t="s">
        <v>12601</v>
      </c>
      <c r="J632" t="s">
        <v>536</v>
      </c>
      <c r="K632" t="s">
        <v>74</v>
      </c>
      <c r="L632" t="s">
        <v>74</v>
      </c>
      <c r="M632" t="s">
        <v>78</v>
      </c>
      <c r="N632" t="s">
        <v>79</v>
      </c>
      <c r="O632" t="s">
        <v>74</v>
      </c>
      <c r="P632" t="s">
        <v>74</v>
      </c>
      <c r="Q632" t="s">
        <v>74</v>
      </c>
      <c r="R632" t="s">
        <v>74</v>
      </c>
      <c r="S632" t="s">
        <v>74</v>
      </c>
      <c r="T632" t="s">
        <v>74</v>
      </c>
      <c r="U632" t="s">
        <v>12602</v>
      </c>
      <c r="V632" t="s">
        <v>12603</v>
      </c>
      <c r="W632" t="s">
        <v>12604</v>
      </c>
      <c r="X632" t="s">
        <v>12605</v>
      </c>
      <c r="Y632" t="s">
        <v>12606</v>
      </c>
      <c r="Z632" t="s">
        <v>12607</v>
      </c>
      <c r="AA632" t="s">
        <v>12608</v>
      </c>
      <c r="AB632" t="s">
        <v>12609</v>
      </c>
      <c r="AC632" t="s">
        <v>12610</v>
      </c>
      <c r="AD632" t="s">
        <v>12611</v>
      </c>
      <c r="AE632" t="s">
        <v>12612</v>
      </c>
      <c r="AF632" t="s">
        <v>74</v>
      </c>
      <c r="AG632">
        <v>44</v>
      </c>
      <c r="AH632">
        <v>10</v>
      </c>
      <c r="AI632">
        <v>11</v>
      </c>
      <c r="AJ632">
        <v>1</v>
      </c>
      <c r="AK632">
        <v>18</v>
      </c>
      <c r="AL632" t="s">
        <v>227</v>
      </c>
      <c r="AM632" t="s">
        <v>228</v>
      </c>
      <c r="AN632" t="s">
        <v>229</v>
      </c>
      <c r="AO632" t="s">
        <v>548</v>
      </c>
      <c r="AP632" t="s">
        <v>549</v>
      </c>
      <c r="AQ632" t="s">
        <v>74</v>
      </c>
      <c r="AR632" t="s">
        <v>550</v>
      </c>
      <c r="AS632" t="s">
        <v>551</v>
      </c>
      <c r="AT632" t="s">
        <v>12578</v>
      </c>
      <c r="AU632">
        <v>2021</v>
      </c>
      <c r="AV632">
        <v>21</v>
      </c>
      <c r="AW632">
        <v>18</v>
      </c>
      <c r="AX632" t="s">
        <v>74</v>
      </c>
      <c r="AY632" t="s">
        <v>74</v>
      </c>
      <c r="AZ632" t="s">
        <v>74</v>
      </c>
      <c r="BA632" t="s">
        <v>74</v>
      </c>
      <c r="BB632">
        <v>13811</v>
      </c>
      <c r="BC632">
        <v>13833</v>
      </c>
      <c r="BD632" t="s">
        <v>74</v>
      </c>
      <c r="BE632" t="s">
        <v>12613</v>
      </c>
      <c r="BF632" t="str">
        <f>HYPERLINK("http://dx.doi.org/10.5194/acp-21-13811-2021","http://dx.doi.org/10.5194/acp-21-13811-2021")</f>
        <v>http://dx.doi.org/10.5194/acp-21-13811-2021</v>
      </c>
      <c r="BG632" t="s">
        <v>74</v>
      </c>
      <c r="BH632" t="s">
        <v>74</v>
      </c>
      <c r="BI632">
        <v>23</v>
      </c>
      <c r="BJ632" t="s">
        <v>100</v>
      </c>
      <c r="BK632" t="s">
        <v>101</v>
      </c>
      <c r="BL632" t="s">
        <v>102</v>
      </c>
      <c r="BM632" t="s">
        <v>12580</v>
      </c>
      <c r="BN632" t="s">
        <v>74</v>
      </c>
      <c r="BO632" t="s">
        <v>554</v>
      </c>
      <c r="BP632" t="s">
        <v>74</v>
      </c>
      <c r="BQ632" t="s">
        <v>74</v>
      </c>
      <c r="BR632" t="s">
        <v>105</v>
      </c>
      <c r="BS632" t="s">
        <v>12614</v>
      </c>
      <c r="BT632" t="str">
        <f>HYPERLINK("https%3A%2F%2Fwww.webofscience.com%2Fwos%2Fwoscc%2Ffull-record%2FWOS:000697321200002","View Full Record in Web of Science")</f>
        <v>View Full Record in Web of Science</v>
      </c>
    </row>
    <row r="633" spans="1:72" x14ac:dyDescent="0.15">
      <c r="A633" t="s">
        <v>72</v>
      </c>
      <c r="B633" t="s">
        <v>12615</v>
      </c>
      <c r="C633" t="s">
        <v>74</v>
      </c>
      <c r="D633" t="s">
        <v>74</v>
      </c>
      <c r="E633" t="s">
        <v>74</v>
      </c>
      <c r="F633" t="s">
        <v>12616</v>
      </c>
      <c r="G633" t="s">
        <v>74</v>
      </c>
      <c r="H633" t="s">
        <v>74</v>
      </c>
      <c r="I633" t="s">
        <v>12617</v>
      </c>
      <c r="J633" t="s">
        <v>3558</v>
      </c>
      <c r="K633" t="s">
        <v>74</v>
      </c>
      <c r="L633" t="s">
        <v>74</v>
      </c>
      <c r="M633" t="s">
        <v>78</v>
      </c>
      <c r="N633" t="s">
        <v>79</v>
      </c>
      <c r="O633" t="s">
        <v>74</v>
      </c>
      <c r="P633" t="s">
        <v>74</v>
      </c>
      <c r="Q633" t="s">
        <v>74</v>
      </c>
      <c r="R633" t="s">
        <v>74</v>
      </c>
      <c r="S633" t="s">
        <v>74</v>
      </c>
      <c r="T633" t="s">
        <v>74</v>
      </c>
      <c r="U633" t="s">
        <v>12618</v>
      </c>
      <c r="V633" t="s">
        <v>12619</v>
      </c>
      <c r="W633" t="s">
        <v>12620</v>
      </c>
      <c r="X633" t="s">
        <v>12621</v>
      </c>
      <c r="Y633" t="s">
        <v>12622</v>
      </c>
      <c r="Z633" t="s">
        <v>12623</v>
      </c>
      <c r="AA633" t="s">
        <v>12624</v>
      </c>
      <c r="AB633" t="s">
        <v>12625</v>
      </c>
      <c r="AC633" t="s">
        <v>12626</v>
      </c>
      <c r="AD633" t="s">
        <v>12626</v>
      </c>
      <c r="AE633" t="s">
        <v>12627</v>
      </c>
      <c r="AF633" t="s">
        <v>74</v>
      </c>
      <c r="AG633">
        <v>73</v>
      </c>
      <c r="AH633">
        <v>5</v>
      </c>
      <c r="AI633">
        <v>6</v>
      </c>
      <c r="AJ633">
        <v>1</v>
      </c>
      <c r="AK633">
        <v>16</v>
      </c>
      <c r="AL633" t="s">
        <v>572</v>
      </c>
      <c r="AM633" t="s">
        <v>573</v>
      </c>
      <c r="AN633" t="s">
        <v>574</v>
      </c>
      <c r="AO633" t="s">
        <v>3570</v>
      </c>
      <c r="AP633" t="s">
        <v>3571</v>
      </c>
      <c r="AQ633" t="s">
        <v>74</v>
      </c>
      <c r="AR633" t="s">
        <v>3572</v>
      </c>
      <c r="AS633" t="s">
        <v>3573</v>
      </c>
      <c r="AT633" t="s">
        <v>525</v>
      </c>
      <c r="AU633">
        <v>2022</v>
      </c>
      <c r="AV633">
        <v>67</v>
      </c>
      <c r="AW633" t="s">
        <v>74</v>
      </c>
      <c r="AX633" t="s">
        <v>74</v>
      </c>
      <c r="AY633">
        <v>1</v>
      </c>
      <c r="AZ633" t="s">
        <v>526</v>
      </c>
      <c r="BA633" t="s">
        <v>74</v>
      </c>
      <c r="BB633" t="s">
        <v>12628</v>
      </c>
      <c r="BC633" t="s">
        <v>12629</v>
      </c>
      <c r="BD633" t="s">
        <v>74</v>
      </c>
      <c r="BE633" t="s">
        <v>12630</v>
      </c>
      <c r="BF633" t="str">
        <f>HYPERLINK("http://dx.doi.org/10.1002/lno.11926","http://dx.doi.org/10.1002/lno.11926")</f>
        <v>http://dx.doi.org/10.1002/lno.11926</v>
      </c>
      <c r="BG633" t="s">
        <v>74</v>
      </c>
      <c r="BH633" t="s">
        <v>11189</v>
      </c>
      <c r="BI633">
        <v>17</v>
      </c>
      <c r="BJ633" t="s">
        <v>3575</v>
      </c>
      <c r="BK633" t="s">
        <v>101</v>
      </c>
      <c r="BL633" t="s">
        <v>3136</v>
      </c>
      <c r="BM633" t="s">
        <v>12631</v>
      </c>
      <c r="BN633" t="s">
        <v>74</v>
      </c>
      <c r="BO633" t="s">
        <v>74</v>
      </c>
      <c r="BP633" t="s">
        <v>74</v>
      </c>
      <c r="BQ633" t="s">
        <v>74</v>
      </c>
      <c r="BR633" t="s">
        <v>105</v>
      </c>
      <c r="BS633" t="s">
        <v>12632</v>
      </c>
      <c r="BT633" t="str">
        <f>HYPERLINK("https%3A%2F%2Fwww.webofscience.com%2Fwos%2Fwoscc%2Ffull-record%2FWOS:000696481800001","View Full Record in Web of Science")</f>
        <v>View Full Record in Web of Science</v>
      </c>
    </row>
    <row r="634" spans="1:72" x14ac:dyDescent="0.15">
      <c r="A634" t="s">
        <v>72</v>
      </c>
      <c r="B634" t="s">
        <v>12633</v>
      </c>
      <c r="C634" t="s">
        <v>74</v>
      </c>
      <c r="D634" t="s">
        <v>74</v>
      </c>
      <c r="E634" t="s">
        <v>74</v>
      </c>
      <c r="F634" t="s">
        <v>12634</v>
      </c>
      <c r="G634" t="s">
        <v>74</v>
      </c>
      <c r="H634" t="s">
        <v>74</v>
      </c>
      <c r="I634" t="s">
        <v>12635</v>
      </c>
      <c r="J634" t="s">
        <v>6339</v>
      </c>
      <c r="K634" t="s">
        <v>74</v>
      </c>
      <c r="L634" t="s">
        <v>74</v>
      </c>
      <c r="M634" t="s">
        <v>78</v>
      </c>
      <c r="N634" t="s">
        <v>79</v>
      </c>
      <c r="O634" t="s">
        <v>74</v>
      </c>
      <c r="P634" t="s">
        <v>74</v>
      </c>
      <c r="Q634" t="s">
        <v>74</v>
      </c>
      <c r="R634" t="s">
        <v>74</v>
      </c>
      <c r="S634" t="s">
        <v>74</v>
      </c>
      <c r="T634" t="s">
        <v>12636</v>
      </c>
      <c r="U634" t="s">
        <v>12637</v>
      </c>
      <c r="V634" t="s">
        <v>12638</v>
      </c>
      <c r="W634" t="s">
        <v>12639</v>
      </c>
      <c r="X634" t="s">
        <v>12640</v>
      </c>
      <c r="Y634" t="s">
        <v>12641</v>
      </c>
      <c r="Z634" t="s">
        <v>12642</v>
      </c>
      <c r="AA634" t="s">
        <v>12643</v>
      </c>
      <c r="AB634" t="s">
        <v>12644</v>
      </c>
      <c r="AC634" t="s">
        <v>12645</v>
      </c>
      <c r="AD634" t="s">
        <v>12646</v>
      </c>
      <c r="AE634" t="s">
        <v>12647</v>
      </c>
      <c r="AF634" t="s">
        <v>74</v>
      </c>
      <c r="AG634">
        <v>95</v>
      </c>
      <c r="AH634">
        <v>3</v>
      </c>
      <c r="AI634">
        <v>3</v>
      </c>
      <c r="AJ634">
        <v>1</v>
      </c>
      <c r="AK634">
        <v>6</v>
      </c>
      <c r="AL634" t="s">
        <v>6350</v>
      </c>
      <c r="AM634" t="s">
        <v>6351</v>
      </c>
      <c r="AN634" t="s">
        <v>6352</v>
      </c>
      <c r="AO634" t="s">
        <v>6353</v>
      </c>
      <c r="AP634" t="s">
        <v>6354</v>
      </c>
      <c r="AQ634" t="s">
        <v>74</v>
      </c>
      <c r="AR634" t="s">
        <v>6355</v>
      </c>
      <c r="AS634" t="s">
        <v>6356</v>
      </c>
      <c r="AT634" t="s">
        <v>12648</v>
      </c>
      <c r="AU634">
        <v>2021</v>
      </c>
      <c r="AV634">
        <v>674</v>
      </c>
      <c r="AW634" t="s">
        <v>74</v>
      </c>
      <c r="AX634" t="s">
        <v>74</v>
      </c>
      <c r="AY634" t="s">
        <v>74</v>
      </c>
      <c r="AZ634" t="s">
        <v>74</v>
      </c>
      <c r="BA634" t="s">
        <v>74</v>
      </c>
      <c r="BB634">
        <v>189</v>
      </c>
      <c r="BC634">
        <v>202</v>
      </c>
      <c r="BD634" t="s">
        <v>74</v>
      </c>
      <c r="BE634" t="s">
        <v>12649</v>
      </c>
      <c r="BF634" t="str">
        <f>HYPERLINK("http://dx.doi.org/10.3354/meps13821","http://dx.doi.org/10.3354/meps13821")</f>
        <v>http://dx.doi.org/10.3354/meps13821</v>
      </c>
      <c r="BG634" t="s">
        <v>74</v>
      </c>
      <c r="BH634" t="s">
        <v>74</v>
      </c>
      <c r="BI634">
        <v>14</v>
      </c>
      <c r="BJ634" t="s">
        <v>6358</v>
      </c>
      <c r="BK634" t="s">
        <v>101</v>
      </c>
      <c r="BL634" t="s">
        <v>6359</v>
      </c>
      <c r="BM634" t="s">
        <v>12650</v>
      </c>
      <c r="BN634" t="s">
        <v>74</v>
      </c>
      <c r="BO634" t="s">
        <v>74</v>
      </c>
      <c r="BP634" t="s">
        <v>74</v>
      </c>
      <c r="BQ634" t="s">
        <v>74</v>
      </c>
      <c r="BR634" t="s">
        <v>105</v>
      </c>
      <c r="BS634" t="s">
        <v>12651</v>
      </c>
      <c r="BT634" t="str">
        <f>HYPERLINK("https%3A%2F%2Fwww.webofscience.com%2Fwos%2Fwoscc%2Ffull-record%2FWOS:000705289500013","View Full Record in Web of Science")</f>
        <v>View Full Record in Web of Science</v>
      </c>
    </row>
    <row r="635" spans="1:72" x14ac:dyDescent="0.15">
      <c r="A635" t="s">
        <v>72</v>
      </c>
      <c r="B635" t="s">
        <v>12652</v>
      </c>
      <c r="C635" t="s">
        <v>74</v>
      </c>
      <c r="D635" t="s">
        <v>74</v>
      </c>
      <c r="E635" t="s">
        <v>74</v>
      </c>
      <c r="F635" t="s">
        <v>12653</v>
      </c>
      <c r="G635" t="s">
        <v>74</v>
      </c>
      <c r="H635" t="s">
        <v>74</v>
      </c>
      <c r="I635" t="s">
        <v>12654</v>
      </c>
      <c r="J635" t="s">
        <v>12655</v>
      </c>
      <c r="K635" t="s">
        <v>74</v>
      </c>
      <c r="L635" t="s">
        <v>74</v>
      </c>
      <c r="M635" t="s">
        <v>12656</v>
      </c>
      <c r="N635" t="s">
        <v>79</v>
      </c>
      <c r="O635" t="s">
        <v>74</v>
      </c>
      <c r="P635" t="s">
        <v>74</v>
      </c>
      <c r="Q635" t="s">
        <v>74</v>
      </c>
      <c r="R635" t="s">
        <v>74</v>
      </c>
      <c r="S635" t="s">
        <v>74</v>
      </c>
      <c r="T635" t="s">
        <v>12657</v>
      </c>
      <c r="U635" t="s">
        <v>12658</v>
      </c>
      <c r="V635" t="s">
        <v>12659</v>
      </c>
      <c r="W635" t="s">
        <v>12660</v>
      </c>
      <c r="X635" t="s">
        <v>12661</v>
      </c>
      <c r="Y635" t="s">
        <v>12662</v>
      </c>
      <c r="Z635" t="s">
        <v>12663</v>
      </c>
      <c r="AA635" t="s">
        <v>74</v>
      </c>
      <c r="AB635" t="s">
        <v>74</v>
      </c>
      <c r="AC635" t="s">
        <v>74</v>
      </c>
      <c r="AD635" t="s">
        <v>74</v>
      </c>
      <c r="AE635" t="s">
        <v>74</v>
      </c>
      <c r="AF635" t="s">
        <v>74</v>
      </c>
      <c r="AG635">
        <v>125</v>
      </c>
      <c r="AH635">
        <v>2</v>
      </c>
      <c r="AI635">
        <v>2</v>
      </c>
      <c r="AJ635">
        <v>0</v>
      </c>
      <c r="AK635">
        <v>12</v>
      </c>
      <c r="AL635" t="s">
        <v>118</v>
      </c>
      <c r="AM635" t="s">
        <v>119</v>
      </c>
      <c r="AN635" t="s">
        <v>120</v>
      </c>
      <c r="AO635" t="s">
        <v>12664</v>
      </c>
      <c r="AP635" t="s">
        <v>12665</v>
      </c>
      <c r="AQ635" t="s">
        <v>74</v>
      </c>
      <c r="AR635" t="s">
        <v>12655</v>
      </c>
      <c r="AS635" t="s">
        <v>12666</v>
      </c>
      <c r="AT635" t="s">
        <v>7760</v>
      </c>
      <c r="AU635">
        <v>2021</v>
      </c>
      <c r="AV635">
        <v>70</v>
      </c>
      <c r="AW635">
        <v>10</v>
      </c>
      <c r="AX635" t="s">
        <v>74</v>
      </c>
      <c r="AY635" t="s">
        <v>74</v>
      </c>
      <c r="AZ635" t="s">
        <v>526</v>
      </c>
      <c r="BA635" t="s">
        <v>74</v>
      </c>
      <c r="BB635">
        <v>811</v>
      </c>
      <c r="BC635">
        <v>831</v>
      </c>
      <c r="BD635" t="s">
        <v>74</v>
      </c>
      <c r="BE635" t="s">
        <v>12667</v>
      </c>
      <c r="BF635" t="str">
        <f>HYPERLINK("http://dx.doi.org/10.1007/s00101-021-01043-1","http://dx.doi.org/10.1007/s00101-021-01043-1")</f>
        <v>http://dx.doi.org/10.1007/s00101-021-01043-1</v>
      </c>
      <c r="BG635" t="s">
        <v>74</v>
      </c>
      <c r="BH635" t="s">
        <v>11189</v>
      </c>
      <c r="BI635">
        <v>21</v>
      </c>
      <c r="BJ635" t="s">
        <v>12668</v>
      </c>
      <c r="BK635" t="s">
        <v>207</v>
      </c>
      <c r="BL635" t="s">
        <v>12668</v>
      </c>
      <c r="BM635" t="s">
        <v>12669</v>
      </c>
      <c r="BN635">
        <v>34529093</v>
      </c>
      <c r="BO635" t="s">
        <v>9122</v>
      </c>
      <c r="BP635" t="s">
        <v>74</v>
      </c>
      <c r="BQ635" t="s">
        <v>74</v>
      </c>
      <c r="BR635" t="s">
        <v>105</v>
      </c>
      <c r="BS635" t="s">
        <v>12670</v>
      </c>
      <c r="BT635" t="str">
        <f>HYPERLINK("https%3A%2F%2Fwww.webofscience.com%2Fwos%2Fwoscc%2Ffull-record%2FWOS:000696438900002","View Full Record in Web of Science")</f>
        <v>View Full Record in Web of Science</v>
      </c>
    </row>
    <row r="636" spans="1:72" x14ac:dyDescent="0.15">
      <c r="A636" t="s">
        <v>72</v>
      </c>
      <c r="B636" t="s">
        <v>12671</v>
      </c>
      <c r="C636" t="s">
        <v>74</v>
      </c>
      <c r="D636" t="s">
        <v>74</v>
      </c>
      <c r="E636" t="s">
        <v>74</v>
      </c>
      <c r="F636" t="s">
        <v>12672</v>
      </c>
      <c r="G636" t="s">
        <v>74</v>
      </c>
      <c r="H636" t="s">
        <v>74</v>
      </c>
      <c r="I636" t="s">
        <v>12673</v>
      </c>
      <c r="J636" t="s">
        <v>372</v>
      </c>
      <c r="K636" t="s">
        <v>74</v>
      </c>
      <c r="L636" t="s">
        <v>74</v>
      </c>
      <c r="M636" t="s">
        <v>78</v>
      </c>
      <c r="N636" t="s">
        <v>79</v>
      </c>
      <c r="O636" t="s">
        <v>74</v>
      </c>
      <c r="P636" t="s">
        <v>74</v>
      </c>
      <c r="Q636" t="s">
        <v>74</v>
      </c>
      <c r="R636" t="s">
        <v>74</v>
      </c>
      <c r="S636" t="s">
        <v>74</v>
      </c>
      <c r="T636" t="s">
        <v>12674</v>
      </c>
      <c r="U636" t="s">
        <v>12675</v>
      </c>
      <c r="V636" t="s">
        <v>12676</v>
      </c>
      <c r="W636" t="s">
        <v>12677</v>
      </c>
      <c r="X636" t="s">
        <v>8551</v>
      </c>
      <c r="Y636" t="s">
        <v>12678</v>
      </c>
      <c r="Z636" t="s">
        <v>12679</v>
      </c>
      <c r="AA636" t="s">
        <v>74</v>
      </c>
      <c r="AB636" t="s">
        <v>12680</v>
      </c>
      <c r="AC636" t="s">
        <v>12681</v>
      </c>
      <c r="AD636" t="s">
        <v>12681</v>
      </c>
      <c r="AE636" t="s">
        <v>12682</v>
      </c>
      <c r="AF636" t="s">
        <v>74</v>
      </c>
      <c r="AG636">
        <v>66</v>
      </c>
      <c r="AH636">
        <v>2</v>
      </c>
      <c r="AI636">
        <v>2</v>
      </c>
      <c r="AJ636">
        <v>5</v>
      </c>
      <c r="AK636">
        <v>22</v>
      </c>
      <c r="AL636" t="s">
        <v>383</v>
      </c>
      <c r="AM636" t="s">
        <v>384</v>
      </c>
      <c r="AN636" t="s">
        <v>385</v>
      </c>
      <c r="AO636" t="s">
        <v>74</v>
      </c>
      <c r="AP636" t="s">
        <v>386</v>
      </c>
      <c r="AQ636" t="s">
        <v>74</v>
      </c>
      <c r="AR636" t="s">
        <v>387</v>
      </c>
      <c r="AS636" t="s">
        <v>388</v>
      </c>
      <c r="AT636" t="s">
        <v>12648</v>
      </c>
      <c r="AU636">
        <v>2021</v>
      </c>
      <c r="AV636">
        <v>8</v>
      </c>
      <c r="AW636" t="s">
        <v>74</v>
      </c>
      <c r="AX636" t="s">
        <v>74</v>
      </c>
      <c r="AY636" t="s">
        <v>74</v>
      </c>
      <c r="AZ636" t="s">
        <v>74</v>
      </c>
      <c r="BA636" t="s">
        <v>74</v>
      </c>
      <c r="BB636" t="s">
        <v>74</v>
      </c>
      <c r="BC636" t="s">
        <v>74</v>
      </c>
      <c r="BD636">
        <v>671145</v>
      </c>
      <c r="BE636" t="s">
        <v>12683</v>
      </c>
      <c r="BF636" t="str">
        <f>HYPERLINK("http://dx.doi.org/10.3389/fmars.2021.671145","http://dx.doi.org/10.3389/fmars.2021.671145")</f>
        <v>http://dx.doi.org/10.3389/fmars.2021.671145</v>
      </c>
      <c r="BG636" t="s">
        <v>74</v>
      </c>
      <c r="BH636" t="s">
        <v>74</v>
      </c>
      <c r="BI636">
        <v>11</v>
      </c>
      <c r="BJ636" t="s">
        <v>391</v>
      </c>
      <c r="BK636" t="s">
        <v>101</v>
      </c>
      <c r="BL636" t="s">
        <v>392</v>
      </c>
      <c r="BM636" t="s">
        <v>12684</v>
      </c>
      <c r="BN636" t="s">
        <v>74</v>
      </c>
      <c r="BO636" t="s">
        <v>210</v>
      </c>
      <c r="BP636" t="s">
        <v>74</v>
      </c>
      <c r="BQ636" t="s">
        <v>74</v>
      </c>
      <c r="BR636" t="s">
        <v>105</v>
      </c>
      <c r="BS636" t="s">
        <v>12685</v>
      </c>
      <c r="BT636" t="str">
        <f>HYPERLINK("https%3A%2F%2Fwww.webofscience.com%2Fwos%2Fwoscc%2Ffull-record%2FWOS:000702043700001","View Full Record in Web of Science")</f>
        <v>View Full Record in Web of Science</v>
      </c>
    </row>
    <row r="637" spans="1:72" x14ac:dyDescent="0.15">
      <c r="A637" t="s">
        <v>72</v>
      </c>
      <c r="B637" t="s">
        <v>12686</v>
      </c>
      <c r="C637" t="s">
        <v>74</v>
      </c>
      <c r="D637" t="s">
        <v>74</v>
      </c>
      <c r="E637" t="s">
        <v>74</v>
      </c>
      <c r="F637" t="s">
        <v>12687</v>
      </c>
      <c r="G637" t="s">
        <v>74</v>
      </c>
      <c r="H637" t="s">
        <v>74</v>
      </c>
      <c r="I637" t="s">
        <v>12688</v>
      </c>
      <c r="J637" t="s">
        <v>886</v>
      </c>
      <c r="K637" t="s">
        <v>74</v>
      </c>
      <c r="L637" t="s">
        <v>74</v>
      </c>
      <c r="M637" t="s">
        <v>78</v>
      </c>
      <c r="N637" t="s">
        <v>79</v>
      </c>
      <c r="O637" t="s">
        <v>74</v>
      </c>
      <c r="P637" t="s">
        <v>74</v>
      </c>
      <c r="Q637" t="s">
        <v>74</v>
      </c>
      <c r="R637" t="s">
        <v>74</v>
      </c>
      <c r="S637" t="s">
        <v>74</v>
      </c>
      <c r="T637" t="s">
        <v>12689</v>
      </c>
      <c r="U637" t="s">
        <v>12690</v>
      </c>
      <c r="V637" t="s">
        <v>12691</v>
      </c>
      <c r="W637" t="s">
        <v>12692</v>
      </c>
      <c r="X637" t="s">
        <v>12693</v>
      </c>
      <c r="Y637" t="s">
        <v>12694</v>
      </c>
      <c r="Z637" t="s">
        <v>12695</v>
      </c>
      <c r="AA637" t="s">
        <v>12696</v>
      </c>
      <c r="AB637" t="s">
        <v>12697</v>
      </c>
      <c r="AC637" t="s">
        <v>12698</v>
      </c>
      <c r="AD637" t="s">
        <v>12699</v>
      </c>
      <c r="AE637" t="s">
        <v>12700</v>
      </c>
      <c r="AF637" t="s">
        <v>74</v>
      </c>
      <c r="AG637">
        <v>66</v>
      </c>
      <c r="AH637">
        <v>5</v>
      </c>
      <c r="AI637">
        <v>5</v>
      </c>
      <c r="AJ637">
        <v>3</v>
      </c>
      <c r="AK637">
        <v>16</v>
      </c>
      <c r="AL637" t="s">
        <v>760</v>
      </c>
      <c r="AM637" t="s">
        <v>438</v>
      </c>
      <c r="AN637" t="s">
        <v>761</v>
      </c>
      <c r="AO637" t="s">
        <v>899</v>
      </c>
      <c r="AP637" t="s">
        <v>900</v>
      </c>
      <c r="AQ637" t="s">
        <v>74</v>
      </c>
      <c r="AR637" t="s">
        <v>901</v>
      </c>
      <c r="AS637" t="s">
        <v>902</v>
      </c>
      <c r="AT637" t="s">
        <v>12648</v>
      </c>
      <c r="AU637">
        <v>2021</v>
      </c>
      <c r="AV637">
        <v>126</v>
      </c>
      <c r="AW637">
        <v>17</v>
      </c>
      <c r="AX637" t="s">
        <v>74</v>
      </c>
      <c r="AY637" t="s">
        <v>74</v>
      </c>
      <c r="AZ637" t="s">
        <v>74</v>
      </c>
      <c r="BA637" t="s">
        <v>74</v>
      </c>
      <c r="BB637" t="s">
        <v>74</v>
      </c>
      <c r="BC637" t="s">
        <v>74</v>
      </c>
      <c r="BD637" t="s">
        <v>12701</v>
      </c>
      <c r="BE637" t="s">
        <v>12702</v>
      </c>
      <c r="BF637" t="str">
        <f>HYPERLINK("http://dx.doi.org/10.1029/2020JD033963","http://dx.doi.org/10.1029/2020JD033963")</f>
        <v>http://dx.doi.org/10.1029/2020JD033963</v>
      </c>
      <c r="BG637" t="s">
        <v>74</v>
      </c>
      <c r="BH637" t="s">
        <v>74</v>
      </c>
      <c r="BI637">
        <v>16</v>
      </c>
      <c r="BJ637" t="s">
        <v>829</v>
      </c>
      <c r="BK637" t="s">
        <v>101</v>
      </c>
      <c r="BL637" t="s">
        <v>829</v>
      </c>
      <c r="BM637" t="s">
        <v>12703</v>
      </c>
      <c r="BN637" t="s">
        <v>74</v>
      </c>
      <c r="BO637" t="s">
        <v>314</v>
      </c>
      <c r="BP637" t="s">
        <v>74</v>
      </c>
      <c r="BQ637" t="s">
        <v>74</v>
      </c>
      <c r="BR637" t="s">
        <v>105</v>
      </c>
      <c r="BS637" t="s">
        <v>12704</v>
      </c>
      <c r="BT637" t="str">
        <f>HYPERLINK("https%3A%2F%2Fwww.webofscience.com%2Fwos%2Fwoscc%2Ffull-record%2FWOS:000694671900031","View Full Record in Web of Science")</f>
        <v>View Full Record in Web of Science</v>
      </c>
    </row>
    <row r="638" spans="1:72" x14ac:dyDescent="0.15">
      <c r="A638" t="s">
        <v>72</v>
      </c>
      <c r="B638" t="s">
        <v>12705</v>
      </c>
      <c r="C638" t="s">
        <v>74</v>
      </c>
      <c r="D638" t="s">
        <v>74</v>
      </c>
      <c r="E638" t="s">
        <v>74</v>
      </c>
      <c r="F638" t="s">
        <v>12706</v>
      </c>
      <c r="G638" t="s">
        <v>74</v>
      </c>
      <c r="H638" t="s">
        <v>74</v>
      </c>
      <c r="I638" t="s">
        <v>12707</v>
      </c>
      <c r="J638" t="s">
        <v>886</v>
      </c>
      <c r="K638" t="s">
        <v>74</v>
      </c>
      <c r="L638" t="s">
        <v>74</v>
      </c>
      <c r="M638" t="s">
        <v>78</v>
      </c>
      <c r="N638" t="s">
        <v>79</v>
      </c>
      <c r="O638" t="s">
        <v>74</v>
      </c>
      <c r="P638" t="s">
        <v>74</v>
      </c>
      <c r="Q638" t="s">
        <v>74</v>
      </c>
      <c r="R638" t="s">
        <v>74</v>
      </c>
      <c r="S638" t="s">
        <v>74</v>
      </c>
      <c r="T638" t="s">
        <v>12708</v>
      </c>
      <c r="U638" t="s">
        <v>12709</v>
      </c>
      <c r="V638" t="s">
        <v>12710</v>
      </c>
      <c r="W638" t="s">
        <v>12711</v>
      </c>
      <c r="X638" t="s">
        <v>12712</v>
      </c>
      <c r="Y638" t="s">
        <v>12713</v>
      </c>
      <c r="Z638" t="s">
        <v>8506</v>
      </c>
      <c r="AA638" t="s">
        <v>12714</v>
      </c>
      <c r="AB638" t="s">
        <v>12715</v>
      </c>
      <c r="AC638" t="s">
        <v>12716</v>
      </c>
      <c r="AD638" t="s">
        <v>12717</v>
      </c>
      <c r="AE638" t="s">
        <v>12718</v>
      </c>
      <c r="AF638" t="s">
        <v>74</v>
      </c>
      <c r="AG638">
        <v>71</v>
      </c>
      <c r="AH638">
        <v>7</v>
      </c>
      <c r="AI638">
        <v>8</v>
      </c>
      <c r="AJ638">
        <v>16</v>
      </c>
      <c r="AK638">
        <v>75</v>
      </c>
      <c r="AL638" t="s">
        <v>760</v>
      </c>
      <c r="AM638" t="s">
        <v>438</v>
      </c>
      <c r="AN638" t="s">
        <v>761</v>
      </c>
      <c r="AO638" t="s">
        <v>899</v>
      </c>
      <c r="AP638" t="s">
        <v>900</v>
      </c>
      <c r="AQ638" t="s">
        <v>74</v>
      </c>
      <c r="AR638" t="s">
        <v>901</v>
      </c>
      <c r="AS638" t="s">
        <v>902</v>
      </c>
      <c r="AT638" t="s">
        <v>12648</v>
      </c>
      <c r="AU638">
        <v>2021</v>
      </c>
      <c r="AV638">
        <v>126</v>
      </c>
      <c r="AW638">
        <v>17</v>
      </c>
      <c r="AX638" t="s">
        <v>74</v>
      </c>
      <c r="AY638" t="s">
        <v>74</v>
      </c>
      <c r="AZ638" t="s">
        <v>74</v>
      </c>
      <c r="BA638" t="s">
        <v>74</v>
      </c>
      <c r="BB638" t="s">
        <v>74</v>
      </c>
      <c r="BC638" t="s">
        <v>74</v>
      </c>
      <c r="BD638" t="s">
        <v>12719</v>
      </c>
      <c r="BE638" t="s">
        <v>12720</v>
      </c>
      <c r="BF638" t="str">
        <f>HYPERLINK("http://dx.doi.org/10.1029/2021JD034651","http://dx.doi.org/10.1029/2021JD034651")</f>
        <v>http://dx.doi.org/10.1029/2021JD034651</v>
      </c>
      <c r="BG638" t="s">
        <v>74</v>
      </c>
      <c r="BH638" t="s">
        <v>74</v>
      </c>
      <c r="BI638">
        <v>14</v>
      </c>
      <c r="BJ638" t="s">
        <v>829</v>
      </c>
      <c r="BK638" t="s">
        <v>101</v>
      </c>
      <c r="BL638" t="s">
        <v>829</v>
      </c>
      <c r="BM638" t="s">
        <v>12703</v>
      </c>
      <c r="BN638" t="s">
        <v>74</v>
      </c>
      <c r="BO638" t="s">
        <v>74</v>
      </c>
      <c r="BP638" t="s">
        <v>74</v>
      </c>
      <c r="BQ638" t="s">
        <v>74</v>
      </c>
      <c r="BR638" t="s">
        <v>105</v>
      </c>
      <c r="BS638" t="s">
        <v>12721</v>
      </c>
      <c r="BT638" t="str">
        <f>HYPERLINK("https%3A%2F%2Fwww.webofscience.com%2Fwos%2Fwoscc%2Ffull-record%2FWOS:000694671900024","View Full Record in Web of Science")</f>
        <v>View Full Record in Web of Science</v>
      </c>
    </row>
    <row r="639" spans="1:72" x14ac:dyDescent="0.15">
      <c r="A639" t="s">
        <v>72</v>
      </c>
      <c r="B639" t="s">
        <v>12722</v>
      </c>
      <c r="C639" t="s">
        <v>74</v>
      </c>
      <c r="D639" t="s">
        <v>74</v>
      </c>
      <c r="E639" t="s">
        <v>74</v>
      </c>
      <c r="F639" t="s">
        <v>12723</v>
      </c>
      <c r="G639" t="s">
        <v>74</v>
      </c>
      <c r="H639" t="s">
        <v>74</v>
      </c>
      <c r="I639" t="s">
        <v>12724</v>
      </c>
      <c r="J639" t="s">
        <v>6880</v>
      </c>
      <c r="K639" t="s">
        <v>74</v>
      </c>
      <c r="L639" t="s">
        <v>74</v>
      </c>
      <c r="M639" t="s">
        <v>78</v>
      </c>
      <c r="N639" t="s">
        <v>79</v>
      </c>
      <c r="O639" t="s">
        <v>74</v>
      </c>
      <c r="P639" t="s">
        <v>74</v>
      </c>
      <c r="Q639" t="s">
        <v>74</v>
      </c>
      <c r="R639" t="s">
        <v>74</v>
      </c>
      <c r="S639" t="s">
        <v>74</v>
      </c>
      <c r="T639" t="s">
        <v>12725</v>
      </c>
      <c r="U639" t="s">
        <v>12726</v>
      </c>
      <c r="V639" t="s">
        <v>12727</v>
      </c>
      <c r="W639" t="s">
        <v>12728</v>
      </c>
      <c r="X639" t="s">
        <v>12729</v>
      </c>
      <c r="Y639" t="s">
        <v>12730</v>
      </c>
      <c r="Z639" t="s">
        <v>12731</v>
      </c>
      <c r="AA639" t="s">
        <v>12732</v>
      </c>
      <c r="AB639" t="s">
        <v>12733</v>
      </c>
      <c r="AC639" t="s">
        <v>12734</v>
      </c>
      <c r="AD639" t="s">
        <v>12735</v>
      </c>
      <c r="AE639" t="s">
        <v>12736</v>
      </c>
      <c r="AF639" t="s">
        <v>74</v>
      </c>
      <c r="AG639">
        <v>50</v>
      </c>
      <c r="AH639">
        <v>5</v>
      </c>
      <c r="AI639">
        <v>6</v>
      </c>
      <c r="AJ639">
        <v>0</v>
      </c>
      <c r="AK639">
        <v>20</v>
      </c>
      <c r="AL639" t="s">
        <v>169</v>
      </c>
      <c r="AM639" t="s">
        <v>520</v>
      </c>
      <c r="AN639" t="s">
        <v>521</v>
      </c>
      <c r="AO639" t="s">
        <v>6892</v>
      </c>
      <c r="AP639" t="s">
        <v>6893</v>
      </c>
      <c r="AQ639" t="s">
        <v>74</v>
      </c>
      <c r="AR639" t="s">
        <v>6894</v>
      </c>
      <c r="AS639" t="s">
        <v>6895</v>
      </c>
      <c r="AT639" t="s">
        <v>98</v>
      </c>
      <c r="AU639">
        <v>2021</v>
      </c>
      <c r="AV639">
        <v>114</v>
      </c>
      <c r="AW639">
        <v>12</v>
      </c>
      <c r="AX639" t="s">
        <v>74</v>
      </c>
      <c r="AY639" t="s">
        <v>74</v>
      </c>
      <c r="AZ639" t="s">
        <v>74</v>
      </c>
      <c r="BA639" t="s">
        <v>74</v>
      </c>
      <c r="BB639">
        <v>2003</v>
      </c>
      <c r="BC639">
        <v>2017</v>
      </c>
      <c r="BD639" t="s">
        <v>74</v>
      </c>
      <c r="BE639" t="s">
        <v>12737</v>
      </c>
      <c r="BF639" t="str">
        <f>HYPERLINK("http://dx.doi.org/10.1007/s10482-021-01657-w","http://dx.doi.org/10.1007/s10482-021-01657-w")</f>
        <v>http://dx.doi.org/10.1007/s10482-021-01657-w</v>
      </c>
      <c r="BG639" t="s">
        <v>74</v>
      </c>
      <c r="BH639" t="s">
        <v>11189</v>
      </c>
      <c r="BI639">
        <v>15</v>
      </c>
      <c r="BJ639" t="s">
        <v>975</v>
      </c>
      <c r="BK639" t="s">
        <v>101</v>
      </c>
      <c r="BL639" t="s">
        <v>975</v>
      </c>
      <c r="BM639" t="s">
        <v>6897</v>
      </c>
      <c r="BN639">
        <v>34532778</v>
      </c>
      <c r="BO639" t="s">
        <v>74</v>
      </c>
      <c r="BP639" t="s">
        <v>74</v>
      </c>
      <c r="BQ639" t="s">
        <v>74</v>
      </c>
      <c r="BR639" t="s">
        <v>105</v>
      </c>
      <c r="BS639" t="s">
        <v>12738</v>
      </c>
      <c r="BT639" t="str">
        <f>HYPERLINK("https%3A%2F%2Fwww.webofscience.com%2Fwos%2Fwoscc%2Ffull-record%2FWOS:000696492400002","View Full Record in Web of Science")</f>
        <v>View Full Record in Web of Science</v>
      </c>
    </row>
    <row r="640" spans="1:72" x14ac:dyDescent="0.15">
      <c r="A640" t="s">
        <v>72</v>
      </c>
      <c r="B640" t="s">
        <v>12739</v>
      </c>
      <c r="C640" t="s">
        <v>74</v>
      </c>
      <c r="D640" t="s">
        <v>74</v>
      </c>
      <c r="E640" t="s">
        <v>74</v>
      </c>
      <c r="F640" t="s">
        <v>12740</v>
      </c>
      <c r="G640" t="s">
        <v>74</v>
      </c>
      <c r="H640" t="s">
        <v>74</v>
      </c>
      <c r="I640" t="s">
        <v>12741</v>
      </c>
      <c r="J640" t="s">
        <v>3894</v>
      </c>
      <c r="K640" t="s">
        <v>74</v>
      </c>
      <c r="L640" t="s">
        <v>74</v>
      </c>
      <c r="M640" t="s">
        <v>78</v>
      </c>
      <c r="N640" t="s">
        <v>79</v>
      </c>
      <c r="O640" t="s">
        <v>74</v>
      </c>
      <c r="P640" t="s">
        <v>74</v>
      </c>
      <c r="Q640" t="s">
        <v>74</v>
      </c>
      <c r="R640" t="s">
        <v>74</v>
      </c>
      <c r="S640" t="s">
        <v>74</v>
      </c>
      <c r="T640" t="s">
        <v>74</v>
      </c>
      <c r="U640" t="s">
        <v>12742</v>
      </c>
      <c r="V640" t="s">
        <v>12743</v>
      </c>
      <c r="W640" t="s">
        <v>12744</v>
      </c>
      <c r="X640" t="s">
        <v>12745</v>
      </c>
      <c r="Y640" t="s">
        <v>12746</v>
      </c>
      <c r="Z640" t="s">
        <v>12747</v>
      </c>
      <c r="AA640" t="s">
        <v>12748</v>
      </c>
      <c r="AB640" t="s">
        <v>12749</v>
      </c>
      <c r="AC640" t="s">
        <v>74</v>
      </c>
      <c r="AD640" t="s">
        <v>74</v>
      </c>
      <c r="AE640" t="s">
        <v>74</v>
      </c>
      <c r="AF640" t="s">
        <v>74</v>
      </c>
      <c r="AG640">
        <v>82</v>
      </c>
      <c r="AH640">
        <v>91</v>
      </c>
      <c r="AI640">
        <v>96</v>
      </c>
      <c r="AJ640">
        <v>87</v>
      </c>
      <c r="AK640">
        <v>357</v>
      </c>
      <c r="AL640" t="s">
        <v>492</v>
      </c>
      <c r="AM640" t="s">
        <v>493</v>
      </c>
      <c r="AN640" t="s">
        <v>494</v>
      </c>
      <c r="AO640" t="s">
        <v>3903</v>
      </c>
      <c r="AP640" t="s">
        <v>3904</v>
      </c>
      <c r="AQ640" t="s">
        <v>74</v>
      </c>
      <c r="AR640" t="s">
        <v>3894</v>
      </c>
      <c r="AS640" t="s">
        <v>3905</v>
      </c>
      <c r="AT640" t="s">
        <v>12648</v>
      </c>
      <c r="AU640">
        <v>2021</v>
      </c>
      <c r="AV640">
        <v>597</v>
      </c>
      <c r="AW640">
        <v>7876</v>
      </c>
      <c r="AX640" t="s">
        <v>74</v>
      </c>
      <c r="AY640" t="s">
        <v>74</v>
      </c>
      <c r="AZ640" t="s">
        <v>74</v>
      </c>
      <c r="BA640" t="s">
        <v>74</v>
      </c>
      <c r="BB640">
        <v>370</v>
      </c>
      <c r="BC640" t="s">
        <v>499</v>
      </c>
      <c r="BD640" t="s">
        <v>74</v>
      </c>
      <c r="BE640" t="s">
        <v>12750</v>
      </c>
      <c r="BF640" t="str">
        <f>HYPERLINK("http://dx.doi.org/10.1038/s41586-021-03805-8","http://dx.doi.org/10.1038/s41586-021-03805-8")</f>
        <v>http://dx.doi.org/10.1038/s41586-021-03805-8</v>
      </c>
      <c r="BG640" t="s">
        <v>74</v>
      </c>
      <c r="BH640" t="s">
        <v>74</v>
      </c>
      <c r="BI640">
        <v>20</v>
      </c>
      <c r="BJ640" t="s">
        <v>126</v>
      </c>
      <c r="BK640" t="s">
        <v>101</v>
      </c>
      <c r="BL640" t="s">
        <v>127</v>
      </c>
      <c r="BM640" t="s">
        <v>12751</v>
      </c>
      <c r="BN640">
        <v>34526706</v>
      </c>
      <c r="BO640" t="s">
        <v>2992</v>
      </c>
      <c r="BP640" t="s">
        <v>9318</v>
      </c>
      <c r="BQ640" t="s">
        <v>9319</v>
      </c>
      <c r="BR640" t="s">
        <v>105</v>
      </c>
      <c r="BS640" t="s">
        <v>12752</v>
      </c>
      <c r="BT640" t="str">
        <f>HYPERLINK("https%3A%2F%2Fwww.webofscience.com%2Fwos%2Fwoscc%2Ffull-record%2FWOS:000696334600012","View Full Record in Web of Science")</f>
        <v>View Full Record in Web of Science</v>
      </c>
    </row>
    <row r="641" spans="1:72" x14ac:dyDescent="0.15">
      <c r="A641" t="s">
        <v>72</v>
      </c>
      <c r="B641" t="s">
        <v>12753</v>
      </c>
      <c r="C641" t="s">
        <v>74</v>
      </c>
      <c r="D641" t="s">
        <v>74</v>
      </c>
      <c r="E641" t="s">
        <v>74</v>
      </c>
      <c r="F641" t="s">
        <v>12754</v>
      </c>
      <c r="G641" t="s">
        <v>74</v>
      </c>
      <c r="H641" t="s">
        <v>74</v>
      </c>
      <c r="I641" t="s">
        <v>12755</v>
      </c>
      <c r="J641" t="s">
        <v>747</v>
      </c>
      <c r="K641" t="s">
        <v>74</v>
      </c>
      <c r="L641" t="s">
        <v>74</v>
      </c>
      <c r="M641" t="s">
        <v>78</v>
      </c>
      <c r="N641" t="s">
        <v>79</v>
      </c>
      <c r="O641" t="s">
        <v>74</v>
      </c>
      <c r="P641" t="s">
        <v>74</v>
      </c>
      <c r="Q641" t="s">
        <v>74</v>
      </c>
      <c r="R641" t="s">
        <v>74</v>
      </c>
      <c r="S641" t="s">
        <v>74</v>
      </c>
      <c r="T641" t="s">
        <v>12756</v>
      </c>
      <c r="U641" t="s">
        <v>12757</v>
      </c>
      <c r="V641" t="s">
        <v>12758</v>
      </c>
      <c r="W641" t="s">
        <v>12759</v>
      </c>
      <c r="X641" t="s">
        <v>12760</v>
      </c>
      <c r="Y641" t="s">
        <v>12761</v>
      </c>
      <c r="Z641" t="s">
        <v>12762</v>
      </c>
      <c r="AA641" t="s">
        <v>12763</v>
      </c>
      <c r="AB641" t="s">
        <v>12764</v>
      </c>
      <c r="AC641" t="s">
        <v>12765</v>
      </c>
      <c r="AD641" t="s">
        <v>12765</v>
      </c>
      <c r="AE641" t="s">
        <v>12766</v>
      </c>
      <c r="AF641" t="s">
        <v>74</v>
      </c>
      <c r="AG641">
        <v>28</v>
      </c>
      <c r="AH641">
        <v>4</v>
      </c>
      <c r="AI641">
        <v>4</v>
      </c>
      <c r="AJ641">
        <v>1</v>
      </c>
      <c r="AK641">
        <v>15</v>
      </c>
      <c r="AL641" t="s">
        <v>760</v>
      </c>
      <c r="AM641" t="s">
        <v>438</v>
      </c>
      <c r="AN641" t="s">
        <v>761</v>
      </c>
      <c r="AO641" t="s">
        <v>762</v>
      </c>
      <c r="AP641" t="s">
        <v>763</v>
      </c>
      <c r="AQ641" t="s">
        <v>74</v>
      </c>
      <c r="AR641" t="s">
        <v>764</v>
      </c>
      <c r="AS641" t="s">
        <v>765</v>
      </c>
      <c r="AT641" t="s">
        <v>12648</v>
      </c>
      <c r="AU641">
        <v>2021</v>
      </c>
      <c r="AV641">
        <v>48</v>
      </c>
      <c r="AW641">
        <v>17</v>
      </c>
      <c r="AX641" t="s">
        <v>74</v>
      </c>
      <c r="AY641" t="s">
        <v>74</v>
      </c>
      <c r="AZ641" t="s">
        <v>74</v>
      </c>
      <c r="BA641" t="s">
        <v>74</v>
      </c>
      <c r="BB641" t="s">
        <v>74</v>
      </c>
      <c r="BC641" t="s">
        <v>74</v>
      </c>
      <c r="BD641" t="s">
        <v>12767</v>
      </c>
      <c r="BE641" t="s">
        <v>12768</v>
      </c>
      <c r="BF641" t="str">
        <f>HYPERLINK("http://dx.doi.org/10.1029/2021GL093676","http://dx.doi.org/10.1029/2021GL093676")</f>
        <v>http://dx.doi.org/10.1029/2021GL093676</v>
      </c>
      <c r="BG641" t="s">
        <v>74</v>
      </c>
      <c r="BH641" t="s">
        <v>74</v>
      </c>
      <c r="BI641">
        <v>9</v>
      </c>
      <c r="BJ641" t="s">
        <v>236</v>
      </c>
      <c r="BK641" t="s">
        <v>101</v>
      </c>
      <c r="BL641" t="s">
        <v>237</v>
      </c>
      <c r="BM641" t="s">
        <v>12769</v>
      </c>
      <c r="BN641" t="s">
        <v>74</v>
      </c>
      <c r="BO641" t="s">
        <v>2217</v>
      </c>
      <c r="BP641" t="s">
        <v>74</v>
      </c>
      <c r="BQ641" t="s">
        <v>74</v>
      </c>
      <c r="BR641" t="s">
        <v>105</v>
      </c>
      <c r="BS641" t="s">
        <v>12770</v>
      </c>
      <c r="BT641" t="str">
        <f>HYPERLINK("https%3A%2F%2Fwww.webofscience.com%2Fwos%2Fwoscc%2Ffull-record%2FWOS:000694653200001","View Full Record in Web of Science")</f>
        <v>View Full Record in Web of Science</v>
      </c>
    </row>
    <row r="642" spans="1:72" x14ac:dyDescent="0.15">
      <c r="A642" t="s">
        <v>72</v>
      </c>
      <c r="B642" t="s">
        <v>12771</v>
      </c>
      <c r="C642" t="s">
        <v>74</v>
      </c>
      <c r="D642" t="s">
        <v>74</v>
      </c>
      <c r="E642" t="s">
        <v>74</v>
      </c>
      <c r="F642" t="s">
        <v>12772</v>
      </c>
      <c r="G642" t="s">
        <v>74</v>
      </c>
      <c r="H642" t="s">
        <v>74</v>
      </c>
      <c r="I642" t="s">
        <v>12773</v>
      </c>
      <c r="J642" t="s">
        <v>747</v>
      </c>
      <c r="K642" t="s">
        <v>74</v>
      </c>
      <c r="L642" t="s">
        <v>74</v>
      </c>
      <c r="M642" t="s">
        <v>78</v>
      </c>
      <c r="N642" t="s">
        <v>79</v>
      </c>
      <c r="O642" t="s">
        <v>74</v>
      </c>
      <c r="P642" t="s">
        <v>74</v>
      </c>
      <c r="Q642" t="s">
        <v>74</v>
      </c>
      <c r="R642" t="s">
        <v>74</v>
      </c>
      <c r="S642" t="s">
        <v>74</v>
      </c>
      <c r="T642" t="s">
        <v>12774</v>
      </c>
      <c r="U642" t="s">
        <v>12775</v>
      </c>
      <c r="V642" t="s">
        <v>12776</v>
      </c>
      <c r="W642" t="s">
        <v>12777</v>
      </c>
      <c r="X642" t="s">
        <v>12778</v>
      </c>
      <c r="Y642" t="s">
        <v>12779</v>
      </c>
      <c r="Z642" t="s">
        <v>12780</v>
      </c>
      <c r="AA642" t="s">
        <v>12781</v>
      </c>
      <c r="AB642" t="s">
        <v>12782</v>
      </c>
      <c r="AC642" t="s">
        <v>12783</v>
      </c>
      <c r="AD642" t="s">
        <v>12784</v>
      </c>
      <c r="AE642" t="s">
        <v>12785</v>
      </c>
      <c r="AF642" t="s">
        <v>74</v>
      </c>
      <c r="AG642">
        <v>63</v>
      </c>
      <c r="AH642">
        <v>9</v>
      </c>
      <c r="AI642">
        <v>9</v>
      </c>
      <c r="AJ642">
        <v>0</v>
      </c>
      <c r="AK642">
        <v>19</v>
      </c>
      <c r="AL642" t="s">
        <v>760</v>
      </c>
      <c r="AM642" t="s">
        <v>438</v>
      </c>
      <c r="AN642" t="s">
        <v>761</v>
      </c>
      <c r="AO642" t="s">
        <v>762</v>
      </c>
      <c r="AP642" t="s">
        <v>763</v>
      </c>
      <c r="AQ642" t="s">
        <v>74</v>
      </c>
      <c r="AR642" t="s">
        <v>764</v>
      </c>
      <c r="AS642" t="s">
        <v>765</v>
      </c>
      <c r="AT642" t="s">
        <v>12648</v>
      </c>
      <c r="AU642">
        <v>2021</v>
      </c>
      <c r="AV642">
        <v>48</v>
      </c>
      <c r="AW642">
        <v>17</v>
      </c>
      <c r="AX642" t="s">
        <v>74</v>
      </c>
      <c r="AY642" t="s">
        <v>74</v>
      </c>
      <c r="AZ642" t="s">
        <v>74</v>
      </c>
      <c r="BA642" t="s">
        <v>74</v>
      </c>
      <c r="BB642" t="s">
        <v>74</v>
      </c>
      <c r="BC642" t="s">
        <v>74</v>
      </c>
      <c r="BD642" t="s">
        <v>12786</v>
      </c>
      <c r="BE642" t="s">
        <v>12787</v>
      </c>
      <c r="BF642" t="str">
        <f>HYPERLINK("http://dx.doi.org/10.1029/2021GL094513","http://dx.doi.org/10.1029/2021GL094513")</f>
        <v>http://dx.doi.org/10.1029/2021GL094513</v>
      </c>
      <c r="BG642" t="s">
        <v>74</v>
      </c>
      <c r="BH642" t="s">
        <v>74</v>
      </c>
      <c r="BI642">
        <v>11</v>
      </c>
      <c r="BJ642" t="s">
        <v>236</v>
      </c>
      <c r="BK642" t="s">
        <v>101</v>
      </c>
      <c r="BL642" t="s">
        <v>237</v>
      </c>
      <c r="BM642" t="s">
        <v>12769</v>
      </c>
      <c r="BN642" t="s">
        <v>74</v>
      </c>
      <c r="BO642" t="s">
        <v>343</v>
      </c>
      <c r="BP642" t="s">
        <v>74</v>
      </c>
      <c r="BQ642" t="s">
        <v>74</v>
      </c>
      <c r="BR642" t="s">
        <v>105</v>
      </c>
      <c r="BS642" t="s">
        <v>12788</v>
      </c>
      <c r="BT642" t="str">
        <f>HYPERLINK("https%3A%2F%2Fwww.webofscience.com%2Fwos%2Fwoscc%2Ffull-record%2FWOS:000694653200007","View Full Record in Web of Science")</f>
        <v>View Full Record in Web of Science</v>
      </c>
    </row>
    <row r="643" spans="1:72" x14ac:dyDescent="0.15">
      <c r="A643" t="s">
        <v>72</v>
      </c>
      <c r="B643" t="s">
        <v>12789</v>
      </c>
      <c r="C643" t="s">
        <v>74</v>
      </c>
      <c r="D643" t="s">
        <v>74</v>
      </c>
      <c r="E643" t="s">
        <v>74</v>
      </c>
      <c r="F643" t="s">
        <v>12790</v>
      </c>
      <c r="G643" t="s">
        <v>74</v>
      </c>
      <c r="H643" t="s">
        <v>74</v>
      </c>
      <c r="I643" t="s">
        <v>12791</v>
      </c>
      <c r="J643" t="s">
        <v>747</v>
      </c>
      <c r="K643" t="s">
        <v>74</v>
      </c>
      <c r="L643" t="s">
        <v>74</v>
      </c>
      <c r="M643" t="s">
        <v>78</v>
      </c>
      <c r="N643" t="s">
        <v>79</v>
      </c>
      <c r="O643" t="s">
        <v>74</v>
      </c>
      <c r="P643" t="s">
        <v>74</v>
      </c>
      <c r="Q643" t="s">
        <v>74</v>
      </c>
      <c r="R643" t="s">
        <v>74</v>
      </c>
      <c r="S643" t="s">
        <v>74</v>
      </c>
      <c r="T643" t="s">
        <v>12792</v>
      </c>
      <c r="U643" t="s">
        <v>12793</v>
      </c>
      <c r="V643" t="s">
        <v>12794</v>
      </c>
      <c r="W643" t="s">
        <v>12795</v>
      </c>
      <c r="X643" t="s">
        <v>12796</v>
      </c>
      <c r="Y643" t="s">
        <v>12797</v>
      </c>
      <c r="Z643" t="s">
        <v>12798</v>
      </c>
      <c r="AA643" t="s">
        <v>12799</v>
      </c>
      <c r="AB643" t="s">
        <v>12800</v>
      </c>
      <c r="AC643" t="s">
        <v>12801</v>
      </c>
      <c r="AD643" t="s">
        <v>12802</v>
      </c>
      <c r="AE643" t="s">
        <v>12803</v>
      </c>
      <c r="AF643" t="s">
        <v>74</v>
      </c>
      <c r="AG643">
        <v>34</v>
      </c>
      <c r="AH643">
        <v>17</v>
      </c>
      <c r="AI643">
        <v>17</v>
      </c>
      <c r="AJ643">
        <v>1</v>
      </c>
      <c r="AK643">
        <v>9</v>
      </c>
      <c r="AL643" t="s">
        <v>760</v>
      </c>
      <c r="AM643" t="s">
        <v>438</v>
      </c>
      <c r="AN643" t="s">
        <v>761</v>
      </c>
      <c r="AO643" t="s">
        <v>762</v>
      </c>
      <c r="AP643" t="s">
        <v>763</v>
      </c>
      <c r="AQ643" t="s">
        <v>74</v>
      </c>
      <c r="AR643" t="s">
        <v>764</v>
      </c>
      <c r="AS643" t="s">
        <v>765</v>
      </c>
      <c r="AT643" t="s">
        <v>12648</v>
      </c>
      <c r="AU643">
        <v>2021</v>
      </c>
      <c r="AV643">
        <v>48</v>
      </c>
      <c r="AW643">
        <v>17</v>
      </c>
      <c r="AX643" t="s">
        <v>74</v>
      </c>
      <c r="AY643" t="s">
        <v>74</v>
      </c>
      <c r="AZ643" t="s">
        <v>74</v>
      </c>
      <c r="BA643" t="s">
        <v>74</v>
      </c>
      <c r="BB643" t="s">
        <v>74</v>
      </c>
      <c r="BC643" t="s">
        <v>74</v>
      </c>
      <c r="BD643" t="s">
        <v>12804</v>
      </c>
      <c r="BE643" t="s">
        <v>12805</v>
      </c>
      <c r="BF643" t="str">
        <f>HYPERLINK("http://dx.doi.org/10.1029/2021GL093644","http://dx.doi.org/10.1029/2021GL093644")</f>
        <v>http://dx.doi.org/10.1029/2021GL093644</v>
      </c>
      <c r="BG643" t="s">
        <v>74</v>
      </c>
      <c r="BH643" t="s">
        <v>74</v>
      </c>
      <c r="BI643">
        <v>9</v>
      </c>
      <c r="BJ643" t="s">
        <v>236</v>
      </c>
      <c r="BK643" t="s">
        <v>101</v>
      </c>
      <c r="BL643" t="s">
        <v>237</v>
      </c>
      <c r="BM643" t="s">
        <v>12769</v>
      </c>
      <c r="BN643" t="s">
        <v>74</v>
      </c>
      <c r="BO643" t="s">
        <v>419</v>
      </c>
      <c r="BP643" t="s">
        <v>74</v>
      </c>
      <c r="BQ643" t="s">
        <v>74</v>
      </c>
      <c r="BR643" t="s">
        <v>105</v>
      </c>
      <c r="BS643" t="s">
        <v>12806</v>
      </c>
      <c r="BT643" t="str">
        <f>HYPERLINK("https%3A%2F%2Fwww.webofscience.com%2Fwos%2Fwoscc%2Ffull-record%2FWOS:000694653200027","View Full Record in Web of Science")</f>
        <v>View Full Record in Web of Science</v>
      </c>
    </row>
    <row r="644" spans="1:72" x14ac:dyDescent="0.15">
      <c r="A644" t="s">
        <v>72</v>
      </c>
      <c r="B644" t="s">
        <v>12807</v>
      </c>
      <c r="C644" t="s">
        <v>74</v>
      </c>
      <c r="D644" t="s">
        <v>74</v>
      </c>
      <c r="E644" t="s">
        <v>74</v>
      </c>
      <c r="F644" t="s">
        <v>12808</v>
      </c>
      <c r="G644" t="s">
        <v>74</v>
      </c>
      <c r="H644" t="s">
        <v>74</v>
      </c>
      <c r="I644" t="s">
        <v>12809</v>
      </c>
      <c r="J644" t="s">
        <v>747</v>
      </c>
      <c r="K644" t="s">
        <v>74</v>
      </c>
      <c r="L644" t="s">
        <v>74</v>
      </c>
      <c r="M644" t="s">
        <v>78</v>
      </c>
      <c r="N644" t="s">
        <v>79</v>
      </c>
      <c r="O644" t="s">
        <v>74</v>
      </c>
      <c r="P644" t="s">
        <v>74</v>
      </c>
      <c r="Q644" t="s">
        <v>74</v>
      </c>
      <c r="R644" t="s">
        <v>74</v>
      </c>
      <c r="S644" t="s">
        <v>74</v>
      </c>
      <c r="T644" t="s">
        <v>12810</v>
      </c>
      <c r="U644" t="s">
        <v>12811</v>
      </c>
      <c r="V644" t="s">
        <v>12812</v>
      </c>
      <c r="W644" t="s">
        <v>12813</v>
      </c>
      <c r="X644" t="s">
        <v>12814</v>
      </c>
      <c r="Y644" t="s">
        <v>12815</v>
      </c>
      <c r="Z644" t="s">
        <v>12816</v>
      </c>
      <c r="AA644" t="s">
        <v>12817</v>
      </c>
      <c r="AB644" t="s">
        <v>12818</v>
      </c>
      <c r="AC644" t="s">
        <v>12819</v>
      </c>
      <c r="AD644" t="s">
        <v>12820</v>
      </c>
      <c r="AE644" t="s">
        <v>12821</v>
      </c>
      <c r="AF644" t="s">
        <v>74</v>
      </c>
      <c r="AG644">
        <v>65</v>
      </c>
      <c r="AH644">
        <v>19</v>
      </c>
      <c r="AI644">
        <v>20</v>
      </c>
      <c r="AJ644">
        <v>1</v>
      </c>
      <c r="AK644">
        <v>8</v>
      </c>
      <c r="AL644" t="s">
        <v>760</v>
      </c>
      <c r="AM644" t="s">
        <v>438</v>
      </c>
      <c r="AN644" t="s">
        <v>761</v>
      </c>
      <c r="AO644" t="s">
        <v>762</v>
      </c>
      <c r="AP644" t="s">
        <v>763</v>
      </c>
      <c r="AQ644" t="s">
        <v>74</v>
      </c>
      <c r="AR644" t="s">
        <v>764</v>
      </c>
      <c r="AS644" t="s">
        <v>765</v>
      </c>
      <c r="AT644" t="s">
        <v>12648</v>
      </c>
      <c r="AU644">
        <v>2021</v>
      </c>
      <c r="AV644">
        <v>48</v>
      </c>
      <c r="AW644">
        <v>17</v>
      </c>
      <c r="AX644" t="s">
        <v>74</v>
      </c>
      <c r="AY644" t="s">
        <v>74</v>
      </c>
      <c r="AZ644" t="s">
        <v>74</v>
      </c>
      <c r="BA644" t="s">
        <v>74</v>
      </c>
      <c r="BB644" t="s">
        <v>74</v>
      </c>
      <c r="BC644" t="s">
        <v>74</v>
      </c>
      <c r="BD644" t="s">
        <v>12822</v>
      </c>
      <c r="BE644" t="s">
        <v>12823</v>
      </c>
      <c r="BF644" t="str">
        <f>HYPERLINK("http://dx.doi.org/10.1029/2021GL094149","http://dx.doi.org/10.1029/2021GL094149")</f>
        <v>http://dx.doi.org/10.1029/2021GL094149</v>
      </c>
      <c r="BG644" t="s">
        <v>74</v>
      </c>
      <c r="BH644" t="s">
        <v>74</v>
      </c>
      <c r="BI644">
        <v>10</v>
      </c>
      <c r="BJ644" t="s">
        <v>236</v>
      </c>
      <c r="BK644" t="s">
        <v>101</v>
      </c>
      <c r="BL644" t="s">
        <v>237</v>
      </c>
      <c r="BM644" t="s">
        <v>12769</v>
      </c>
      <c r="BN644" t="s">
        <v>74</v>
      </c>
      <c r="BO644" t="s">
        <v>74</v>
      </c>
      <c r="BP644" t="s">
        <v>74</v>
      </c>
      <c r="BQ644" t="s">
        <v>74</v>
      </c>
      <c r="BR644" t="s">
        <v>105</v>
      </c>
      <c r="BS644" t="s">
        <v>12824</v>
      </c>
      <c r="BT644" t="str">
        <f>HYPERLINK("https%3A%2F%2Fwww.webofscience.com%2Fwos%2Fwoscc%2Ffull-record%2FWOS:000694653200021","View Full Record in Web of Science")</f>
        <v>View Full Record in Web of Science</v>
      </c>
    </row>
    <row r="645" spans="1:72" x14ac:dyDescent="0.15">
      <c r="A645" t="s">
        <v>72</v>
      </c>
      <c r="B645" t="s">
        <v>12825</v>
      </c>
      <c r="C645" t="s">
        <v>74</v>
      </c>
      <c r="D645" t="s">
        <v>74</v>
      </c>
      <c r="E645" t="s">
        <v>74</v>
      </c>
      <c r="F645" t="s">
        <v>12826</v>
      </c>
      <c r="G645" t="s">
        <v>74</v>
      </c>
      <c r="H645" t="s">
        <v>74</v>
      </c>
      <c r="I645" t="s">
        <v>12827</v>
      </c>
      <c r="J645" t="s">
        <v>747</v>
      </c>
      <c r="K645" t="s">
        <v>74</v>
      </c>
      <c r="L645" t="s">
        <v>74</v>
      </c>
      <c r="M645" t="s">
        <v>78</v>
      </c>
      <c r="N645" t="s">
        <v>79</v>
      </c>
      <c r="O645" t="s">
        <v>74</v>
      </c>
      <c r="P645" t="s">
        <v>74</v>
      </c>
      <c r="Q645" t="s">
        <v>74</v>
      </c>
      <c r="R645" t="s">
        <v>74</v>
      </c>
      <c r="S645" t="s">
        <v>74</v>
      </c>
      <c r="T645" t="s">
        <v>12828</v>
      </c>
      <c r="U645" t="s">
        <v>12829</v>
      </c>
      <c r="V645" t="s">
        <v>12830</v>
      </c>
      <c r="W645" t="s">
        <v>12831</v>
      </c>
      <c r="X645" t="s">
        <v>12832</v>
      </c>
      <c r="Y645" t="s">
        <v>12833</v>
      </c>
      <c r="Z645" t="s">
        <v>12834</v>
      </c>
      <c r="AA645" t="s">
        <v>12835</v>
      </c>
      <c r="AB645" t="s">
        <v>12836</v>
      </c>
      <c r="AC645" t="s">
        <v>12837</v>
      </c>
      <c r="AD645" t="s">
        <v>12838</v>
      </c>
      <c r="AE645" t="s">
        <v>12839</v>
      </c>
      <c r="AF645" t="s">
        <v>74</v>
      </c>
      <c r="AG645">
        <v>47</v>
      </c>
      <c r="AH645">
        <v>16</v>
      </c>
      <c r="AI645">
        <v>16</v>
      </c>
      <c r="AJ645">
        <v>1</v>
      </c>
      <c r="AK645">
        <v>4</v>
      </c>
      <c r="AL645" t="s">
        <v>760</v>
      </c>
      <c r="AM645" t="s">
        <v>438</v>
      </c>
      <c r="AN645" t="s">
        <v>761</v>
      </c>
      <c r="AO645" t="s">
        <v>762</v>
      </c>
      <c r="AP645" t="s">
        <v>763</v>
      </c>
      <c r="AQ645" t="s">
        <v>74</v>
      </c>
      <c r="AR645" t="s">
        <v>764</v>
      </c>
      <c r="AS645" t="s">
        <v>765</v>
      </c>
      <c r="AT645" t="s">
        <v>12648</v>
      </c>
      <c r="AU645">
        <v>2021</v>
      </c>
      <c r="AV645">
        <v>48</v>
      </c>
      <c r="AW645">
        <v>17</v>
      </c>
      <c r="AX645" t="s">
        <v>74</v>
      </c>
      <c r="AY645" t="s">
        <v>74</v>
      </c>
      <c r="AZ645" t="s">
        <v>74</v>
      </c>
      <c r="BA645" t="s">
        <v>74</v>
      </c>
      <c r="BB645" t="s">
        <v>74</v>
      </c>
      <c r="BC645" t="s">
        <v>74</v>
      </c>
      <c r="BD645" t="s">
        <v>12840</v>
      </c>
      <c r="BE645" t="s">
        <v>12841</v>
      </c>
      <c r="BF645" t="str">
        <f>HYPERLINK("http://dx.doi.org/10.1029/2021GL093213","http://dx.doi.org/10.1029/2021GL093213")</f>
        <v>http://dx.doi.org/10.1029/2021GL093213</v>
      </c>
      <c r="BG645" t="s">
        <v>74</v>
      </c>
      <c r="BH645" t="s">
        <v>74</v>
      </c>
      <c r="BI645">
        <v>11</v>
      </c>
      <c r="BJ645" t="s">
        <v>236</v>
      </c>
      <c r="BK645" t="s">
        <v>101</v>
      </c>
      <c r="BL645" t="s">
        <v>237</v>
      </c>
      <c r="BM645" t="s">
        <v>12769</v>
      </c>
      <c r="BN645" t="s">
        <v>74</v>
      </c>
      <c r="BO645" t="s">
        <v>74</v>
      </c>
      <c r="BP645" t="s">
        <v>74</v>
      </c>
      <c r="BQ645" t="s">
        <v>74</v>
      </c>
      <c r="BR645" t="s">
        <v>105</v>
      </c>
      <c r="BS645" t="s">
        <v>12842</v>
      </c>
      <c r="BT645" t="str">
        <f>HYPERLINK("https%3A%2F%2Fwww.webofscience.com%2Fwos%2Fwoscc%2Ffull-record%2FWOS:000694653200019","View Full Record in Web of Science")</f>
        <v>View Full Record in Web of Science</v>
      </c>
    </row>
    <row r="646" spans="1:72" x14ac:dyDescent="0.15">
      <c r="A646" t="s">
        <v>72</v>
      </c>
      <c r="B646" t="s">
        <v>12843</v>
      </c>
      <c r="C646" t="s">
        <v>74</v>
      </c>
      <c r="D646" t="s">
        <v>74</v>
      </c>
      <c r="E646" t="s">
        <v>74</v>
      </c>
      <c r="F646" t="s">
        <v>12844</v>
      </c>
      <c r="G646" t="s">
        <v>74</v>
      </c>
      <c r="H646" t="s">
        <v>74</v>
      </c>
      <c r="I646" t="s">
        <v>12845</v>
      </c>
      <c r="J646" t="s">
        <v>747</v>
      </c>
      <c r="K646" t="s">
        <v>74</v>
      </c>
      <c r="L646" t="s">
        <v>74</v>
      </c>
      <c r="M646" t="s">
        <v>78</v>
      </c>
      <c r="N646" t="s">
        <v>79</v>
      </c>
      <c r="O646" t="s">
        <v>74</v>
      </c>
      <c r="P646" t="s">
        <v>74</v>
      </c>
      <c r="Q646" t="s">
        <v>74</v>
      </c>
      <c r="R646" t="s">
        <v>74</v>
      </c>
      <c r="S646" t="s">
        <v>74</v>
      </c>
      <c r="T646" t="s">
        <v>12846</v>
      </c>
      <c r="U646" t="s">
        <v>12847</v>
      </c>
      <c r="V646" t="s">
        <v>12848</v>
      </c>
      <c r="W646" t="s">
        <v>12849</v>
      </c>
      <c r="X646" t="s">
        <v>12850</v>
      </c>
      <c r="Y646" t="s">
        <v>12851</v>
      </c>
      <c r="Z646" t="s">
        <v>12852</v>
      </c>
      <c r="AA646" t="s">
        <v>12853</v>
      </c>
      <c r="AB646" t="s">
        <v>12854</v>
      </c>
      <c r="AC646" t="s">
        <v>12855</v>
      </c>
      <c r="AD646" t="s">
        <v>12856</v>
      </c>
      <c r="AE646" t="s">
        <v>12857</v>
      </c>
      <c r="AF646" t="s">
        <v>74</v>
      </c>
      <c r="AG646">
        <v>53</v>
      </c>
      <c r="AH646">
        <v>6</v>
      </c>
      <c r="AI646">
        <v>6</v>
      </c>
      <c r="AJ646">
        <v>0</v>
      </c>
      <c r="AK646">
        <v>4</v>
      </c>
      <c r="AL646" t="s">
        <v>760</v>
      </c>
      <c r="AM646" t="s">
        <v>438</v>
      </c>
      <c r="AN646" t="s">
        <v>761</v>
      </c>
      <c r="AO646" t="s">
        <v>762</v>
      </c>
      <c r="AP646" t="s">
        <v>763</v>
      </c>
      <c r="AQ646" t="s">
        <v>74</v>
      </c>
      <c r="AR646" t="s">
        <v>764</v>
      </c>
      <c r="AS646" t="s">
        <v>765</v>
      </c>
      <c r="AT646" t="s">
        <v>12648</v>
      </c>
      <c r="AU646">
        <v>2021</v>
      </c>
      <c r="AV646">
        <v>48</v>
      </c>
      <c r="AW646">
        <v>17</v>
      </c>
      <c r="AX646" t="s">
        <v>74</v>
      </c>
      <c r="AY646" t="s">
        <v>74</v>
      </c>
      <c r="AZ646" t="s">
        <v>74</v>
      </c>
      <c r="BA646" t="s">
        <v>74</v>
      </c>
      <c r="BB646" t="s">
        <v>74</v>
      </c>
      <c r="BC646" t="s">
        <v>74</v>
      </c>
      <c r="BD646" t="s">
        <v>12858</v>
      </c>
      <c r="BE646" t="s">
        <v>12859</v>
      </c>
      <c r="BF646" t="str">
        <f>HYPERLINK("http://dx.doi.org/10.1029/2021GL094569","http://dx.doi.org/10.1029/2021GL094569")</f>
        <v>http://dx.doi.org/10.1029/2021GL094569</v>
      </c>
      <c r="BG646" t="s">
        <v>74</v>
      </c>
      <c r="BH646" t="s">
        <v>74</v>
      </c>
      <c r="BI646">
        <v>11</v>
      </c>
      <c r="BJ646" t="s">
        <v>236</v>
      </c>
      <c r="BK646" t="s">
        <v>101</v>
      </c>
      <c r="BL646" t="s">
        <v>237</v>
      </c>
      <c r="BM646" t="s">
        <v>12769</v>
      </c>
      <c r="BN646" t="s">
        <v>74</v>
      </c>
      <c r="BO646" t="s">
        <v>12860</v>
      </c>
      <c r="BP646" t="s">
        <v>74</v>
      </c>
      <c r="BQ646" t="s">
        <v>74</v>
      </c>
      <c r="BR646" t="s">
        <v>105</v>
      </c>
      <c r="BS646" t="s">
        <v>12861</v>
      </c>
      <c r="BT646" t="str">
        <f>HYPERLINK("https%3A%2F%2Fwww.webofscience.com%2Fwos%2Fwoscc%2Ffull-record%2FWOS:000694653200043","View Full Record in Web of Science")</f>
        <v>View Full Record in Web of Science</v>
      </c>
    </row>
    <row r="647" spans="1:72" x14ac:dyDescent="0.15">
      <c r="A647" t="s">
        <v>72</v>
      </c>
      <c r="B647" t="s">
        <v>12862</v>
      </c>
      <c r="C647" t="s">
        <v>74</v>
      </c>
      <c r="D647" t="s">
        <v>74</v>
      </c>
      <c r="E647" t="s">
        <v>74</v>
      </c>
      <c r="F647" t="s">
        <v>12863</v>
      </c>
      <c r="G647" t="s">
        <v>74</v>
      </c>
      <c r="H647" t="s">
        <v>74</v>
      </c>
      <c r="I647" t="s">
        <v>12864</v>
      </c>
      <c r="J647" t="s">
        <v>747</v>
      </c>
      <c r="K647" t="s">
        <v>74</v>
      </c>
      <c r="L647" t="s">
        <v>74</v>
      </c>
      <c r="M647" t="s">
        <v>78</v>
      </c>
      <c r="N647" t="s">
        <v>79</v>
      </c>
      <c r="O647" t="s">
        <v>74</v>
      </c>
      <c r="P647" t="s">
        <v>74</v>
      </c>
      <c r="Q647" t="s">
        <v>74</v>
      </c>
      <c r="R647" t="s">
        <v>74</v>
      </c>
      <c r="S647" t="s">
        <v>74</v>
      </c>
      <c r="T647" t="s">
        <v>12865</v>
      </c>
      <c r="U647" t="s">
        <v>12866</v>
      </c>
      <c r="V647" t="s">
        <v>12867</v>
      </c>
      <c r="W647" t="s">
        <v>12868</v>
      </c>
      <c r="X647" t="s">
        <v>12869</v>
      </c>
      <c r="Y647" t="s">
        <v>12870</v>
      </c>
      <c r="Z647" t="s">
        <v>12871</v>
      </c>
      <c r="AA647" t="s">
        <v>12872</v>
      </c>
      <c r="AB647" t="s">
        <v>12873</v>
      </c>
      <c r="AC647" t="s">
        <v>12874</v>
      </c>
      <c r="AD647" t="s">
        <v>12874</v>
      </c>
      <c r="AE647" t="s">
        <v>12875</v>
      </c>
      <c r="AF647" t="s">
        <v>74</v>
      </c>
      <c r="AG647">
        <v>34</v>
      </c>
      <c r="AH647">
        <v>2</v>
      </c>
      <c r="AI647">
        <v>2</v>
      </c>
      <c r="AJ647">
        <v>1</v>
      </c>
      <c r="AK647">
        <v>11</v>
      </c>
      <c r="AL647" t="s">
        <v>760</v>
      </c>
      <c r="AM647" t="s">
        <v>438</v>
      </c>
      <c r="AN647" t="s">
        <v>761</v>
      </c>
      <c r="AO647" t="s">
        <v>762</v>
      </c>
      <c r="AP647" t="s">
        <v>763</v>
      </c>
      <c r="AQ647" t="s">
        <v>74</v>
      </c>
      <c r="AR647" t="s">
        <v>764</v>
      </c>
      <c r="AS647" t="s">
        <v>765</v>
      </c>
      <c r="AT647" t="s">
        <v>12648</v>
      </c>
      <c r="AU647">
        <v>2021</v>
      </c>
      <c r="AV647">
        <v>48</v>
      </c>
      <c r="AW647">
        <v>17</v>
      </c>
      <c r="AX647" t="s">
        <v>74</v>
      </c>
      <c r="AY647" t="s">
        <v>74</v>
      </c>
      <c r="AZ647" t="s">
        <v>74</v>
      </c>
      <c r="BA647" t="s">
        <v>74</v>
      </c>
      <c r="BB647" t="s">
        <v>74</v>
      </c>
      <c r="BC647" t="s">
        <v>74</v>
      </c>
      <c r="BD647" t="s">
        <v>12876</v>
      </c>
      <c r="BE647" t="s">
        <v>12877</v>
      </c>
      <c r="BF647" t="str">
        <f>HYPERLINK("http://dx.doi.org/10.1029/2021GL093438","http://dx.doi.org/10.1029/2021GL093438")</f>
        <v>http://dx.doi.org/10.1029/2021GL093438</v>
      </c>
      <c r="BG647" t="s">
        <v>74</v>
      </c>
      <c r="BH647" t="s">
        <v>74</v>
      </c>
      <c r="BI647">
        <v>12</v>
      </c>
      <c r="BJ647" t="s">
        <v>236</v>
      </c>
      <c r="BK647" t="s">
        <v>101</v>
      </c>
      <c r="BL647" t="s">
        <v>237</v>
      </c>
      <c r="BM647" t="s">
        <v>12769</v>
      </c>
      <c r="BN647" t="s">
        <v>74</v>
      </c>
      <c r="BO647" t="s">
        <v>129</v>
      </c>
      <c r="BP647" t="s">
        <v>74</v>
      </c>
      <c r="BQ647" t="s">
        <v>74</v>
      </c>
      <c r="BR647" t="s">
        <v>105</v>
      </c>
      <c r="BS647" t="s">
        <v>12878</v>
      </c>
      <c r="BT647" t="str">
        <f>HYPERLINK("https%3A%2F%2Fwww.webofscience.com%2Fwos%2Fwoscc%2Ffull-record%2FWOS:000694653200059","View Full Record in Web of Science")</f>
        <v>View Full Record in Web of Science</v>
      </c>
    </row>
    <row r="648" spans="1:72" x14ac:dyDescent="0.15">
      <c r="A648" t="s">
        <v>72</v>
      </c>
      <c r="B648" t="s">
        <v>12879</v>
      </c>
      <c r="C648" t="s">
        <v>74</v>
      </c>
      <c r="D648" t="s">
        <v>74</v>
      </c>
      <c r="E648" t="s">
        <v>74</v>
      </c>
      <c r="F648" t="s">
        <v>12880</v>
      </c>
      <c r="G648" t="s">
        <v>74</v>
      </c>
      <c r="H648" t="s">
        <v>74</v>
      </c>
      <c r="I648" t="s">
        <v>12881</v>
      </c>
      <c r="J648" t="s">
        <v>1139</v>
      </c>
      <c r="K648" t="s">
        <v>74</v>
      </c>
      <c r="L648" t="s">
        <v>74</v>
      </c>
      <c r="M648" t="s">
        <v>78</v>
      </c>
      <c r="N648" t="s">
        <v>79</v>
      </c>
      <c r="O648" t="s">
        <v>74</v>
      </c>
      <c r="P648" t="s">
        <v>74</v>
      </c>
      <c r="Q648" t="s">
        <v>74</v>
      </c>
      <c r="R648" t="s">
        <v>74</v>
      </c>
      <c r="S648" t="s">
        <v>74</v>
      </c>
      <c r="T648" t="s">
        <v>74</v>
      </c>
      <c r="U648" t="s">
        <v>12882</v>
      </c>
      <c r="V648" t="s">
        <v>12883</v>
      </c>
      <c r="W648" t="s">
        <v>12884</v>
      </c>
      <c r="X648" t="s">
        <v>12885</v>
      </c>
      <c r="Y648" t="s">
        <v>12886</v>
      </c>
      <c r="Z648" t="s">
        <v>12887</v>
      </c>
      <c r="AA648" t="s">
        <v>12888</v>
      </c>
      <c r="AB648" t="s">
        <v>12889</v>
      </c>
      <c r="AC648" t="s">
        <v>12890</v>
      </c>
      <c r="AD648" t="s">
        <v>12891</v>
      </c>
      <c r="AE648" t="s">
        <v>12892</v>
      </c>
      <c r="AF648" t="s">
        <v>74</v>
      </c>
      <c r="AG648">
        <v>131</v>
      </c>
      <c r="AH648">
        <v>6</v>
      </c>
      <c r="AI648">
        <v>6</v>
      </c>
      <c r="AJ648">
        <v>0</v>
      </c>
      <c r="AK648">
        <v>4</v>
      </c>
      <c r="AL648" t="s">
        <v>227</v>
      </c>
      <c r="AM648" t="s">
        <v>228</v>
      </c>
      <c r="AN648" t="s">
        <v>229</v>
      </c>
      <c r="AO648" t="s">
        <v>1150</v>
      </c>
      <c r="AP648" t="s">
        <v>1151</v>
      </c>
      <c r="AQ648" t="s">
        <v>74</v>
      </c>
      <c r="AR648" t="s">
        <v>1152</v>
      </c>
      <c r="AS648" t="s">
        <v>1153</v>
      </c>
      <c r="AT648" t="s">
        <v>12893</v>
      </c>
      <c r="AU648">
        <v>2021</v>
      </c>
      <c r="AV648">
        <v>17</v>
      </c>
      <c r="AW648">
        <v>5</v>
      </c>
      <c r="AX648" t="s">
        <v>74</v>
      </c>
      <c r="AY648" t="s">
        <v>74</v>
      </c>
      <c r="AZ648" t="s">
        <v>74</v>
      </c>
      <c r="BA648" t="s">
        <v>74</v>
      </c>
      <c r="BB648">
        <v>1213</v>
      </c>
      <c r="BC648">
        <v>1229</v>
      </c>
      <c r="BD648" t="s">
        <v>74</v>
      </c>
      <c r="BE648" t="s">
        <v>12894</v>
      </c>
      <c r="BF648" t="str">
        <f>HYPERLINK("http://dx.doi.org/10.5194/os-17-1213-2021","http://dx.doi.org/10.5194/os-17-1213-2021")</f>
        <v>http://dx.doi.org/10.5194/os-17-1213-2021</v>
      </c>
      <c r="BG648" t="s">
        <v>74</v>
      </c>
      <c r="BH648" t="s">
        <v>74</v>
      </c>
      <c r="BI648">
        <v>17</v>
      </c>
      <c r="BJ648" t="s">
        <v>1155</v>
      </c>
      <c r="BK648" t="s">
        <v>101</v>
      </c>
      <c r="BL648" t="s">
        <v>1155</v>
      </c>
      <c r="BM648" t="s">
        <v>12895</v>
      </c>
      <c r="BN648" t="s">
        <v>74</v>
      </c>
      <c r="BO648" t="s">
        <v>239</v>
      </c>
      <c r="BP648" t="s">
        <v>74</v>
      </c>
      <c r="BQ648" t="s">
        <v>74</v>
      </c>
      <c r="BR648" t="s">
        <v>105</v>
      </c>
      <c r="BS648" t="s">
        <v>12896</v>
      </c>
      <c r="BT648" t="str">
        <f>HYPERLINK("https%3A%2F%2Fwww.webofscience.com%2Fwos%2Fwoscc%2Ffull-record%2FWOS:000696475900001","View Full Record in Web of Science")</f>
        <v>View Full Record in Web of Science</v>
      </c>
    </row>
    <row r="649" spans="1:72" x14ac:dyDescent="0.15">
      <c r="A649" t="s">
        <v>72</v>
      </c>
      <c r="B649" t="s">
        <v>12897</v>
      </c>
      <c r="C649" t="s">
        <v>74</v>
      </c>
      <c r="D649" t="s">
        <v>74</v>
      </c>
      <c r="E649" t="s">
        <v>74</v>
      </c>
      <c r="F649" t="s">
        <v>12898</v>
      </c>
      <c r="G649" t="s">
        <v>74</v>
      </c>
      <c r="H649" t="s">
        <v>74</v>
      </c>
      <c r="I649" t="s">
        <v>12899</v>
      </c>
      <c r="J649" t="s">
        <v>5907</v>
      </c>
      <c r="K649" t="s">
        <v>74</v>
      </c>
      <c r="L649" t="s">
        <v>74</v>
      </c>
      <c r="M649" t="s">
        <v>78</v>
      </c>
      <c r="N649" t="s">
        <v>79</v>
      </c>
      <c r="O649" t="s">
        <v>74</v>
      </c>
      <c r="P649" t="s">
        <v>74</v>
      </c>
      <c r="Q649" t="s">
        <v>74</v>
      </c>
      <c r="R649" t="s">
        <v>74</v>
      </c>
      <c r="S649" t="s">
        <v>74</v>
      </c>
      <c r="T649" t="s">
        <v>12900</v>
      </c>
      <c r="U649" t="s">
        <v>12901</v>
      </c>
      <c r="V649" t="s">
        <v>12902</v>
      </c>
      <c r="W649" t="s">
        <v>12903</v>
      </c>
      <c r="X649" t="s">
        <v>12904</v>
      </c>
      <c r="Y649" t="s">
        <v>12905</v>
      </c>
      <c r="Z649" t="s">
        <v>12906</v>
      </c>
      <c r="AA649" t="s">
        <v>12907</v>
      </c>
      <c r="AB649" t="s">
        <v>12908</v>
      </c>
      <c r="AC649" t="s">
        <v>12909</v>
      </c>
      <c r="AD649" t="s">
        <v>12910</v>
      </c>
      <c r="AE649" t="s">
        <v>12911</v>
      </c>
      <c r="AF649" t="s">
        <v>74</v>
      </c>
      <c r="AG649">
        <v>51</v>
      </c>
      <c r="AH649">
        <v>7</v>
      </c>
      <c r="AI649">
        <v>8</v>
      </c>
      <c r="AJ649">
        <v>2</v>
      </c>
      <c r="AK649">
        <v>40</v>
      </c>
      <c r="AL649" t="s">
        <v>1175</v>
      </c>
      <c r="AM649" t="s">
        <v>170</v>
      </c>
      <c r="AN649" t="s">
        <v>1176</v>
      </c>
      <c r="AO649" t="s">
        <v>5920</v>
      </c>
      <c r="AP649" t="s">
        <v>5921</v>
      </c>
      <c r="AQ649" t="s">
        <v>74</v>
      </c>
      <c r="AR649" t="s">
        <v>5922</v>
      </c>
      <c r="AS649" t="s">
        <v>5923</v>
      </c>
      <c r="AT649" t="s">
        <v>204</v>
      </c>
      <c r="AU649">
        <v>2021</v>
      </c>
      <c r="AV649">
        <v>266</v>
      </c>
      <c r="AW649" t="s">
        <v>74</v>
      </c>
      <c r="AX649" t="s">
        <v>74</v>
      </c>
      <c r="AY649" t="s">
        <v>74</v>
      </c>
      <c r="AZ649" t="s">
        <v>74</v>
      </c>
      <c r="BA649" t="s">
        <v>74</v>
      </c>
      <c r="BB649" t="s">
        <v>74</v>
      </c>
      <c r="BC649" t="s">
        <v>74</v>
      </c>
      <c r="BD649">
        <v>112687</v>
      </c>
      <c r="BE649" t="s">
        <v>12912</v>
      </c>
      <c r="BF649" t="str">
        <f>HYPERLINK("http://dx.doi.org/10.1016/j.rse.2021.112687","http://dx.doi.org/10.1016/j.rse.2021.112687")</f>
        <v>http://dx.doi.org/10.1016/j.rse.2021.112687</v>
      </c>
      <c r="BG649" t="s">
        <v>74</v>
      </c>
      <c r="BH649" t="s">
        <v>11189</v>
      </c>
      <c r="BI649">
        <v>10</v>
      </c>
      <c r="BJ649" t="s">
        <v>5925</v>
      </c>
      <c r="BK649" t="s">
        <v>101</v>
      </c>
      <c r="BL649" t="s">
        <v>5926</v>
      </c>
      <c r="BM649" t="s">
        <v>12913</v>
      </c>
      <c r="BN649" t="s">
        <v>74</v>
      </c>
      <c r="BO649" t="s">
        <v>1471</v>
      </c>
      <c r="BP649" t="s">
        <v>74</v>
      </c>
      <c r="BQ649" t="s">
        <v>74</v>
      </c>
      <c r="BR649" t="s">
        <v>105</v>
      </c>
      <c r="BS649" t="s">
        <v>12914</v>
      </c>
      <c r="BT649" t="str">
        <f>HYPERLINK("https%3A%2F%2Fwww.webofscience.com%2Fwos%2Fwoscc%2Ffull-record%2FWOS:000704288300003","View Full Record in Web of Science")</f>
        <v>View Full Record in Web of Science</v>
      </c>
    </row>
    <row r="650" spans="1:72" x14ac:dyDescent="0.15">
      <c r="A650" t="s">
        <v>72</v>
      </c>
      <c r="B650" t="s">
        <v>12915</v>
      </c>
      <c r="C650" t="s">
        <v>74</v>
      </c>
      <c r="D650" t="s">
        <v>74</v>
      </c>
      <c r="E650" t="s">
        <v>74</v>
      </c>
      <c r="F650" t="s">
        <v>12916</v>
      </c>
      <c r="G650" t="s">
        <v>74</v>
      </c>
      <c r="H650" t="s">
        <v>74</v>
      </c>
      <c r="I650" t="s">
        <v>12917</v>
      </c>
      <c r="J650" t="s">
        <v>12918</v>
      </c>
      <c r="K650" t="s">
        <v>74</v>
      </c>
      <c r="L650" t="s">
        <v>74</v>
      </c>
      <c r="M650" t="s">
        <v>78</v>
      </c>
      <c r="N650" t="s">
        <v>79</v>
      </c>
      <c r="O650" t="s">
        <v>74</v>
      </c>
      <c r="P650" t="s">
        <v>74</v>
      </c>
      <c r="Q650" t="s">
        <v>74</v>
      </c>
      <c r="R650" t="s">
        <v>74</v>
      </c>
      <c r="S650" t="s">
        <v>74</v>
      </c>
      <c r="T650" t="s">
        <v>12919</v>
      </c>
      <c r="U650" t="s">
        <v>12920</v>
      </c>
      <c r="V650" t="s">
        <v>12921</v>
      </c>
      <c r="W650" t="s">
        <v>12922</v>
      </c>
      <c r="X650" t="s">
        <v>12923</v>
      </c>
      <c r="Y650" t="s">
        <v>12924</v>
      </c>
      <c r="Z650" t="s">
        <v>12925</v>
      </c>
      <c r="AA650" t="s">
        <v>12926</v>
      </c>
      <c r="AB650" t="s">
        <v>12927</v>
      </c>
      <c r="AC650" t="s">
        <v>12928</v>
      </c>
      <c r="AD650" t="s">
        <v>12929</v>
      </c>
      <c r="AE650" t="s">
        <v>12930</v>
      </c>
      <c r="AF650" t="s">
        <v>74</v>
      </c>
      <c r="AG650">
        <v>73</v>
      </c>
      <c r="AH650">
        <v>5</v>
      </c>
      <c r="AI650">
        <v>5</v>
      </c>
      <c r="AJ650">
        <v>0</v>
      </c>
      <c r="AK650">
        <v>3</v>
      </c>
      <c r="AL650" t="s">
        <v>572</v>
      </c>
      <c r="AM650" t="s">
        <v>573</v>
      </c>
      <c r="AN650" t="s">
        <v>574</v>
      </c>
      <c r="AO650" t="s">
        <v>74</v>
      </c>
      <c r="AP650" t="s">
        <v>12931</v>
      </c>
      <c r="AQ650" t="s">
        <v>74</v>
      </c>
      <c r="AR650" t="s">
        <v>12932</v>
      </c>
      <c r="AS650" t="s">
        <v>12933</v>
      </c>
      <c r="AT650" t="s">
        <v>627</v>
      </c>
      <c r="AU650">
        <v>2021</v>
      </c>
      <c r="AV650">
        <v>7</v>
      </c>
      <c r="AW650">
        <v>3</v>
      </c>
      <c r="AX650" t="s">
        <v>74</v>
      </c>
      <c r="AY650" t="s">
        <v>74</v>
      </c>
      <c r="AZ650" t="s">
        <v>74</v>
      </c>
      <c r="BA650" t="s">
        <v>74</v>
      </c>
      <c r="BB650">
        <v>564</v>
      </c>
      <c r="BC650">
        <v>581</v>
      </c>
      <c r="BD650" t="s">
        <v>74</v>
      </c>
      <c r="BE650" t="s">
        <v>12934</v>
      </c>
      <c r="BF650" t="str">
        <f>HYPERLINK("http://dx.doi.org/10.1002/dep2.157","http://dx.doi.org/10.1002/dep2.157")</f>
        <v>http://dx.doi.org/10.1002/dep2.157</v>
      </c>
      <c r="BG650" t="s">
        <v>74</v>
      </c>
      <c r="BH650" t="s">
        <v>11189</v>
      </c>
      <c r="BI650">
        <v>18</v>
      </c>
      <c r="BJ650" t="s">
        <v>237</v>
      </c>
      <c r="BK650" t="s">
        <v>101</v>
      </c>
      <c r="BL650" t="s">
        <v>237</v>
      </c>
      <c r="BM650" t="s">
        <v>12935</v>
      </c>
      <c r="BN650" t="s">
        <v>74</v>
      </c>
      <c r="BO650" t="s">
        <v>74</v>
      </c>
      <c r="BP650" t="s">
        <v>74</v>
      </c>
      <c r="BQ650" t="s">
        <v>74</v>
      </c>
      <c r="BR650" t="s">
        <v>105</v>
      </c>
      <c r="BS650" t="s">
        <v>12936</v>
      </c>
      <c r="BT650" t="str">
        <f>HYPERLINK("https%3A%2F%2Fwww.webofscience.com%2Fwos%2Fwoscc%2Ffull-record%2FWOS:000695630900001","View Full Record in Web of Science")</f>
        <v>View Full Record in Web of Science</v>
      </c>
    </row>
    <row r="651" spans="1:72" x14ac:dyDescent="0.15">
      <c r="A651" t="s">
        <v>72</v>
      </c>
      <c r="B651" t="s">
        <v>12937</v>
      </c>
      <c r="C651" t="s">
        <v>74</v>
      </c>
      <c r="D651" t="s">
        <v>74</v>
      </c>
      <c r="E651" t="s">
        <v>74</v>
      </c>
      <c r="F651" t="s">
        <v>12938</v>
      </c>
      <c r="G651" t="s">
        <v>74</v>
      </c>
      <c r="H651" t="s">
        <v>74</v>
      </c>
      <c r="I651" t="s">
        <v>12939</v>
      </c>
      <c r="J651" t="s">
        <v>587</v>
      </c>
      <c r="K651" t="s">
        <v>74</v>
      </c>
      <c r="L651" t="s">
        <v>74</v>
      </c>
      <c r="M651" t="s">
        <v>78</v>
      </c>
      <c r="N651" t="s">
        <v>79</v>
      </c>
      <c r="O651" t="s">
        <v>74</v>
      </c>
      <c r="P651" t="s">
        <v>74</v>
      </c>
      <c r="Q651" t="s">
        <v>74</v>
      </c>
      <c r="R651" t="s">
        <v>74</v>
      </c>
      <c r="S651" t="s">
        <v>74</v>
      </c>
      <c r="T651" t="s">
        <v>12940</v>
      </c>
      <c r="U651" t="s">
        <v>12941</v>
      </c>
      <c r="V651" t="s">
        <v>12942</v>
      </c>
      <c r="W651" t="s">
        <v>12943</v>
      </c>
      <c r="X651" t="s">
        <v>12944</v>
      </c>
      <c r="Y651" t="s">
        <v>12945</v>
      </c>
      <c r="Z651" t="s">
        <v>12946</v>
      </c>
      <c r="AA651" t="s">
        <v>12947</v>
      </c>
      <c r="AB651" t="s">
        <v>12948</v>
      </c>
      <c r="AC651" t="s">
        <v>12949</v>
      </c>
      <c r="AD651" t="s">
        <v>12950</v>
      </c>
      <c r="AE651" t="s">
        <v>12951</v>
      </c>
      <c r="AF651" t="s">
        <v>74</v>
      </c>
      <c r="AG651">
        <v>89</v>
      </c>
      <c r="AH651">
        <v>6</v>
      </c>
      <c r="AI651">
        <v>6</v>
      </c>
      <c r="AJ651">
        <v>0</v>
      </c>
      <c r="AK651">
        <v>12</v>
      </c>
      <c r="AL651" t="s">
        <v>572</v>
      </c>
      <c r="AM651" t="s">
        <v>573</v>
      </c>
      <c r="AN651" t="s">
        <v>574</v>
      </c>
      <c r="AO651" t="s">
        <v>600</v>
      </c>
      <c r="AP651" t="s">
        <v>601</v>
      </c>
      <c r="AQ651" t="s">
        <v>74</v>
      </c>
      <c r="AR651" t="s">
        <v>602</v>
      </c>
      <c r="AS651" t="s">
        <v>603</v>
      </c>
      <c r="AT651" t="s">
        <v>98</v>
      </c>
      <c r="AU651">
        <v>2021</v>
      </c>
      <c r="AV651">
        <v>27</v>
      </c>
      <c r="AW651">
        <v>12</v>
      </c>
      <c r="AX651" t="s">
        <v>74</v>
      </c>
      <c r="AY651" t="s">
        <v>74</v>
      </c>
      <c r="AZ651" t="s">
        <v>74</v>
      </c>
      <c r="BA651" t="s">
        <v>74</v>
      </c>
      <c r="BB651">
        <v>2330</v>
      </c>
      <c r="BC651">
        <v>2343</v>
      </c>
      <c r="BD651" t="s">
        <v>74</v>
      </c>
      <c r="BE651" t="s">
        <v>12952</v>
      </c>
      <c r="BF651" t="str">
        <f>HYPERLINK("http://dx.doi.org/10.1111/ddi.13405","http://dx.doi.org/10.1111/ddi.13405")</f>
        <v>http://dx.doi.org/10.1111/ddi.13405</v>
      </c>
      <c r="BG651" t="s">
        <v>74</v>
      </c>
      <c r="BH651" t="s">
        <v>11189</v>
      </c>
      <c r="BI651">
        <v>14</v>
      </c>
      <c r="BJ651" t="s">
        <v>605</v>
      </c>
      <c r="BK651" t="s">
        <v>101</v>
      </c>
      <c r="BL651" t="s">
        <v>606</v>
      </c>
      <c r="BM651" t="s">
        <v>12953</v>
      </c>
      <c r="BN651" t="s">
        <v>74</v>
      </c>
      <c r="BO651" t="s">
        <v>720</v>
      </c>
      <c r="BP651" t="s">
        <v>74</v>
      </c>
      <c r="BQ651" t="s">
        <v>74</v>
      </c>
      <c r="BR651" t="s">
        <v>105</v>
      </c>
      <c r="BS651" t="s">
        <v>12954</v>
      </c>
      <c r="BT651" t="str">
        <f>HYPERLINK("https%3A%2F%2Fwww.webofscience.com%2Fwos%2Fwoscc%2Ffull-record%2FWOS:000695579100001","View Full Record in Web of Science")</f>
        <v>View Full Record in Web of Science</v>
      </c>
    </row>
    <row r="652" spans="1:72" x14ac:dyDescent="0.15">
      <c r="A652" t="s">
        <v>72</v>
      </c>
      <c r="B652" t="s">
        <v>12955</v>
      </c>
      <c r="C652" t="s">
        <v>74</v>
      </c>
      <c r="D652" t="s">
        <v>74</v>
      </c>
      <c r="E652" t="s">
        <v>74</v>
      </c>
      <c r="F652" t="s">
        <v>12956</v>
      </c>
      <c r="G652" t="s">
        <v>74</v>
      </c>
      <c r="H652" t="s">
        <v>74</v>
      </c>
      <c r="I652" t="s">
        <v>12957</v>
      </c>
      <c r="J652" t="s">
        <v>6143</v>
      </c>
      <c r="K652" t="s">
        <v>74</v>
      </c>
      <c r="L652" t="s">
        <v>74</v>
      </c>
      <c r="M652" t="s">
        <v>78</v>
      </c>
      <c r="N652" t="s">
        <v>79</v>
      </c>
      <c r="O652" t="s">
        <v>74</v>
      </c>
      <c r="P652" t="s">
        <v>74</v>
      </c>
      <c r="Q652" t="s">
        <v>74</v>
      </c>
      <c r="R652" t="s">
        <v>74</v>
      </c>
      <c r="S652" t="s">
        <v>74</v>
      </c>
      <c r="T652" t="s">
        <v>12958</v>
      </c>
      <c r="U652" t="s">
        <v>12959</v>
      </c>
      <c r="V652" t="s">
        <v>12960</v>
      </c>
      <c r="W652" t="s">
        <v>12961</v>
      </c>
      <c r="X652" t="s">
        <v>12962</v>
      </c>
      <c r="Y652" t="s">
        <v>12963</v>
      </c>
      <c r="Z652" t="s">
        <v>12964</v>
      </c>
      <c r="AA652" t="s">
        <v>12965</v>
      </c>
      <c r="AB652" t="s">
        <v>12966</v>
      </c>
      <c r="AC652" t="s">
        <v>12967</v>
      </c>
      <c r="AD652" t="s">
        <v>12968</v>
      </c>
      <c r="AE652" t="s">
        <v>12969</v>
      </c>
      <c r="AF652" t="s">
        <v>74</v>
      </c>
      <c r="AG652">
        <v>68</v>
      </c>
      <c r="AH652">
        <v>3</v>
      </c>
      <c r="AI652">
        <v>4</v>
      </c>
      <c r="AJ652">
        <v>5</v>
      </c>
      <c r="AK652">
        <v>15</v>
      </c>
      <c r="AL652" t="s">
        <v>666</v>
      </c>
      <c r="AM652" t="s">
        <v>170</v>
      </c>
      <c r="AN652" t="s">
        <v>667</v>
      </c>
      <c r="AO652" t="s">
        <v>6156</v>
      </c>
      <c r="AP652" t="s">
        <v>6157</v>
      </c>
      <c r="AQ652" t="s">
        <v>74</v>
      </c>
      <c r="AR652" t="s">
        <v>6158</v>
      </c>
      <c r="AS652" t="s">
        <v>6159</v>
      </c>
      <c r="AT652" t="s">
        <v>98</v>
      </c>
      <c r="AU652">
        <v>2021</v>
      </c>
      <c r="AV652">
        <v>33</v>
      </c>
      <c r="AW652">
        <v>6</v>
      </c>
      <c r="AX652" t="s">
        <v>74</v>
      </c>
      <c r="AY652" t="s">
        <v>74</v>
      </c>
      <c r="AZ652" t="s">
        <v>74</v>
      </c>
      <c r="BA652" t="s">
        <v>74</v>
      </c>
      <c r="BB652">
        <v>645</v>
      </c>
      <c r="BC652">
        <v>659</v>
      </c>
      <c r="BD652" t="s">
        <v>12970</v>
      </c>
      <c r="BE652" t="s">
        <v>12971</v>
      </c>
      <c r="BF652" t="str">
        <f>HYPERLINK("http://dx.doi.org/10.1017/S0954102021000390","http://dx.doi.org/10.1017/S0954102021000390")</f>
        <v>http://dx.doi.org/10.1017/S0954102021000390</v>
      </c>
      <c r="BG652" t="s">
        <v>74</v>
      </c>
      <c r="BH652" t="s">
        <v>11189</v>
      </c>
      <c r="BI652">
        <v>15</v>
      </c>
      <c r="BJ652" t="s">
        <v>6161</v>
      </c>
      <c r="BK652" t="s">
        <v>101</v>
      </c>
      <c r="BL652" t="s">
        <v>6162</v>
      </c>
      <c r="BM652" t="s">
        <v>6163</v>
      </c>
      <c r="BN652" t="s">
        <v>74</v>
      </c>
      <c r="BO652" t="s">
        <v>74</v>
      </c>
      <c r="BP652" t="s">
        <v>74</v>
      </c>
      <c r="BQ652" t="s">
        <v>74</v>
      </c>
      <c r="BR652" t="s">
        <v>105</v>
      </c>
      <c r="BS652" t="s">
        <v>12972</v>
      </c>
      <c r="BT652" t="str">
        <f>HYPERLINK("https%3A%2F%2Fwww.webofscience.com%2Fwos%2Fwoscc%2Ffull-record%2FWOS:000737582200001","View Full Record in Web of Science")</f>
        <v>View Full Record in Web of Science</v>
      </c>
    </row>
    <row r="653" spans="1:72" x14ac:dyDescent="0.15">
      <c r="A653" t="s">
        <v>72</v>
      </c>
      <c r="B653" t="s">
        <v>12973</v>
      </c>
      <c r="C653" t="s">
        <v>74</v>
      </c>
      <c r="D653" t="s">
        <v>74</v>
      </c>
      <c r="E653" t="s">
        <v>74</v>
      </c>
      <c r="F653" t="s">
        <v>12974</v>
      </c>
      <c r="G653" t="s">
        <v>74</v>
      </c>
      <c r="H653" t="s">
        <v>74</v>
      </c>
      <c r="I653" t="s">
        <v>12975</v>
      </c>
      <c r="J653" t="s">
        <v>1516</v>
      </c>
      <c r="K653" t="s">
        <v>74</v>
      </c>
      <c r="L653" t="s">
        <v>74</v>
      </c>
      <c r="M653" t="s">
        <v>78</v>
      </c>
      <c r="N653" t="s">
        <v>79</v>
      </c>
      <c r="O653" t="s">
        <v>74</v>
      </c>
      <c r="P653" t="s">
        <v>74</v>
      </c>
      <c r="Q653" t="s">
        <v>74</v>
      </c>
      <c r="R653" t="s">
        <v>74</v>
      </c>
      <c r="S653" t="s">
        <v>74</v>
      </c>
      <c r="T653" t="s">
        <v>74</v>
      </c>
      <c r="U653" t="s">
        <v>12976</v>
      </c>
      <c r="V653" t="s">
        <v>12977</v>
      </c>
      <c r="W653" t="s">
        <v>12978</v>
      </c>
      <c r="X653" t="s">
        <v>12979</v>
      </c>
      <c r="Y653" t="s">
        <v>12980</v>
      </c>
      <c r="Z653" t="s">
        <v>12981</v>
      </c>
      <c r="AA653" t="s">
        <v>12982</v>
      </c>
      <c r="AB653" t="s">
        <v>12983</v>
      </c>
      <c r="AC653" t="s">
        <v>12984</v>
      </c>
      <c r="AD653" t="s">
        <v>12984</v>
      </c>
      <c r="AE653" t="s">
        <v>12985</v>
      </c>
      <c r="AF653" t="s">
        <v>74</v>
      </c>
      <c r="AG653">
        <v>103</v>
      </c>
      <c r="AH653">
        <v>6</v>
      </c>
      <c r="AI653">
        <v>6</v>
      </c>
      <c r="AJ653">
        <v>1</v>
      </c>
      <c r="AK653">
        <v>6</v>
      </c>
      <c r="AL653" t="s">
        <v>1527</v>
      </c>
      <c r="AM653" t="s">
        <v>1528</v>
      </c>
      <c r="AN653" t="s">
        <v>1529</v>
      </c>
      <c r="AO653" t="s">
        <v>1530</v>
      </c>
      <c r="AP653" t="s">
        <v>74</v>
      </c>
      <c r="AQ653" t="s">
        <v>74</v>
      </c>
      <c r="AR653" t="s">
        <v>1516</v>
      </c>
      <c r="AS653" t="s">
        <v>1531</v>
      </c>
      <c r="AT653" t="s">
        <v>12986</v>
      </c>
      <c r="AU653">
        <v>2021</v>
      </c>
      <c r="AV653">
        <v>16</v>
      </c>
      <c r="AW653">
        <v>9</v>
      </c>
      <c r="AX653" t="s">
        <v>74</v>
      </c>
      <c r="AY653" t="s">
        <v>74</v>
      </c>
      <c r="AZ653" t="s">
        <v>74</v>
      </c>
      <c r="BA653" t="s">
        <v>74</v>
      </c>
      <c r="BB653" t="s">
        <v>74</v>
      </c>
      <c r="BC653" t="s">
        <v>74</v>
      </c>
      <c r="BD653" t="s">
        <v>12987</v>
      </c>
      <c r="BE653" t="s">
        <v>12988</v>
      </c>
      <c r="BF653" t="str">
        <f>HYPERLINK("http://dx.doi.org/10.1371/journal.pone.0250916","http://dx.doi.org/10.1371/journal.pone.0250916")</f>
        <v>http://dx.doi.org/10.1371/journal.pone.0250916</v>
      </c>
      <c r="BG653" t="s">
        <v>74</v>
      </c>
      <c r="BH653" t="s">
        <v>74</v>
      </c>
      <c r="BI653">
        <v>18</v>
      </c>
      <c r="BJ653" t="s">
        <v>126</v>
      </c>
      <c r="BK653" t="s">
        <v>101</v>
      </c>
      <c r="BL653" t="s">
        <v>127</v>
      </c>
      <c r="BM653" t="s">
        <v>12989</v>
      </c>
      <c r="BN653">
        <v>34516559</v>
      </c>
      <c r="BO653" t="s">
        <v>1536</v>
      </c>
      <c r="BP653" t="s">
        <v>74</v>
      </c>
      <c r="BQ653" t="s">
        <v>74</v>
      </c>
      <c r="BR653" t="s">
        <v>105</v>
      </c>
      <c r="BS653" t="s">
        <v>12990</v>
      </c>
      <c r="BT653" t="str">
        <f>HYPERLINK("https%3A%2F%2Fwww.webofscience.com%2Fwos%2Fwoscc%2Ffull-record%2FWOS:000707114200002","View Full Record in Web of Science")</f>
        <v>View Full Record in Web of Science</v>
      </c>
    </row>
    <row r="654" spans="1:72" x14ac:dyDescent="0.15">
      <c r="A654" t="s">
        <v>72</v>
      </c>
      <c r="B654" t="s">
        <v>12991</v>
      </c>
      <c r="C654" t="s">
        <v>74</v>
      </c>
      <c r="D654" t="s">
        <v>74</v>
      </c>
      <c r="E654" t="s">
        <v>74</v>
      </c>
      <c r="F654" t="s">
        <v>12992</v>
      </c>
      <c r="G654" t="s">
        <v>74</v>
      </c>
      <c r="H654" t="s">
        <v>74</v>
      </c>
      <c r="I654" t="s">
        <v>12993</v>
      </c>
      <c r="J654" t="s">
        <v>1099</v>
      </c>
      <c r="K654" t="s">
        <v>74</v>
      </c>
      <c r="L654" t="s">
        <v>74</v>
      </c>
      <c r="M654" t="s">
        <v>78</v>
      </c>
      <c r="N654" t="s">
        <v>79</v>
      </c>
      <c r="O654" t="s">
        <v>74</v>
      </c>
      <c r="P654" t="s">
        <v>74</v>
      </c>
      <c r="Q654" t="s">
        <v>74</v>
      </c>
      <c r="R654" t="s">
        <v>74</v>
      </c>
      <c r="S654" t="s">
        <v>74</v>
      </c>
      <c r="T654" t="s">
        <v>12994</v>
      </c>
      <c r="U654" t="s">
        <v>12995</v>
      </c>
      <c r="V654" t="s">
        <v>12996</v>
      </c>
      <c r="W654" t="s">
        <v>12997</v>
      </c>
      <c r="X654" t="s">
        <v>12998</v>
      </c>
      <c r="Y654" t="s">
        <v>12999</v>
      </c>
      <c r="Z654" t="s">
        <v>13000</v>
      </c>
      <c r="AA654" t="s">
        <v>13001</v>
      </c>
      <c r="AB654" t="s">
        <v>13002</v>
      </c>
      <c r="AC654" t="s">
        <v>13003</v>
      </c>
      <c r="AD654" t="s">
        <v>13004</v>
      </c>
      <c r="AE654" t="s">
        <v>13005</v>
      </c>
      <c r="AF654" t="s">
        <v>74</v>
      </c>
      <c r="AG654">
        <v>65</v>
      </c>
      <c r="AH654">
        <v>1</v>
      </c>
      <c r="AI654">
        <v>1</v>
      </c>
      <c r="AJ654">
        <v>0</v>
      </c>
      <c r="AK654">
        <v>3</v>
      </c>
      <c r="AL654" t="s">
        <v>383</v>
      </c>
      <c r="AM654" t="s">
        <v>384</v>
      </c>
      <c r="AN654" t="s">
        <v>385</v>
      </c>
      <c r="AO654" t="s">
        <v>74</v>
      </c>
      <c r="AP654" t="s">
        <v>1112</v>
      </c>
      <c r="AQ654" t="s">
        <v>74</v>
      </c>
      <c r="AR654" t="s">
        <v>1113</v>
      </c>
      <c r="AS654" t="s">
        <v>1114</v>
      </c>
      <c r="AT654" t="s">
        <v>12986</v>
      </c>
      <c r="AU654">
        <v>2021</v>
      </c>
      <c r="AV654">
        <v>9</v>
      </c>
      <c r="AW654" t="s">
        <v>74</v>
      </c>
      <c r="AX654" t="s">
        <v>74</v>
      </c>
      <c r="AY654" t="s">
        <v>74</v>
      </c>
      <c r="AZ654" t="s">
        <v>74</v>
      </c>
      <c r="BA654" t="s">
        <v>74</v>
      </c>
      <c r="BB654" t="s">
        <v>74</v>
      </c>
      <c r="BC654" t="s">
        <v>74</v>
      </c>
      <c r="BD654">
        <v>640304</v>
      </c>
      <c r="BE654" t="s">
        <v>13006</v>
      </c>
      <c r="BF654" t="str">
        <f>HYPERLINK("http://dx.doi.org/10.3389/feart.2021.640304","http://dx.doi.org/10.3389/feart.2021.640304")</f>
        <v>http://dx.doi.org/10.3389/feart.2021.640304</v>
      </c>
      <c r="BG654" t="s">
        <v>74</v>
      </c>
      <c r="BH654" t="s">
        <v>74</v>
      </c>
      <c r="BI654">
        <v>8</v>
      </c>
      <c r="BJ654" t="s">
        <v>236</v>
      </c>
      <c r="BK654" t="s">
        <v>101</v>
      </c>
      <c r="BL654" t="s">
        <v>237</v>
      </c>
      <c r="BM654" t="s">
        <v>13007</v>
      </c>
      <c r="BN654" t="s">
        <v>74</v>
      </c>
      <c r="BO654" t="s">
        <v>210</v>
      </c>
      <c r="BP654" t="s">
        <v>74</v>
      </c>
      <c r="BQ654" t="s">
        <v>74</v>
      </c>
      <c r="BR654" t="s">
        <v>105</v>
      </c>
      <c r="BS654" t="s">
        <v>13008</v>
      </c>
      <c r="BT654" t="str">
        <f>HYPERLINK("https%3A%2F%2Fwww.webofscience.com%2Fwos%2Fwoscc%2Ffull-record%2FWOS:000703664300001","View Full Record in Web of Science")</f>
        <v>View Full Record in Web of Science</v>
      </c>
    </row>
    <row r="655" spans="1:72" x14ac:dyDescent="0.15">
      <c r="A655" t="s">
        <v>72</v>
      </c>
      <c r="B655" t="s">
        <v>13009</v>
      </c>
      <c r="C655" t="s">
        <v>74</v>
      </c>
      <c r="D655" t="s">
        <v>74</v>
      </c>
      <c r="E655" t="s">
        <v>74</v>
      </c>
      <c r="F655" t="s">
        <v>13010</v>
      </c>
      <c r="G655" t="s">
        <v>74</v>
      </c>
      <c r="H655" t="s">
        <v>74</v>
      </c>
      <c r="I655" t="s">
        <v>13011</v>
      </c>
      <c r="J655" t="s">
        <v>2972</v>
      </c>
      <c r="K655" t="s">
        <v>74</v>
      </c>
      <c r="L655" t="s">
        <v>74</v>
      </c>
      <c r="M655" t="s">
        <v>78</v>
      </c>
      <c r="N655" t="s">
        <v>79</v>
      </c>
      <c r="O655" t="s">
        <v>74</v>
      </c>
      <c r="P655" t="s">
        <v>74</v>
      </c>
      <c r="Q655" t="s">
        <v>74</v>
      </c>
      <c r="R655" t="s">
        <v>74</v>
      </c>
      <c r="S655" t="s">
        <v>74</v>
      </c>
      <c r="T655" t="s">
        <v>13012</v>
      </c>
      <c r="U655" t="s">
        <v>13013</v>
      </c>
      <c r="V655" t="s">
        <v>13014</v>
      </c>
      <c r="W655" t="s">
        <v>13015</v>
      </c>
      <c r="X655" t="s">
        <v>13016</v>
      </c>
      <c r="Y655" t="s">
        <v>13017</v>
      </c>
      <c r="Z655" t="s">
        <v>13018</v>
      </c>
      <c r="AA655" t="s">
        <v>74</v>
      </c>
      <c r="AB655" t="s">
        <v>74</v>
      </c>
      <c r="AC655" t="s">
        <v>13019</v>
      </c>
      <c r="AD655" t="s">
        <v>13020</v>
      </c>
      <c r="AE655" t="s">
        <v>13021</v>
      </c>
      <c r="AF655" t="s">
        <v>74</v>
      </c>
      <c r="AG655">
        <v>40</v>
      </c>
      <c r="AH655">
        <v>0</v>
      </c>
      <c r="AI655">
        <v>0</v>
      </c>
      <c r="AJ655">
        <v>1</v>
      </c>
      <c r="AK655">
        <v>5</v>
      </c>
      <c r="AL655" t="s">
        <v>847</v>
      </c>
      <c r="AM655" t="s">
        <v>848</v>
      </c>
      <c r="AN655" t="s">
        <v>849</v>
      </c>
      <c r="AO655" t="s">
        <v>2985</v>
      </c>
      <c r="AP655" t="s">
        <v>2986</v>
      </c>
      <c r="AQ655" t="s">
        <v>74</v>
      </c>
      <c r="AR655" t="s">
        <v>2987</v>
      </c>
      <c r="AS655" t="s">
        <v>2988</v>
      </c>
      <c r="AT655" t="s">
        <v>98</v>
      </c>
      <c r="AU655">
        <v>2021</v>
      </c>
      <c r="AV655">
        <v>169</v>
      </c>
      <c r="AW655" t="s">
        <v>74</v>
      </c>
      <c r="AX655" t="s">
        <v>74</v>
      </c>
      <c r="AY655" t="s">
        <v>74</v>
      </c>
      <c r="AZ655" t="s">
        <v>74</v>
      </c>
      <c r="BA655" t="s">
        <v>74</v>
      </c>
      <c r="BB655" t="s">
        <v>74</v>
      </c>
      <c r="BC655" t="s">
        <v>74</v>
      </c>
      <c r="BD655">
        <v>102052</v>
      </c>
      <c r="BE655" t="s">
        <v>13022</v>
      </c>
      <c r="BF655" t="str">
        <f>HYPERLINK("http://dx.doi.org/10.1016/j.marmicro.2021.102052","http://dx.doi.org/10.1016/j.marmicro.2021.102052")</f>
        <v>http://dx.doi.org/10.1016/j.marmicro.2021.102052</v>
      </c>
      <c r="BG655" t="s">
        <v>74</v>
      </c>
      <c r="BH655" t="s">
        <v>11189</v>
      </c>
      <c r="BI655">
        <v>10</v>
      </c>
      <c r="BJ655" t="s">
        <v>2990</v>
      </c>
      <c r="BK655" t="s">
        <v>101</v>
      </c>
      <c r="BL655" t="s">
        <v>2990</v>
      </c>
      <c r="BM655" t="s">
        <v>13023</v>
      </c>
      <c r="BN655" t="s">
        <v>74</v>
      </c>
      <c r="BO655" t="s">
        <v>74</v>
      </c>
      <c r="BP655" t="s">
        <v>74</v>
      </c>
      <c r="BQ655" t="s">
        <v>74</v>
      </c>
      <c r="BR655" t="s">
        <v>105</v>
      </c>
      <c r="BS655" t="s">
        <v>13024</v>
      </c>
      <c r="BT655" t="str">
        <f>HYPERLINK("https%3A%2F%2Fwww.webofscience.com%2Fwos%2Fwoscc%2Ffull-record%2FWOS:000697736200007","View Full Record in Web of Science")</f>
        <v>View Full Record in Web of Science</v>
      </c>
    </row>
    <row r="656" spans="1:72" x14ac:dyDescent="0.15">
      <c r="A656" t="s">
        <v>72</v>
      </c>
      <c r="B656" t="s">
        <v>13025</v>
      </c>
      <c r="C656" t="s">
        <v>74</v>
      </c>
      <c r="D656" t="s">
        <v>74</v>
      </c>
      <c r="E656" t="s">
        <v>74</v>
      </c>
      <c r="F656" t="s">
        <v>13026</v>
      </c>
      <c r="G656" t="s">
        <v>74</v>
      </c>
      <c r="H656" t="s">
        <v>74</v>
      </c>
      <c r="I656" t="s">
        <v>13027</v>
      </c>
      <c r="J656" t="s">
        <v>1058</v>
      </c>
      <c r="K656" t="s">
        <v>74</v>
      </c>
      <c r="L656" t="s">
        <v>74</v>
      </c>
      <c r="M656" t="s">
        <v>78</v>
      </c>
      <c r="N656" t="s">
        <v>79</v>
      </c>
      <c r="O656" t="s">
        <v>74</v>
      </c>
      <c r="P656" t="s">
        <v>74</v>
      </c>
      <c r="Q656" t="s">
        <v>74</v>
      </c>
      <c r="R656" t="s">
        <v>74</v>
      </c>
      <c r="S656" t="s">
        <v>74</v>
      </c>
      <c r="T656" t="s">
        <v>74</v>
      </c>
      <c r="U656" t="s">
        <v>13028</v>
      </c>
      <c r="V656" t="s">
        <v>13029</v>
      </c>
      <c r="W656" t="s">
        <v>13030</v>
      </c>
      <c r="X656" t="s">
        <v>13031</v>
      </c>
      <c r="Y656" t="s">
        <v>13032</v>
      </c>
      <c r="Z656" t="s">
        <v>13033</v>
      </c>
      <c r="AA656" t="s">
        <v>74</v>
      </c>
      <c r="AB656" t="s">
        <v>13034</v>
      </c>
      <c r="AC656" t="s">
        <v>13035</v>
      </c>
      <c r="AD656" t="s">
        <v>13036</v>
      </c>
      <c r="AE656" t="s">
        <v>13037</v>
      </c>
      <c r="AF656" t="s">
        <v>74</v>
      </c>
      <c r="AG656">
        <v>58</v>
      </c>
      <c r="AH656">
        <v>6</v>
      </c>
      <c r="AI656">
        <v>6</v>
      </c>
      <c r="AJ656">
        <v>0</v>
      </c>
      <c r="AK656">
        <v>20</v>
      </c>
      <c r="AL656" t="s">
        <v>227</v>
      </c>
      <c r="AM656" t="s">
        <v>228</v>
      </c>
      <c r="AN656" t="s">
        <v>229</v>
      </c>
      <c r="AO656" t="s">
        <v>1065</v>
      </c>
      <c r="AP656" t="s">
        <v>1066</v>
      </c>
      <c r="AQ656" t="s">
        <v>74</v>
      </c>
      <c r="AR656" t="s">
        <v>1058</v>
      </c>
      <c r="AS656" t="s">
        <v>1067</v>
      </c>
      <c r="AT656" t="s">
        <v>12986</v>
      </c>
      <c r="AU656">
        <v>2021</v>
      </c>
      <c r="AV656">
        <v>15</v>
      </c>
      <c r="AW656">
        <v>9</v>
      </c>
      <c r="AX656" t="s">
        <v>74</v>
      </c>
      <c r="AY656" t="s">
        <v>74</v>
      </c>
      <c r="AZ656" t="s">
        <v>74</v>
      </c>
      <c r="BA656" t="s">
        <v>74</v>
      </c>
      <c r="BB656">
        <v>4421</v>
      </c>
      <c r="BC656">
        <v>4443</v>
      </c>
      <c r="BD656" t="s">
        <v>74</v>
      </c>
      <c r="BE656" t="s">
        <v>13038</v>
      </c>
      <c r="BF656" t="str">
        <f>HYPERLINK("http://dx.doi.org/10.5194/tc-15-4421-2021","http://dx.doi.org/10.5194/tc-15-4421-2021")</f>
        <v>http://dx.doi.org/10.5194/tc-15-4421-2021</v>
      </c>
      <c r="BG656" t="s">
        <v>74</v>
      </c>
      <c r="BH656" t="s">
        <v>74</v>
      </c>
      <c r="BI656">
        <v>23</v>
      </c>
      <c r="BJ656" t="s">
        <v>340</v>
      </c>
      <c r="BK656" t="s">
        <v>101</v>
      </c>
      <c r="BL656" t="s">
        <v>341</v>
      </c>
      <c r="BM656" t="s">
        <v>13039</v>
      </c>
      <c r="BN656" t="s">
        <v>74</v>
      </c>
      <c r="BO656" t="s">
        <v>1797</v>
      </c>
      <c r="BP656" t="s">
        <v>74</v>
      </c>
      <c r="BQ656" t="s">
        <v>74</v>
      </c>
      <c r="BR656" t="s">
        <v>105</v>
      </c>
      <c r="BS656" t="s">
        <v>13040</v>
      </c>
      <c r="BT656" t="str">
        <f>HYPERLINK("https%3A%2F%2Fwww.webofscience.com%2Fwos%2Fwoscc%2Ffull-record%2FWOS:000695651000002","View Full Record in Web of Science")</f>
        <v>View Full Record in Web of Science</v>
      </c>
    </row>
    <row r="657" spans="1:72" x14ac:dyDescent="0.15">
      <c r="A657" t="s">
        <v>72</v>
      </c>
      <c r="B657" t="s">
        <v>13041</v>
      </c>
      <c r="C657" t="s">
        <v>74</v>
      </c>
      <c r="D657" t="s">
        <v>74</v>
      </c>
      <c r="E657" t="s">
        <v>74</v>
      </c>
      <c r="F657" t="s">
        <v>13042</v>
      </c>
      <c r="G657" t="s">
        <v>74</v>
      </c>
      <c r="H657" t="s">
        <v>74</v>
      </c>
      <c r="I657" t="s">
        <v>13043</v>
      </c>
      <c r="J657" t="s">
        <v>3558</v>
      </c>
      <c r="K657" t="s">
        <v>74</v>
      </c>
      <c r="L657" t="s">
        <v>74</v>
      </c>
      <c r="M657" t="s">
        <v>78</v>
      </c>
      <c r="N657" t="s">
        <v>373</v>
      </c>
      <c r="O657" t="s">
        <v>74</v>
      </c>
      <c r="P657" t="s">
        <v>74</v>
      </c>
      <c r="Q657" t="s">
        <v>74</v>
      </c>
      <c r="R657" t="s">
        <v>74</v>
      </c>
      <c r="S657" t="s">
        <v>74</v>
      </c>
      <c r="T657" t="s">
        <v>74</v>
      </c>
      <c r="U657" t="s">
        <v>13044</v>
      </c>
      <c r="V657" t="s">
        <v>13045</v>
      </c>
      <c r="W657" t="s">
        <v>13046</v>
      </c>
      <c r="X657" t="s">
        <v>13047</v>
      </c>
      <c r="Y657" t="s">
        <v>13048</v>
      </c>
      <c r="Z657" t="s">
        <v>13049</v>
      </c>
      <c r="AA657" t="s">
        <v>2166</v>
      </c>
      <c r="AB657" t="s">
        <v>13050</v>
      </c>
      <c r="AC657" t="s">
        <v>13051</v>
      </c>
      <c r="AD657" t="s">
        <v>13052</v>
      </c>
      <c r="AE657" t="s">
        <v>13053</v>
      </c>
      <c r="AF657" t="s">
        <v>74</v>
      </c>
      <c r="AG657">
        <v>138</v>
      </c>
      <c r="AH657">
        <v>6</v>
      </c>
      <c r="AI657">
        <v>6</v>
      </c>
      <c r="AJ657">
        <v>6</v>
      </c>
      <c r="AK657">
        <v>43</v>
      </c>
      <c r="AL657" t="s">
        <v>572</v>
      </c>
      <c r="AM657" t="s">
        <v>573</v>
      </c>
      <c r="AN657" t="s">
        <v>574</v>
      </c>
      <c r="AO657" t="s">
        <v>3570</v>
      </c>
      <c r="AP657" t="s">
        <v>3571</v>
      </c>
      <c r="AQ657" t="s">
        <v>74</v>
      </c>
      <c r="AR657" t="s">
        <v>3572</v>
      </c>
      <c r="AS657" t="s">
        <v>3573</v>
      </c>
      <c r="AT657" t="s">
        <v>310</v>
      </c>
      <c r="AU657">
        <v>2021</v>
      </c>
      <c r="AV657">
        <v>66</v>
      </c>
      <c r="AW657">
        <v>11</v>
      </c>
      <c r="AX657" t="s">
        <v>74</v>
      </c>
      <c r="AY657" t="s">
        <v>74</v>
      </c>
      <c r="AZ657" t="s">
        <v>74</v>
      </c>
      <c r="BA657" t="s">
        <v>74</v>
      </c>
      <c r="BB657">
        <v>3857</v>
      </c>
      <c r="BC657">
        <v>3872</v>
      </c>
      <c r="BD657" t="s">
        <v>74</v>
      </c>
      <c r="BE657" t="s">
        <v>13054</v>
      </c>
      <c r="BF657" t="str">
        <f>HYPERLINK("http://dx.doi.org/10.1002/lno.11924","http://dx.doi.org/10.1002/lno.11924")</f>
        <v>http://dx.doi.org/10.1002/lno.11924</v>
      </c>
      <c r="BG657" t="s">
        <v>74</v>
      </c>
      <c r="BH657" t="s">
        <v>11189</v>
      </c>
      <c r="BI657">
        <v>16</v>
      </c>
      <c r="BJ657" t="s">
        <v>3575</v>
      </c>
      <c r="BK657" t="s">
        <v>101</v>
      </c>
      <c r="BL657" t="s">
        <v>3136</v>
      </c>
      <c r="BM657" t="s">
        <v>13055</v>
      </c>
      <c r="BN657" t="s">
        <v>74</v>
      </c>
      <c r="BO657" t="s">
        <v>1471</v>
      </c>
      <c r="BP657" t="s">
        <v>74</v>
      </c>
      <c r="BQ657" t="s">
        <v>74</v>
      </c>
      <c r="BR657" t="s">
        <v>105</v>
      </c>
      <c r="BS657" t="s">
        <v>13056</v>
      </c>
      <c r="BT657" t="str">
        <f>HYPERLINK("https%3A%2F%2Fwww.webofscience.com%2Fwos%2Fwoscc%2Ffull-record%2FWOS:000695168500001","View Full Record in Web of Science")</f>
        <v>View Full Record in Web of Science</v>
      </c>
    </row>
    <row r="658" spans="1:72" x14ac:dyDescent="0.15">
      <c r="A658" t="s">
        <v>72</v>
      </c>
      <c r="B658" t="s">
        <v>13057</v>
      </c>
      <c r="C658" t="s">
        <v>74</v>
      </c>
      <c r="D658" t="s">
        <v>74</v>
      </c>
      <c r="E658" t="s">
        <v>74</v>
      </c>
      <c r="F658" t="s">
        <v>13058</v>
      </c>
      <c r="G658" t="s">
        <v>74</v>
      </c>
      <c r="H658" t="s">
        <v>74</v>
      </c>
      <c r="I658" t="s">
        <v>13059</v>
      </c>
      <c r="J658" t="s">
        <v>11776</v>
      </c>
      <c r="K658" t="s">
        <v>74</v>
      </c>
      <c r="L658" t="s">
        <v>74</v>
      </c>
      <c r="M658" t="s">
        <v>78</v>
      </c>
      <c r="N658" t="s">
        <v>79</v>
      </c>
      <c r="O658" t="s">
        <v>74</v>
      </c>
      <c r="P658" t="s">
        <v>74</v>
      </c>
      <c r="Q658" t="s">
        <v>74</v>
      </c>
      <c r="R658" t="s">
        <v>74</v>
      </c>
      <c r="S658" t="s">
        <v>74</v>
      </c>
      <c r="T658" t="s">
        <v>13060</v>
      </c>
      <c r="U658" t="s">
        <v>13061</v>
      </c>
      <c r="V658" t="s">
        <v>13062</v>
      </c>
      <c r="W658" t="s">
        <v>13063</v>
      </c>
      <c r="X658" t="s">
        <v>13064</v>
      </c>
      <c r="Y658" t="s">
        <v>13065</v>
      </c>
      <c r="Z658" t="s">
        <v>13066</v>
      </c>
      <c r="AA658" t="s">
        <v>13067</v>
      </c>
      <c r="AB658" t="s">
        <v>13068</v>
      </c>
      <c r="AC658" t="s">
        <v>13069</v>
      </c>
      <c r="AD658" t="s">
        <v>13070</v>
      </c>
      <c r="AE658" t="s">
        <v>13071</v>
      </c>
      <c r="AF658" t="s">
        <v>74</v>
      </c>
      <c r="AG658">
        <v>62</v>
      </c>
      <c r="AH658">
        <v>1</v>
      </c>
      <c r="AI658">
        <v>1</v>
      </c>
      <c r="AJ658">
        <v>1</v>
      </c>
      <c r="AK658">
        <v>9</v>
      </c>
      <c r="AL658" t="s">
        <v>572</v>
      </c>
      <c r="AM658" t="s">
        <v>573</v>
      </c>
      <c r="AN658" t="s">
        <v>574</v>
      </c>
      <c r="AO658" t="s">
        <v>11786</v>
      </c>
      <c r="AP658" t="s">
        <v>11787</v>
      </c>
      <c r="AQ658" t="s">
        <v>74</v>
      </c>
      <c r="AR658" t="s">
        <v>11788</v>
      </c>
      <c r="AS658" t="s">
        <v>11789</v>
      </c>
      <c r="AT658" t="s">
        <v>1000</v>
      </c>
      <c r="AU658">
        <v>2022</v>
      </c>
      <c r="AV658">
        <v>38</v>
      </c>
      <c r="AW658">
        <v>2</v>
      </c>
      <c r="AX658" t="s">
        <v>74</v>
      </c>
      <c r="AY658" t="s">
        <v>74</v>
      </c>
      <c r="AZ658" t="s">
        <v>74</v>
      </c>
      <c r="BA658" t="s">
        <v>74</v>
      </c>
      <c r="BB658">
        <v>486</v>
      </c>
      <c r="BC658">
        <v>499</v>
      </c>
      <c r="BD658" t="s">
        <v>74</v>
      </c>
      <c r="BE658" t="s">
        <v>13072</v>
      </c>
      <c r="BF658" t="str">
        <f>HYPERLINK("http://dx.doi.org/10.1111/mms.12871","http://dx.doi.org/10.1111/mms.12871")</f>
        <v>http://dx.doi.org/10.1111/mms.12871</v>
      </c>
      <c r="BG658" t="s">
        <v>74</v>
      </c>
      <c r="BH658" t="s">
        <v>11189</v>
      </c>
      <c r="BI658">
        <v>14</v>
      </c>
      <c r="BJ658" t="s">
        <v>10594</v>
      </c>
      <c r="BK658" t="s">
        <v>101</v>
      </c>
      <c r="BL658" t="s">
        <v>10594</v>
      </c>
      <c r="BM658" t="s">
        <v>11791</v>
      </c>
      <c r="BN658" t="s">
        <v>74</v>
      </c>
      <c r="BO658" t="s">
        <v>2992</v>
      </c>
      <c r="BP658" t="s">
        <v>74</v>
      </c>
      <c r="BQ658" t="s">
        <v>74</v>
      </c>
      <c r="BR658" t="s">
        <v>105</v>
      </c>
      <c r="BS658" t="s">
        <v>13073</v>
      </c>
      <c r="BT658" t="str">
        <f>HYPERLINK("https%3A%2F%2Fwww.webofscience.com%2Fwos%2Fwoscc%2Ffull-record%2FWOS:000695160000001","View Full Record in Web of Science")</f>
        <v>View Full Record in Web of Science</v>
      </c>
    </row>
    <row r="659" spans="1:72" x14ac:dyDescent="0.15">
      <c r="A659" t="s">
        <v>72</v>
      </c>
      <c r="B659" t="s">
        <v>13074</v>
      </c>
      <c r="C659" t="s">
        <v>74</v>
      </c>
      <c r="D659" t="s">
        <v>74</v>
      </c>
      <c r="E659" t="s">
        <v>74</v>
      </c>
      <c r="F659" t="s">
        <v>13075</v>
      </c>
      <c r="G659" t="s">
        <v>74</v>
      </c>
      <c r="H659" t="s">
        <v>74</v>
      </c>
      <c r="I659" t="s">
        <v>13076</v>
      </c>
      <c r="J659" t="s">
        <v>1058</v>
      </c>
      <c r="K659" t="s">
        <v>74</v>
      </c>
      <c r="L659" t="s">
        <v>74</v>
      </c>
      <c r="M659" t="s">
        <v>78</v>
      </c>
      <c r="N659" t="s">
        <v>79</v>
      </c>
      <c r="O659" t="s">
        <v>74</v>
      </c>
      <c r="P659" t="s">
        <v>74</v>
      </c>
      <c r="Q659" t="s">
        <v>74</v>
      </c>
      <c r="R659" t="s">
        <v>74</v>
      </c>
      <c r="S659" t="s">
        <v>74</v>
      </c>
      <c r="T659" t="s">
        <v>74</v>
      </c>
      <c r="U659" t="s">
        <v>13077</v>
      </c>
      <c r="V659" t="s">
        <v>13078</v>
      </c>
      <c r="W659" t="s">
        <v>13079</v>
      </c>
      <c r="X659" t="s">
        <v>13080</v>
      </c>
      <c r="Y659" t="s">
        <v>13081</v>
      </c>
      <c r="Z659" t="s">
        <v>13082</v>
      </c>
      <c r="AA659" t="s">
        <v>13083</v>
      </c>
      <c r="AB659" t="s">
        <v>13084</v>
      </c>
      <c r="AC659" t="s">
        <v>74</v>
      </c>
      <c r="AD659" t="s">
        <v>74</v>
      </c>
      <c r="AE659" t="s">
        <v>74</v>
      </c>
      <c r="AF659" t="s">
        <v>74</v>
      </c>
      <c r="AG659">
        <v>49</v>
      </c>
      <c r="AH659">
        <v>13</v>
      </c>
      <c r="AI659">
        <v>14</v>
      </c>
      <c r="AJ659">
        <v>1</v>
      </c>
      <c r="AK659">
        <v>10</v>
      </c>
      <c r="AL659" t="s">
        <v>227</v>
      </c>
      <c r="AM659" t="s">
        <v>228</v>
      </c>
      <c r="AN659" t="s">
        <v>229</v>
      </c>
      <c r="AO659" t="s">
        <v>1065</v>
      </c>
      <c r="AP659" t="s">
        <v>1066</v>
      </c>
      <c r="AQ659" t="s">
        <v>74</v>
      </c>
      <c r="AR659" t="s">
        <v>1058</v>
      </c>
      <c r="AS659" t="s">
        <v>1067</v>
      </c>
      <c r="AT659" t="s">
        <v>12986</v>
      </c>
      <c r="AU659">
        <v>2021</v>
      </c>
      <c r="AV659">
        <v>15</v>
      </c>
      <c r="AW659">
        <v>9</v>
      </c>
      <c r="AX659" t="s">
        <v>74</v>
      </c>
      <c r="AY659" t="s">
        <v>74</v>
      </c>
      <c r="AZ659" t="s">
        <v>74</v>
      </c>
      <c r="BA659" t="s">
        <v>74</v>
      </c>
      <c r="BB659">
        <v>4399</v>
      </c>
      <c r="BC659">
        <v>4419</v>
      </c>
      <c r="BD659" t="s">
        <v>74</v>
      </c>
      <c r="BE659" t="s">
        <v>13085</v>
      </c>
      <c r="BF659" t="str">
        <f>HYPERLINK("http://dx.doi.org/10.5194/tc-15-4399-2021","http://dx.doi.org/10.5194/tc-15-4399-2021")</f>
        <v>http://dx.doi.org/10.5194/tc-15-4399-2021</v>
      </c>
      <c r="BG659" t="s">
        <v>74</v>
      </c>
      <c r="BH659" t="s">
        <v>74</v>
      </c>
      <c r="BI659">
        <v>21</v>
      </c>
      <c r="BJ659" t="s">
        <v>340</v>
      </c>
      <c r="BK659" t="s">
        <v>101</v>
      </c>
      <c r="BL659" t="s">
        <v>341</v>
      </c>
      <c r="BM659" t="s">
        <v>13039</v>
      </c>
      <c r="BN659" t="s">
        <v>74</v>
      </c>
      <c r="BO659" t="s">
        <v>210</v>
      </c>
      <c r="BP659" t="s">
        <v>74</v>
      </c>
      <c r="BQ659" t="s">
        <v>74</v>
      </c>
      <c r="BR659" t="s">
        <v>105</v>
      </c>
      <c r="BS659" t="s">
        <v>13086</v>
      </c>
      <c r="BT659" t="str">
        <f>HYPERLINK("https%3A%2F%2Fwww.webofscience.com%2Fwos%2Fwoscc%2Ffull-record%2FWOS:000695651000001","View Full Record in Web of Science")</f>
        <v>View Full Record in Web of Science</v>
      </c>
    </row>
    <row r="660" spans="1:72" x14ac:dyDescent="0.15">
      <c r="A660" t="s">
        <v>72</v>
      </c>
      <c r="B660" t="s">
        <v>13087</v>
      </c>
      <c r="C660" t="s">
        <v>74</v>
      </c>
      <c r="D660" t="s">
        <v>74</v>
      </c>
      <c r="E660" t="s">
        <v>74</v>
      </c>
      <c r="F660" t="s">
        <v>13088</v>
      </c>
      <c r="G660" t="s">
        <v>74</v>
      </c>
      <c r="H660" t="s">
        <v>74</v>
      </c>
      <c r="I660" t="s">
        <v>13089</v>
      </c>
      <c r="J660" t="s">
        <v>559</v>
      </c>
      <c r="K660" t="s">
        <v>74</v>
      </c>
      <c r="L660" t="s">
        <v>74</v>
      </c>
      <c r="M660" t="s">
        <v>78</v>
      </c>
      <c r="N660" t="s">
        <v>79</v>
      </c>
      <c r="O660" t="s">
        <v>74</v>
      </c>
      <c r="P660" t="s">
        <v>74</v>
      </c>
      <c r="Q660" t="s">
        <v>74</v>
      </c>
      <c r="R660" t="s">
        <v>74</v>
      </c>
      <c r="S660" t="s">
        <v>74</v>
      </c>
      <c r="T660" t="s">
        <v>13090</v>
      </c>
      <c r="U660" t="s">
        <v>13091</v>
      </c>
      <c r="V660" t="s">
        <v>13092</v>
      </c>
      <c r="W660" t="s">
        <v>13093</v>
      </c>
      <c r="X660" t="s">
        <v>13094</v>
      </c>
      <c r="Y660" t="s">
        <v>13095</v>
      </c>
      <c r="Z660" t="s">
        <v>13096</v>
      </c>
      <c r="AA660" t="s">
        <v>13097</v>
      </c>
      <c r="AB660" t="s">
        <v>13098</v>
      </c>
      <c r="AC660" t="s">
        <v>13099</v>
      </c>
      <c r="AD660" t="s">
        <v>13099</v>
      </c>
      <c r="AE660" t="s">
        <v>13100</v>
      </c>
      <c r="AF660" t="s">
        <v>74</v>
      </c>
      <c r="AG660">
        <v>82</v>
      </c>
      <c r="AH660">
        <v>10</v>
      </c>
      <c r="AI660">
        <v>10</v>
      </c>
      <c r="AJ660">
        <v>3</v>
      </c>
      <c r="AK660">
        <v>20</v>
      </c>
      <c r="AL660" t="s">
        <v>572</v>
      </c>
      <c r="AM660" t="s">
        <v>573</v>
      </c>
      <c r="AN660" t="s">
        <v>574</v>
      </c>
      <c r="AO660" t="s">
        <v>575</v>
      </c>
      <c r="AP660" t="s">
        <v>74</v>
      </c>
      <c r="AQ660" t="s">
        <v>74</v>
      </c>
      <c r="AR660" t="s">
        <v>576</v>
      </c>
      <c r="AS660" t="s">
        <v>577</v>
      </c>
      <c r="AT660" t="s">
        <v>7760</v>
      </c>
      <c r="AU660">
        <v>2021</v>
      </c>
      <c r="AV660">
        <v>11</v>
      </c>
      <c r="AW660">
        <v>19</v>
      </c>
      <c r="AX660" t="s">
        <v>74</v>
      </c>
      <c r="AY660" t="s">
        <v>74</v>
      </c>
      <c r="AZ660" t="s">
        <v>74</v>
      </c>
      <c r="BA660" t="s">
        <v>74</v>
      </c>
      <c r="BB660">
        <v>12989</v>
      </c>
      <c r="BC660">
        <v>13000</v>
      </c>
      <c r="BD660" t="s">
        <v>74</v>
      </c>
      <c r="BE660" t="s">
        <v>13101</v>
      </c>
      <c r="BF660" t="str">
        <f>HYPERLINK("http://dx.doi.org/10.1002/ece3.7775","http://dx.doi.org/10.1002/ece3.7775")</f>
        <v>http://dx.doi.org/10.1002/ece3.7775</v>
      </c>
      <c r="BG660" t="s">
        <v>74</v>
      </c>
      <c r="BH660" t="s">
        <v>11189</v>
      </c>
      <c r="BI660">
        <v>12</v>
      </c>
      <c r="BJ660" t="s">
        <v>579</v>
      </c>
      <c r="BK660" t="s">
        <v>101</v>
      </c>
      <c r="BL660" t="s">
        <v>580</v>
      </c>
      <c r="BM660" t="s">
        <v>13102</v>
      </c>
      <c r="BN660">
        <v>34646447</v>
      </c>
      <c r="BO660" t="s">
        <v>343</v>
      </c>
      <c r="BP660" t="s">
        <v>74</v>
      </c>
      <c r="BQ660" t="s">
        <v>74</v>
      </c>
      <c r="BR660" t="s">
        <v>105</v>
      </c>
      <c r="BS660" t="s">
        <v>13103</v>
      </c>
      <c r="BT660" t="str">
        <f>HYPERLINK("https%3A%2F%2Fwww.webofscience.com%2Fwos%2Fwoscc%2Ffull-record%2FWOS:000695010800001","View Full Record in Web of Science")</f>
        <v>View Full Record in Web of Science</v>
      </c>
    </row>
    <row r="661" spans="1:72" x14ac:dyDescent="0.15">
      <c r="A661" t="s">
        <v>72</v>
      </c>
      <c r="B661" t="s">
        <v>13104</v>
      </c>
      <c r="C661" t="s">
        <v>74</v>
      </c>
      <c r="D661" t="s">
        <v>74</v>
      </c>
      <c r="E661" t="s">
        <v>74</v>
      </c>
      <c r="F661" t="s">
        <v>13105</v>
      </c>
      <c r="G661" t="s">
        <v>74</v>
      </c>
      <c r="H661" t="s">
        <v>74</v>
      </c>
      <c r="I661" t="s">
        <v>13106</v>
      </c>
      <c r="J661" t="s">
        <v>3558</v>
      </c>
      <c r="K661" t="s">
        <v>74</v>
      </c>
      <c r="L661" t="s">
        <v>74</v>
      </c>
      <c r="M661" t="s">
        <v>78</v>
      </c>
      <c r="N661" t="s">
        <v>79</v>
      </c>
      <c r="O661" t="s">
        <v>74</v>
      </c>
      <c r="P661" t="s">
        <v>74</v>
      </c>
      <c r="Q661" t="s">
        <v>74</v>
      </c>
      <c r="R661" t="s">
        <v>74</v>
      </c>
      <c r="S661" t="s">
        <v>74</v>
      </c>
      <c r="T661" t="s">
        <v>74</v>
      </c>
      <c r="U661" t="s">
        <v>13107</v>
      </c>
      <c r="V661" t="s">
        <v>13108</v>
      </c>
      <c r="W661" t="s">
        <v>13109</v>
      </c>
      <c r="X661" t="s">
        <v>13110</v>
      </c>
      <c r="Y661" t="s">
        <v>13111</v>
      </c>
      <c r="Z661" t="s">
        <v>13112</v>
      </c>
      <c r="AA661" t="s">
        <v>13113</v>
      </c>
      <c r="AB661" t="s">
        <v>74</v>
      </c>
      <c r="AC661" t="s">
        <v>13114</v>
      </c>
      <c r="AD661" t="s">
        <v>13115</v>
      </c>
      <c r="AE661" t="s">
        <v>13116</v>
      </c>
      <c r="AF661" t="s">
        <v>74</v>
      </c>
      <c r="AG661">
        <v>68</v>
      </c>
      <c r="AH661">
        <v>2</v>
      </c>
      <c r="AI661">
        <v>2</v>
      </c>
      <c r="AJ661">
        <v>1</v>
      </c>
      <c r="AK661">
        <v>7</v>
      </c>
      <c r="AL661" t="s">
        <v>572</v>
      </c>
      <c r="AM661" t="s">
        <v>573</v>
      </c>
      <c r="AN661" t="s">
        <v>574</v>
      </c>
      <c r="AO661" t="s">
        <v>3570</v>
      </c>
      <c r="AP661" t="s">
        <v>3571</v>
      </c>
      <c r="AQ661" t="s">
        <v>74</v>
      </c>
      <c r="AR661" t="s">
        <v>3572</v>
      </c>
      <c r="AS661" t="s">
        <v>3573</v>
      </c>
      <c r="AT661" t="s">
        <v>7760</v>
      </c>
      <c r="AU661">
        <v>2021</v>
      </c>
      <c r="AV661">
        <v>66</v>
      </c>
      <c r="AW661">
        <v>10</v>
      </c>
      <c r="AX661" t="s">
        <v>74</v>
      </c>
      <c r="AY661" t="s">
        <v>74</v>
      </c>
      <c r="AZ661" t="s">
        <v>74</v>
      </c>
      <c r="BA661" t="s">
        <v>74</v>
      </c>
      <c r="BB661">
        <v>3740</v>
      </c>
      <c r="BC661">
        <v>3753</v>
      </c>
      <c r="BD661" t="s">
        <v>74</v>
      </c>
      <c r="BE661" t="s">
        <v>13117</v>
      </c>
      <c r="BF661" t="str">
        <f>HYPERLINK("http://dx.doi.org/10.1002/lno.11914","http://dx.doi.org/10.1002/lno.11914")</f>
        <v>http://dx.doi.org/10.1002/lno.11914</v>
      </c>
      <c r="BG661" t="s">
        <v>74</v>
      </c>
      <c r="BH661" t="s">
        <v>11189</v>
      </c>
      <c r="BI661">
        <v>14</v>
      </c>
      <c r="BJ661" t="s">
        <v>3575</v>
      </c>
      <c r="BK661" t="s">
        <v>101</v>
      </c>
      <c r="BL661" t="s">
        <v>3136</v>
      </c>
      <c r="BM661" t="s">
        <v>13118</v>
      </c>
      <c r="BN661" t="s">
        <v>74</v>
      </c>
      <c r="BO661" t="s">
        <v>74</v>
      </c>
      <c r="BP661" t="s">
        <v>74</v>
      </c>
      <c r="BQ661" t="s">
        <v>74</v>
      </c>
      <c r="BR661" t="s">
        <v>105</v>
      </c>
      <c r="BS661" t="s">
        <v>13119</v>
      </c>
      <c r="BT661" t="str">
        <f>HYPERLINK("https%3A%2F%2Fwww.webofscience.com%2Fwos%2Fwoscc%2Ffull-record%2FWOS:000695008500001","View Full Record in Web of Science")</f>
        <v>View Full Record in Web of Science</v>
      </c>
    </row>
    <row r="662" spans="1:72" x14ac:dyDescent="0.15">
      <c r="A662" t="s">
        <v>72</v>
      </c>
      <c r="B662" t="s">
        <v>13120</v>
      </c>
      <c r="C662" t="s">
        <v>74</v>
      </c>
      <c r="D662" t="s">
        <v>74</v>
      </c>
      <c r="E662" t="s">
        <v>74</v>
      </c>
      <c r="F662" t="s">
        <v>13121</v>
      </c>
      <c r="G662" t="s">
        <v>74</v>
      </c>
      <c r="H662" t="s">
        <v>74</v>
      </c>
      <c r="I662" t="s">
        <v>13122</v>
      </c>
      <c r="J662" t="s">
        <v>13123</v>
      </c>
      <c r="K662" t="s">
        <v>74</v>
      </c>
      <c r="L662" t="s">
        <v>74</v>
      </c>
      <c r="M662" t="s">
        <v>78</v>
      </c>
      <c r="N662" t="s">
        <v>79</v>
      </c>
      <c r="O662" t="s">
        <v>74</v>
      </c>
      <c r="P662" t="s">
        <v>74</v>
      </c>
      <c r="Q662" t="s">
        <v>74</v>
      </c>
      <c r="R662" t="s">
        <v>74</v>
      </c>
      <c r="S662" t="s">
        <v>74</v>
      </c>
      <c r="T662" t="s">
        <v>13124</v>
      </c>
      <c r="U662" t="s">
        <v>13125</v>
      </c>
      <c r="V662" t="s">
        <v>13126</v>
      </c>
      <c r="W662" t="s">
        <v>13127</v>
      </c>
      <c r="X662" t="s">
        <v>13128</v>
      </c>
      <c r="Y662" t="s">
        <v>13129</v>
      </c>
      <c r="Z662" t="s">
        <v>13130</v>
      </c>
      <c r="AA662" t="s">
        <v>13131</v>
      </c>
      <c r="AB662" t="s">
        <v>13132</v>
      </c>
      <c r="AC662" t="s">
        <v>13133</v>
      </c>
      <c r="AD662" t="s">
        <v>13134</v>
      </c>
      <c r="AE662" t="s">
        <v>13135</v>
      </c>
      <c r="AF662" t="s">
        <v>74</v>
      </c>
      <c r="AG662">
        <v>45</v>
      </c>
      <c r="AH662">
        <v>6</v>
      </c>
      <c r="AI662">
        <v>6</v>
      </c>
      <c r="AJ662">
        <v>1</v>
      </c>
      <c r="AK662">
        <v>14</v>
      </c>
      <c r="AL662" t="s">
        <v>572</v>
      </c>
      <c r="AM662" t="s">
        <v>573</v>
      </c>
      <c r="AN662" t="s">
        <v>574</v>
      </c>
      <c r="AO662" t="s">
        <v>13136</v>
      </c>
      <c r="AP662" t="s">
        <v>13137</v>
      </c>
      <c r="AQ662" t="s">
        <v>74</v>
      </c>
      <c r="AR662" t="s">
        <v>13138</v>
      </c>
      <c r="AS662" t="s">
        <v>13139</v>
      </c>
      <c r="AT662" t="s">
        <v>98</v>
      </c>
      <c r="AU662">
        <v>2021</v>
      </c>
      <c r="AV662">
        <v>31</v>
      </c>
      <c r="AW662">
        <v>8</v>
      </c>
      <c r="AX662" t="s">
        <v>74</v>
      </c>
      <c r="AY662" t="s">
        <v>74</v>
      </c>
      <c r="AZ662" t="s">
        <v>74</v>
      </c>
      <c r="BA662" t="s">
        <v>74</v>
      </c>
      <c r="BB662" t="s">
        <v>74</v>
      </c>
      <c r="BC662" t="s">
        <v>74</v>
      </c>
      <c r="BD662" t="s">
        <v>13140</v>
      </c>
      <c r="BE662" t="s">
        <v>13141</v>
      </c>
      <c r="BF662" t="str">
        <f>HYPERLINK("http://dx.doi.org/10.1002/eap.2426","http://dx.doi.org/10.1002/eap.2426")</f>
        <v>http://dx.doi.org/10.1002/eap.2426</v>
      </c>
      <c r="BG662" t="s">
        <v>74</v>
      </c>
      <c r="BH662" t="s">
        <v>11189</v>
      </c>
      <c r="BI662">
        <v>16</v>
      </c>
      <c r="BJ662" t="s">
        <v>674</v>
      </c>
      <c r="BK662" t="s">
        <v>101</v>
      </c>
      <c r="BL662" t="s">
        <v>630</v>
      </c>
      <c r="BM662" t="s">
        <v>13142</v>
      </c>
      <c r="BN662">
        <v>34309955</v>
      </c>
      <c r="BO662" t="s">
        <v>74</v>
      </c>
      <c r="BP662" t="s">
        <v>74</v>
      </c>
      <c r="BQ662" t="s">
        <v>74</v>
      </c>
      <c r="BR662" t="s">
        <v>105</v>
      </c>
      <c r="BS662" t="s">
        <v>13143</v>
      </c>
      <c r="BT662" t="str">
        <f>HYPERLINK("https%3A%2F%2Fwww.webofscience.com%2Fwos%2Fwoscc%2Ffull-record%2FWOS:000695107800001","View Full Record in Web of Science")</f>
        <v>View Full Record in Web of Science</v>
      </c>
    </row>
    <row r="663" spans="1:72" x14ac:dyDescent="0.15">
      <c r="A663" t="s">
        <v>72</v>
      </c>
      <c r="B663" t="s">
        <v>13144</v>
      </c>
      <c r="C663" t="s">
        <v>74</v>
      </c>
      <c r="D663" t="s">
        <v>74</v>
      </c>
      <c r="E663" t="s">
        <v>74</v>
      </c>
      <c r="F663" t="s">
        <v>13145</v>
      </c>
      <c r="G663" t="s">
        <v>74</v>
      </c>
      <c r="H663" t="s">
        <v>74</v>
      </c>
      <c r="I663" t="s">
        <v>13146</v>
      </c>
      <c r="J663" t="s">
        <v>559</v>
      </c>
      <c r="K663" t="s">
        <v>74</v>
      </c>
      <c r="L663" t="s">
        <v>74</v>
      </c>
      <c r="M663" t="s">
        <v>78</v>
      </c>
      <c r="N663" t="s">
        <v>79</v>
      </c>
      <c r="O663" t="s">
        <v>74</v>
      </c>
      <c r="P663" t="s">
        <v>74</v>
      </c>
      <c r="Q663" t="s">
        <v>74</v>
      </c>
      <c r="R663" t="s">
        <v>74</v>
      </c>
      <c r="S663" t="s">
        <v>74</v>
      </c>
      <c r="T663" t="s">
        <v>13147</v>
      </c>
      <c r="U663" t="s">
        <v>13148</v>
      </c>
      <c r="V663" t="s">
        <v>13149</v>
      </c>
      <c r="W663" t="s">
        <v>13150</v>
      </c>
      <c r="X663" t="s">
        <v>13151</v>
      </c>
      <c r="Y663" t="s">
        <v>13152</v>
      </c>
      <c r="Z663" t="s">
        <v>13153</v>
      </c>
      <c r="AA663" t="s">
        <v>13154</v>
      </c>
      <c r="AB663" t="s">
        <v>13155</v>
      </c>
      <c r="AC663" t="s">
        <v>13156</v>
      </c>
      <c r="AD663" t="s">
        <v>13157</v>
      </c>
      <c r="AE663" t="s">
        <v>13158</v>
      </c>
      <c r="AF663" t="s">
        <v>74</v>
      </c>
      <c r="AG663">
        <v>43</v>
      </c>
      <c r="AH663">
        <v>7</v>
      </c>
      <c r="AI663">
        <v>8</v>
      </c>
      <c r="AJ663">
        <v>1</v>
      </c>
      <c r="AK663">
        <v>12</v>
      </c>
      <c r="AL663" t="s">
        <v>572</v>
      </c>
      <c r="AM663" t="s">
        <v>573</v>
      </c>
      <c r="AN663" t="s">
        <v>574</v>
      </c>
      <c r="AO663" t="s">
        <v>575</v>
      </c>
      <c r="AP663" t="s">
        <v>74</v>
      </c>
      <c r="AQ663" t="s">
        <v>74</v>
      </c>
      <c r="AR663" t="s">
        <v>576</v>
      </c>
      <c r="AS663" t="s">
        <v>577</v>
      </c>
      <c r="AT663" t="s">
        <v>7760</v>
      </c>
      <c r="AU663">
        <v>2021</v>
      </c>
      <c r="AV663">
        <v>11</v>
      </c>
      <c r="AW663">
        <v>20</v>
      </c>
      <c r="AX663" t="s">
        <v>74</v>
      </c>
      <c r="AY663" t="s">
        <v>74</v>
      </c>
      <c r="AZ663" t="s">
        <v>74</v>
      </c>
      <c r="BA663" t="s">
        <v>74</v>
      </c>
      <c r="BB663">
        <v>14003</v>
      </c>
      <c r="BC663">
        <v>14011</v>
      </c>
      <c r="BD663" t="s">
        <v>74</v>
      </c>
      <c r="BE663" t="s">
        <v>13159</v>
      </c>
      <c r="BF663" t="str">
        <f>HYPERLINK("http://dx.doi.org/10.1002/ece3.8104","http://dx.doi.org/10.1002/ece3.8104")</f>
        <v>http://dx.doi.org/10.1002/ece3.8104</v>
      </c>
      <c r="BG663" t="s">
        <v>74</v>
      </c>
      <c r="BH663" t="s">
        <v>11189</v>
      </c>
      <c r="BI663">
        <v>9</v>
      </c>
      <c r="BJ663" t="s">
        <v>579</v>
      </c>
      <c r="BK663" t="s">
        <v>101</v>
      </c>
      <c r="BL663" t="s">
        <v>580</v>
      </c>
      <c r="BM663" t="s">
        <v>13160</v>
      </c>
      <c r="BN663">
        <v>34707834</v>
      </c>
      <c r="BO663" t="s">
        <v>104</v>
      </c>
      <c r="BP663" t="s">
        <v>74</v>
      </c>
      <c r="BQ663" t="s">
        <v>74</v>
      </c>
      <c r="BR663" t="s">
        <v>105</v>
      </c>
      <c r="BS663" t="s">
        <v>13161</v>
      </c>
      <c r="BT663" t="str">
        <f>HYPERLINK("https%3A%2F%2Fwww.webofscience.com%2Fwos%2Fwoscc%2Ffull-record%2FWOS:000694977200001","View Full Record in Web of Science")</f>
        <v>View Full Record in Web of Science</v>
      </c>
    </row>
    <row r="664" spans="1:72" x14ac:dyDescent="0.15">
      <c r="A664" t="s">
        <v>72</v>
      </c>
      <c r="B664" t="s">
        <v>13162</v>
      </c>
      <c r="C664" t="s">
        <v>74</v>
      </c>
      <c r="D664" t="s">
        <v>74</v>
      </c>
      <c r="E664" t="s">
        <v>74</v>
      </c>
      <c r="F664" t="s">
        <v>13163</v>
      </c>
      <c r="G664" t="s">
        <v>74</v>
      </c>
      <c r="H664" t="s">
        <v>74</v>
      </c>
      <c r="I664" t="s">
        <v>13164</v>
      </c>
      <c r="J664" t="s">
        <v>7243</v>
      </c>
      <c r="K664" t="s">
        <v>74</v>
      </c>
      <c r="L664" t="s">
        <v>74</v>
      </c>
      <c r="M664" t="s">
        <v>78</v>
      </c>
      <c r="N664" t="s">
        <v>79</v>
      </c>
      <c r="O664" t="s">
        <v>74</v>
      </c>
      <c r="P664" t="s">
        <v>74</v>
      </c>
      <c r="Q664" t="s">
        <v>74</v>
      </c>
      <c r="R664" t="s">
        <v>74</v>
      </c>
      <c r="S664" t="s">
        <v>74</v>
      </c>
      <c r="T664" t="s">
        <v>13165</v>
      </c>
      <c r="U664" t="s">
        <v>13166</v>
      </c>
      <c r="V664" t="s">
        <v>13167</v>
      </c>
      <c r="W664" t="s">
        <v>13168</v>
      </c>
      <c r="X664" t="s">
        <v>13169</v>
      </c>
      <c r="Y664" t="s">
        <v>13170</v>
      </c>
      <c r="Z664" t="s">
        <v>13171</v>
      </c>
      <c r="AA664" t="s">
        <v>13172</v>
      </c>
      <c r="AB664" t="s">
        <v>13173</v>
      </c>
      <c r="AC664" t="s">
        <v>13174</v>
      </c>
      <c r="AD664" t="s">
        <v>13175</v>
      </c>
      <c r="AE664" t="s">
        <v>13176</v>
      </c>
      <c r="AF664" t="s">
        <v>74</v>
      </c>
      <c r="AG664">
        <v>55</v>
      </c>
      <c r="AH664">
        <v>14</v>
      </c>
      <c r="AI664">
        <v>14</v>
      </c>
      <c r="AJ664">
        <v>3</v>
      </c>
      <c r="AK664">
        <v>16</v>
      </c>
      <c r="AL664" t="s">
        <v>847</v>
      </c>
      <c r="AM664" t="s">
        <v>848</v>
      </c>
      <c r="AN664" t="s">
        <v>849</v>
      </c>
      <c r="AO664" t="s">
        <v>7255</v>
      </c>
      <c r="AP664" t="s">
        <v>7256</v>
      </c>
      <c r="AQ664" t="s">
        <v>74</v>
      </c>
      <c r="AR664" t="s">
        <v>7257</v>
      </c>
      <c r="AS664" t="s">
        <v>7258</v>
      </c>
      <c r="AT664" t="s">
        <v>2435</v>
      </c>
      <c r="AU664">
        <v>2021</v>
      </c>
      <c r="AV664">
        <v>574</v>
      </c>
      <c r="AW664" t="s">
        <v>74</v>
      </c>
      <c r="AX664" t="s">
        <v>74</v>
      </c>
      <c r="AY664" t="s">
        <v>74</v>
      </c>
      <c r="AZ664" t="s">
        <v>74</v>
      </c>
      <c r="BA664" t="s">
        <v>74</v>
      </c>
      <c r="BB664" t="s">
        <v>74</v>
      </c>
      <c r="BC664" t="s">
        <v>74</v>
      </c>
      <c r="BD664">
        <v>117163</v>
      </c>
      <c r="BE664" t="s">
        <v>13177</v>
      </c>
      <c r="BF664" t="str">
        <f>HYPERLINK("http://dx.doi.org/10.1016/j.epsl.2021.117163","http://dx.doi.org/10.1016/j.epsl.2021.117163")</f>
        <v>http://dx.doi.org/10.1016/j.epsl.2021.117163</v>
      </c>
      <c r="BG664" t="s">
        <v>74</v>
      </c>
      <c r="BH664" t="s">
        <v>11189</v>
      </c>
      <c r="BI664">
        <v>13</v>
      </c>
      <c r="BJ664" t="s">
        <v>365</v>
      </c>
      <c r="BK664" t="s">
        <v>101</v>
      </c>
      <c r="BL664" t="s">
        <v>365</v>
      </c>
      <c r="BM664" t="s">
        <v>13178</v>
      </c>
      <c r="BN664" t="s">
        <v>74</v>
      </c>
      <c r="BO664" t="s">
        <v>2241</v>
      </c>
      <c r="BP664" t="s">
        <v>74</v>
      </c>
      <c r="BQ664" t="s">
        <v>74</v>
      </c>
      <c r="BR664" t="s">
        <v>105</v>
      </c>
      <c r="BS664" t="s">
        <v>13179</v>
      </c>
      <c r="BT664" t="str">
        <f>HYPERLINK("https%3A%2F%2Fwww.webofscience.com%2Fwos%2Fwoscc%2Ffull-record%2FWOS:000701635400008","View Full Record in Web of Science")</f>
        <v>View Full Record in Web of Science</v>
      </c>
    </row>
    <row r="665" spans="1:72" x14ac:dyDescent="0.15">
      <c r="A665" t="s">
        <v>72</v>
      </c>
      <c r="B665" t="s">
        <v>13180</v>
      </c>
      <c r="C665" t="s">
        <v>74</v>
      </c>
      <c r="D665" t="s">
        <v>74</v>
      </c>
      <c r="E665" t="s">
        <v>74</v>
      </c>
      <c r="F665" t="s">
        <v>13181</v>
      </c>
      <c r="G665" t="s">
        <v>74</v>
      </c>
      <c r="H665" t="s">
        <v>74</v>
      </c>
      <c r="I665" t="s">
        <v>13182</v>
      </c>
      <c r="J665" t="s">
        <v>6365</v>
      </c>
      <c r="K665" t="s">
        <v>74</v>
      </c>
      <c r="L665" t="s">
        <v>74</v>
      </c>
      <c r="M665" t="s">
        <v>78</v>
      </c>
      <c r="N665" t="s">
        <v>79</v>
      </c>
      <c r="O665" t="s">
        <v>74</v>
      </c>
      <c r="P665" t="s">
        <v>74</v>
      </c>
      <c r="Q665" t="s">
        <v>74</v>
      </c>
      <c r="R665" t="s">
        <v>74</v>
      </c>
      <c r="S665" t="s">
        <v>74</v>
      </c>
      <c r="T665" t="s">
        <v>74</v>
      </c>
      <c r="U665" t="s">
        <v>13183</v>
      </c>
      <c r="V665" t="s">
        <v>13184</v>
      </c>
      <c r="W665" t="s">
        <v>13185</v>
      </c>
      <c r="X665" t="s">
        <v>13186</v>
      </c>
      <c r="Y665" t="s">
        <v>13187</v>
      </c>
      <c r="Z665" t="s">
        <v>13188</v>
      </c>
      <c r="AA665" t="s">
        <v>13189</v>
      </c>
      <c r="AB665" t="s">
        <v>13190</v>
      </c>
      <c r="AC665" t="s">
        <v>2822</v>
      </c>
      <c r="AD665" t="s">
        <v>2822</v>
      </c>
      <c r="AE665" t="s">
        <v>2823</v>
      </c>
      <c r="AF665" t="s">
        <v>74</v>
      </c>
      <c r="AG665">
        <v>98</v>
      </c>
      <c r="AH665">
        <v>20</v>
      </c>
      <c r="AI665">
        <v>23</v>
      </c>
      <c r="AJ665">
        <v>2</v>
      </c>
      <c r="AK665">
        <v>26</v>
      </c>
      <c r="AL665" t="s">
        <v>492</v>
      </c>
      <c r="AM665" t="s">
        <v>493</v>
      </c>
      <c r="AN665" t="s">
        <v>494</v>
      </c>
      <c r="AO665" t="s">
        <v>74</v>
      </c>
      <c r="AP665" t="s">
        <v>6376</v>
      </c>
      <c r="AQ665" t="s">
        <v>74</v>
      </c>
      <c r="AR665" t="s">
        <v>6377</v>
      </c>
      <c r="AS665" t="s">
        <v>6378</v>
      </c>
      <c r="AT665" t="s">
        <v>13191</v>
      </c>
      <c r="AU665">
        <v>2021</v>
      </c>
      <c r="AV665">
        <v>4</v>
      </c>
      <c r="AW665">
        <v>1</v>
      </c>
      <c r="AX665" t="s">
        <v>74</v>
      </c>
      <c r="AY665" t="s">
        <v>74</v>
      </c>
      <c r="AZ665" t="s">
        <v>74</v>
      </c>
      <c r="BA665" t="s">
        <v>74</v>
      </c>
      <c r="BB665" t="s">
        <v>74</v>
      </c>
      <c r="BC665" t="s">
        <v>74</v>
      </c>
      <c r="BD665">
        <v>1061</v>
      </c>
      <c r="BE665" t="s">
        <v>13192</v>
      </c>
      <c r="BF665" t="str">
        <f>HYPERLINK("http://dx.doi.org/10.1038/s42003-021-02581-5","http://dx.doi.org/10.1038/s42003-021-02581-5")</f>
        <v>http://dx.doi.org/10.1038/s42003-021-02581-5</v>
      </c>
      <c r="BG665" t="s">
        <v>74</v>
      </c>
      <c r="BH665" t="s">
        <v>74</v>
      </c>
      <c r="BI665">
        <v>12</v>
      </c>
      <c r="BJ665" t="s">
        <v>6380</v>
      </c>
      <c r="BK665" t="s">
        <v>101</v>
      </c>
      <c r="BL665" t="s">
        <v>6381</v>
      </c>
      <c r="BM665" t="s">
        <v>13193</v>
      </c>
      <c r="BN665">
        <v>34508174</v>
      </c>
      <c r="BO665" t="s">
        <v>1094</v>
      </c>
      <c r="BP665" t="s">
        <v>74</v>
      </c>
      <c r="BQ665" t="s">
        <v>74</v>
      </c>
      <c r="BR665" t="s">
        <v>105</v>
      </c>
      <c r="BS665" t="s">
        <v>13194</v>
      </c>
      <c r="BT665" t="str">
        <f>HYPERLINK("https%3A%2F%2Fwww.webofscience.com%2Fwos%2Fwoscc%2Ffull-record%2FWOS:000694906000004","View Full Record in Web of Science")</f>
        <v>View Full Record in Web of Science</v>
      </c>
    </row>
    <row r="666" spans="1:72" x14ac:dyDescent="0.15">
      <c r="A666" t="s">
        <v>72</v>
      </c>
      <c r="B666" t="s">
        <v>13195</v>
      </c>
      <c r="C666" t="s">
        <v>74</v>
      </c>
      <c r="D666" t="s">
        <v>74</v>
      </c>
      <c r="E666" t="s">
        <v>74</v>
      </c>
      <c r="F666" t="s">
        <v>13196</v>
      </c>
      <c r="G666" t="s">
        <v>74</v>
      </c>
      <c r="H666" t="s">
        <v>74</v>
      </c>
      <c r="I666" t="s">
        <v>13197</v>
      </c>
      <c r="J666" t="s">
        <v>1212</v>
      </c>
      <c r="K666" t="s">
        <v>74</v>
      </c>
      <c r="L666" t="s">
        <v>74</v>
      </c>
      <c r="M666" t="s">
        <v>78</v>
      </c>
      <c r="N666" t="s">
        <v>111</v>
      </c>
      <c r="O666" t="s">
        <v>74</v>
      </c>
      <c r="P666" t="s">
        <v>74</v>
      </c>
      <c r="Q666" t="s">
        <v>74</v>
      </c>
      <c r="R666" t="s">
        <v>74</v>
      </c>
      <c r="S666" t="s">
        <v>74</v>
      </c>
      <c r="T666" t="s">
        <v>74</v>
      </c>
      <c r="U666" t="s">
        <v>74</v>
      </c>
      <c r="V666" t="s">
        <v>74</v>
      </c>
      <c r="W666" t="s">
        <v>74</v>
      </c>
      <c r="X666" t="s">
        <v>74</v>
      </c>
      <c r="Y666" t="s">
        <v>74</v>
      </c>
      <c r="Z666" t="s">
        <v>13198</v>
      </c>
      <c r="AA666" t="s">
        <v>13199</v>
      </c>
      <c r="AB666" t="s">
        <v>13200</v>
      </c>
      <c r="AC666" t="s">
        <v>74</v>
      </c>
      <c r="AD666" t="s">
        <v>74</v>
      </c>
      <c r="AE666" t="s">
        <v>74</v>
      </c>
      <c r="AF666" t="s">
        <v>74</v>
      </c>
      <c r="AG666">
        <v>1</v>
      </c>
      <c r="AH666">
        <v>0</v>
      </c>
      <c r="AI666">
        <v>0</v>
      </c>
      <c r="AJ666">
        <v>0</v>
      </c>
      <c r="AK666">
        <v>6</v>
      </c>
      <c r="AL666" t="s">
        <v>492</v>
      </c>
      <c r="AM666" t="s">
        <v>493</v>
      </c>
      <c r="AN666" t="s">
        <v>494</v>
      </c>
      <c r="AO666" t="s">
        <v>1224</v>
      </c>
      <c r="AP666" t="s">
        <v>74</v>
      </c>
      <c r="AQ666" t="s">
        <v>74</v>
      </c>
      <c r="AR666" t="s">
        <v>1225</v>
      </c>
      <c r="AS666" t="s">
        <v>1226</v>
      </c>
      <c r="AT666" t="s">
        <v>13191</v>
      </c>
      <c r="AU666">
        <v>2021</v>
      </c>
      <c r="AV666">
        <v>11</v>
      </c>
      <c r="AW666">
        <v>1</v>
      </c>
      <c r="AX666" t="s">
        <v>74</v>
      </c>
      <c r="AY666" t="s">
        <v>74</v>
      </c>
      <c r="AZ666" t="s">
        <v>74</v>
      </c>
      <c r="BA666" t="s">
        <v>74</v>
      </c>
      <c r="BB666" t="s">
        <v>74</v>
      </c>
      <c r="BC666" t="s">
        <v>74</v>
      </c>
      <c r="BD666">
        <v>18420</v>
      </c>
      <c r="BE666" t="s">
        <v>13201</v>
      </c>
      <c r="BF666" t="str">
        <f>HYPERLINK("http://dx.doi.org/10.1038/s41598-021-97702-9","http://dx.doi.org/10.1038/s41598-021-97702-9")</f>
        <v>http://dx.doi.org/10.1038/s41598-021-97702-9</v>
      </c>
      <c r="BG666" t="s">
        <v>74</v>
      </c>
      <c r="BH666" t="s">
        <v>74</v>
      </c>
      <c r="BI666">
        <v>3</v>
      </c>
      <c r="BJ666" t="s">
        <v>126</v>
      </c>
      <c r="BK666" t="s">
        <v>101</v>
      </c>
      <c r="BL666" t="s">
        <v>127</v>
      </c>
      <c r="BM666" t="s">
        <v>13202</v>
      </c>
      <c r="BN666">
        <v>34508158</v>
      </c>
      <c r="BO666" t="s">
        <v>1094</v>
      </c>
      <c r="BP666" t="s">
        <v>74</v>
      </c>
      <c r="BQ666" t="s">
        <v>74</v>
      </c>
      <c r="BR666" t="s">
        <v>105</v>
      </c>
      <c r="BS666" t="s">
        <v>13203</v>
      </c>
      <c r="BT666" t="str">
        <f>HYPERLINK("https%3A%2F%2Fwww.webofscience.com%2Fwos%2Fwoscc%2Ffull-record%2FWOS:000694868000018","View Full Record in Web of Science")</f>
        <v>View Full Record in Web of Science</v>
      </c>
    </row>
    <row r="667" spans="1:72" x14ac:dyDescent="0.15">
      <c r="A667" t="s">
        <v>72</v>
      </c>
      <c r="B667" t="s">
        <v>13204</v>
      </c>
      <c r="C667" t="s">
        <v>74</v>
      </c>
      <c r="D667" t="s">
        <v>74</v>
      </c>
      <c r="E667" t="s">
        <v>74</v>
      </c>
      <c r="F667" t="s">
        <v>13205</v>
      </c>
      <c r="G667" t="s">
        <v>74</v>
      </c>
      <c r="H667" t="s">
        <v>74</v>
      </c>
      <c r="I667" t="s">
        <v>13206</v>
      </c>
      <c r="J667" t="s">
        <v>1516</v>
      </c>
      <c r="K667" t="s">
        <v>74</v>
      </c>
      <c r="L667" t="s">
        <v>74</v>
      </c>
      <c r="M667" t="s">
        <v>78</v>
      </c>
      <c r="N667" t="s">
        <v>79</v>
      </c>
      <c r="O667" t="s">
        <v>74</v>
      </c>
      <c r="P667" t="s">
        <v>74</v>
      </c>
      <c r="Q667" t="s">
        <v>74</v>
      </c>
      <c r="R667" t="s">
        <v>74</v>
      </c>
      <c r="S667" t="s">
        <v>74</v>
      </c>
      <c r="T667" t="s">
        <v>74</v>
      </c>
      <c r="U667" t="s">
        <v>13207</v>
      </c>
      <c r="V667" t="s">
        <v>13208</v>
      </c>
      <c r="W667" t="s">
        <v>13209</v>
      </c>
      <c r="X667" t="s">
        <v>3764</v>
      </c>
      <c r="Y667" t="s">
        <v>13210</v>
      </c>
      <c r="Z667" t="s">
        <v>13211</v>
      </c>
      <c r="AA667" t="s">
        <v>13212</v>
      </c>
      <c r="AB667" t="s">
        <v>13213</v>
      </c>
      <c r="AC667" t="s">
        <v>74</v>
      </c>
      <c r="AD667" t="s">
        <v>74</v>
      </c>
      <c r="AE667" t="s">
        <v>74</v>
      </c>
      <c r="AF667" t="s">
        <v>74</v>
      </c>
      <c r="AG667">
        <v>139</v>
      </c>
      <c r="AH667">
        <v>14</v>
      </c>
      <c r="AI667">
        <v>14</v>
      </c>
      <c r="AJ667">
        <v>1</v>
      </c>
      <c r="AK667">
        <v>12</v>
      </c>
      <c r="AL667" t="s">
        <v>1527</v>
      </c>
      <c r="AM667" t="s">
        <v>1528</v>
      </c>
      <c r="AN667" t="s">
        <v>1529</v>
      </c>
      <c r="AO667" t="s">
        <v>1530</v>
      </c>
      <c r="AP667" t="s">
        <v>74</v>
      </c>
      <c r="AQ667" t="s">
        <v>74</v>
      </c>
      <c r="AR667" t="s">
        <v>1516</v>
      </c>
      <c r="AS667" t="s">
        <v>1531</v>
      </c>
      <c r="AT667" t="s">
        <v>13214</v>
      </c>
      <c r="AU667">
        <v>2021</v>
      </c>
      <c r="AV667">
        <v>16</v>
      </c>
      <c r="AW667">
        <v>9</v>
      </c>
      <c r="AX667" t="s">
        <v>74</v>
      </c>
      <c r="AY667" t="s">
        <v>74</v>
      </c>
      <c r="AZ667" t="s">
        <v>74</v>
      </c>
      <c r="BA667" t="s">
        <v>74</v>
      </c>
      <c r="BB667" t="s">
        <v>74</v>
      </c>
      <c r="BC667" t="s">
        <v>74</v>
      </c>
      <c r="BD667" t="s">
        <v>13215</v>
      </c>
      <c r="BE667" t="s">
        <v>13216</v>
      </c>
      <c r="BF667" t="str">
        <f>HYPERLINK("http://dx.doi.org/10.1371/journal.pone.0256146","http://dx.doi.org/10.1371/journal.pone.0256146")</f>
        <v>http://dx.doi.org/10.1371/journal.pone.0256146</v>
      </c>
      <c r="BG667" t="s">
        <v>74</v>
      </c>
      <c r="BH667" t="s">
        <v>74</v>
      </c>
      <c r="BI667">
        <v>38</v>
      </c>
      <c r="BJ667" t="s">
        <v>126</v>
      </c>
      <c r="BK667" t="s">
        <v>101</v>
      </c>
      <c r="BL667" t="s">
        <v>127</v>
      </c>
      <c r="BM667" t="s">
        <v>13217</v>
      </c>
      <c r="BN667">
        <v>34499686</v>
      </c>
      <c r="BO667" t="s">
        <v>1248</v>
      </c>
      <c r="BP667" t="s">
        <v>74</v>
      </c>
      <c r="BQ667" t="s">
        <v>74</v>
      </c>
      <c r="BR667" t="s">
        <v>105</v>
      </c>
      <c r="BS667" t="s">
        <v>13218</v>
      </c>
      <c r="BT667" t="str">
        <f>HYPERLINK("https%3A%2F%2Fwww.webofscience.com%2Fwos%2Fwoscc%2Ffull-record%2FWOS:000732522400012","View Full Record in Web of Science")</f>
        <v>View Full Record in Web of Science</v>
      </c>
    </row>
    <row r="668" spans="1:72" x14ac:dyDescent="0.15">
      <c r="A668" t="s">
        <v>72</v>
      </c>
      <c r="B668" t="s">
        <v>13219</v>
      </c>
      <c r="C668" t="s">
        <v>74</v>
      </c>
      <c r="D668" t="s">
        <v>74</v>
      </c>
      <c r="E668" t="s">
        <v>74</v>
      </c>
      <c r="F668" t="s">
        <v>13220</v>
      </c>
      <c r="G668" t="s">
        <v>74</v>
      </c>
      <c r="H668" t="s">
        <v>74</v>
      </c>
      <c r="I668" t="s">
        <v>13221</v>
      </c>
      <c r="J668" t="s">
        <v>11346</v>
      </c>
      <c r="K668" t="s">
        <v>74</v>
      </c>
      <c r="L668" t="s">
        <v>74</v>
      </c>
      <c r="M668" t="s">
        <v>78</v>
      </c>
      <c r="N668" t="s">
        <v>373</v>
      </c>
      <c r="O668" t="s">
        <v>74</v>
      </c>
      <c r="P668" t="s">
        <v>74</v>
      </c>
      <c r="Q668" t="s">
        <v>74</v>
      </c>
      <c r="R668" t="s">
        <v>74</v>
      </c>
      <c r="S668" t="s">
        <v>74</v>
      </c>
      <c r="T668" t="s">
        <v>13222</v>
      </c>
      <c r="U668" t="s">
        <v>13223</v>
      </c>
      <c r="V668" t="s">
        <v>13224</v>
      </c>
      <c r="W668" t="s">
        <v>13225</v>
      </c>
      <c r="X668" t="s">
        <v>13226</v>
      </c>
      <c r="Y668" t="s">
        <v>13227</v>
      </c>
      <c r="Z668" t="s">
        <v>13228</v>
      </c>
      <c r="AA668" t="s">
        <v>74</v>
      </c>
      <c r="AB668" t="s">
        <v>13229</v>
      </c>
      <c r="AC668" t="s">
        <v>13230</v>
      </c>
      <c r="AD668" t="s">
        <v>13231</v>
      </c>
      <c r="AE668" t="s">
        <v>13232</v>
      </c>
      <c r="AF668" t="s">
        <v>74</v>
      </c>
      <c r="AG668">
        <v>43</v>
      </c>
      <c r="AH668">
        <v>4</v>
      </c>
      <c r="AI668">
        <v>4</v>
      </c>
      <c r="AJ668">
        <v>0</v>
      </c>
      <c r="AK668">
        <v>3</v>
      </c>
      <c r="AL668" t="s">
        <v>255</v>
      </c>
      <c r="AM668" t="s">
        <v>256</v>
      </c>
      <c r="AN668" t="s">
        <v>257</v>
      </c>
      <c r="AO668" t="s">
        <v>11356</v>
      </c>
      <c r="AP668" t="s">
        <v>11357</v>
      </c>
      <c r="AQ668" t="s">
        <v>74</v>
      </c>
      <c r="AR668" t="s">
        <v>11358</v>
      </c>
      <c r="AS668" t="s">
        <v>11359</v>
      </c>
      <c r="AT668" t="s">
        <v>310</v>
      </c>
      <c r="AU668">
        <v>2021</v>
      </c>
      <c r="AV668">
        <v>198</v>
      </c>
      <c r="AW668" t="s">
        <v>74</v>
      </c>
      <c r="AX668" t="s">
        <v>74</v>
      </c>
      <c r="AY668" t="s">
        <v>74</v>
      </c>
      <c r="AZ668" t="s">
        <v>74</v>
      </c>
      <c r="BA668" t="s">
        <v>74</v>
      </c>
      <c r="BB668" t="s">
        <v>74</v>
      </c>
      <c r="BC668" t="s">
        <v>74</v>
      </c>
      <c r="BD668">
        <v>102666</v>
      </c>
      <c r="BE668" t="s">
        <v>13233</v>
      </c>
      <c r="BF668" t="str">
        <f>HYPERLINK("http://dx.doi.org/10.1016/j.pocean.2021.102666","http://dx.doi.org/10.1016/j.pocean.2021.102666")</f>
        <v>http://dx.doi.org/10.1016/j.pocean.2021.102666</v>
      </c>
      <c r="BG668" t="s">
        <v>74</v>
      </c>
      <c r="BH668" t="s">
        <v>11189</v>
      </c>
      <c r="BI668">
        <v>15</v>
      </c>
      <c r="BJ668" t="s">
        <v>264</v>
      </c>
      <c r="BK668" t="s">
        <v>101</v>
      </c>
      <c r="BL668" t="s">
        <v>264</v>
      </c>
      <c r="BM668" t="s">
        <v>13234</v>
      </c>
      <c r="BN668" t="s">
        <v>74</v>
      </c>
      <c r="BO668" t="s">
        <v>74</v>
      </c>
      <c r="BP668" t="s">
        <v>74</v>
      </c>
      <c r="BQ668" t="s">
        <v>74</v>
      </c>
      <c r="BR668" t="s">
        <v>105</v>
      </c>
      <c r="BS668" t="s">
        <v>13235</v>
      </c>
      <c r="BT668" t="str">
        <f>HYPERLINK("https%3A%2F%2Fwww.webofscience.com%2Fwos%2Fwoscc%2Ffull-record%2FWOS:000703898600001","View Full Record in Web of Science")</f>
        <v>View Full Record in Web of Science</v>
      </c>
    </row>
    <row r="669" spans="1:72" x14ac:dyDescent="0.15">
      <c r="A669" t="s">
        <v>72</v>
      </c>
      <c r="B669" t="s">
        <v>13236</v>
      </c>
      <c r="C669" t="s">
        <v>74</v>
      </c>
      <c r="D669" t="s">
        <v>74</v>
      </c>
      <c r="E669" t="s">
        <v>74</v>
      </c>
      <c r="F669" t="s">
        <v>13237</v>
      </c>
      <c r="G669" t="s">
        <v>74</v>
      </c>
      <c r="H669" t="s">
        <v>74</v>
      </c>
      <c r="I669" t="s">
        <v>13238</v>
      </c>
      <c r="J669" t="s">
        <v>13239</v>
      </c>
      <c r="K669" t="s">
        <v>74</v>
      </c>
      <c r="L669" t="s">
        <v>74</v>
      </c>
      <c r="M669" t="s">
        <v>78</v>
      </c>
      <c r="N669" t="s">
        <v>79</v>
      </c>
      <c r="O669" t="s">
        <v>74</v>
      </c>
      <c r="P669" t="s">
        <v>74</v>
      </c>
      <c r="Q669" t="s">
        <v>74</v>
      </c>
      <c r="R669" t="s">
        <v>74</v>
      </c>
      <c r="S669" t="s">
        <v>74</v>
      </c>
      <c r="T669" t="s">
        <v>13240</v>
      </c>
      <c r="U669" t="s">
        <v>13241</v>
      </c>
      <c r="V669" t="s">
        <v>13242</v>
      </c>
      <c r="W669" t="s">
        <v>13243</v>
      </c>
      <c r="X669" t="s">
        <v>13244</v>
      </c>
      <c r="Y669" t="s">
        <v>13245</v>
      </c>
      <c r="Z669" t="s">
        <v>13246</v>
      </c>
      <c r="AA669" t="s">
        <v>74</v>
      </c>
      <c r="AB669" t="s">
        <v>74</v>
      </c>
      <c r="AC669" t="s">
        <v>13247</v>
      </c>
      <c r="AD669" t="s">
        <v>13248</v>
      </c>
      <c r="AE669" t="s">
        <v>13249</v>
      </c>
      <c r="AF669" t="s">
        <v>74</v>
      </c>
      <c r="AG669">
        <v>104</v>
      </c>
      <c r="AH669">
        <v>7</v>
      </c>
      <c r="AI669">
        <v>9</v>
      </c>
      <c r="AJ669">
        <v>0</v>
      </c>
      <c r="AK669">
        <v>7</v>
      </c>
      <c r="AL669" t="s">
        <v>847</v>
      </c>
      <c r="AM669" t="s">
        <v>848</v>
      </c>
      <c r="AN669" t="s">
        <v>849</v>
      </c>
      <c r="AO669" t="s">
        <v>13250</v>
      </c>
      <c r="AP669" t="s">
        <v>13251</v>
      </c>
      <c r="AQ669" t="s">
        <v>74</v>
      </c>
      <c r="AR669" t="s">
        <v>13252</v>
      </c>
      <c r="AS669" t="s">
        <v>13253</v>
      </c>
      <c r="AT669" t="s">
        <v>7760</v>
      </c>
      <c r="AU669">
        <v>2021</v>
      </c>
      <c r="AV669">
        <v>365</v>
      </c>
      <c r="AW669" t="s">
        <v>74</v>
      </c>
      <c r="AX669" t="s">
        <v>74</v>
      </c>
      <c r="AY669" t="s">
        <v>74</v>
      </c>
      <c r="AZ669" t="s">
        <v>74</v>
      </c>
      <c r="BA669" t="s">
        <v>74</v>
      </c>
      <c r="BB669" t="s">
        <v>74</v>
      </c>
      <c r="BC669" t="s">
        <v>74</v>
      </c>
      <c r="BD669">
        <v>106392</v>
      </c>
      <c r="BE669" t="s">
        <v>13254</v>
      </c>
      <c r="BF669" t="str">
        <f>HYPERLINK("http://dx.doi.org/10.1016/j.precamres.2021.106392","http://dx.doi.org/10.1016/j.precamres.2021.106392")</f>
        <v>http://dx.doi.org/10.1016/j.precamres.2021.106392</v>
      </c>
      <c r="BG669" t="s">
        <v>74</v>
      </c>
      <c r="BH669" t="s">
        <v>11189</v>
      </c>
      <c r="BI669">
        <v>23</v>
      </c>
      <c r="BJ669" t="s">
        <v>236</v>
      </c>
      <c r="BK669" t="s">
        <v>101</v>
      </c>
      <c r="BL669" t="s">
        <v>237</v>
      </c>
      <c r="BM669" t="s">
        <v>13255</v>
      </c>
      <c r="BN669" t="s">
        <v>74</v>
      </c>
      <c r="BO669" t="s">
        <v>74</v>
      </c>
      <c r="BP669" t="s">
        <v>74</v>
      </c>
      <c r="BQ669" t="s">
        <v>74</v>
      </c>
      <c r="BR669" t="s">
        <v>105</v>
      </c>
      <c r="BS669" t="s">
        <v>13256</v>
      </c>
      <c r="BT669" t="str">
        <f>HYPERLINK("https%3A%2F%2Fwww.webofscience.com%2Fwos%2Fwoscc%2Ffull-record%2FWOS:000703586700013","View Full Record in Web of Science")</f>
        <v>View Full Record in Web of Science</v>
      </c>
    </row>
    <row r="670" spans="1:72" x14ac:dyDescent="0.15">
      <c r="A670" t="s">
        <v>72</v>
      </c>
      <c r="B670" t="s">
        <v>13257</v>
      </c>
      <c r="C670" t="s">
        <v>74</v>
      </c>
      <c r="D670" t="s">
        <v>74</v>
      </c>
      <c r="E670" t="s">
        <v>74</v>
      </c>
      <c r="F670" t="s">
        <v>13258</v>
      </c>
      <c r="G670" t="s">
        <v>74</v>
      </c>
      <c r="H670" t="s">
        <v>74</v>
      </c>
      <c r="I670" t="s">
        <v>13259</v>
      </c>
      <c r="J670" t="s">
        <v>372</v>
      </c>
      <c r="K670" t="s">
        <v>74</v>
      </c>
      <c r="L670" t="s">
        <v>74</v>
      </c>
      <c r="M670" t="s">
        <v>78</v>
      </c>
      <c r="N670" t="s">
        <v>79</v>
      </c>
      <c r="O670" t="s">
        <v>74</v>
      </c>
      <c r="P670" t="s">
        <v>74</v>
      </c>
      <c r="Q670" t="s">
        <v>74</v>
      </c>
      <c r="R670" t="s">
        <v>74</v>
      </c>
      <c r="S670" t="s">
        <v>74</v>
      </c>
      <c r="T670" t="s">
        <v>13260</v>
      </c>
      <c r="U670" t="s">
        <v>13261</v>
      </c>
      <c r="V670" t="s">
        <v>13262</v>
      </c>
      <c r="W670" t="s">
        <v>13263</v>
      </c>
      <c r="X670" t="s">
        <v>13264</v>
      </c>
      <c r="Y670" t="s">
        <v>13265</v>
      </c>
      <c r="Z670" t="s">
        <v>13266</v>
      </c>
      <c r="AA670" t="s">
        <v>13267</v>
      </c>
      <c r="AB670" t="s">
        <v>13268</v>
      </c>
      <c r="AC670" t="s">
        <v>13269</v>
      </c>
      <c r="AD670" t="s">
        <v>13270</v>
      </c>
      <c r="AE670" t="s">
        <v>13271</v>
      </c>
      <c r="AF670" t="s">
        <v>74</v>
      </c>
      <c r="AG670">
        <v>51</v>
      </c>
      <c r="AH670">
        <v>0</v>
      </c>
      <c r="AI670">
        <v>0</v>
      </c>
      <c r="AJ670">
        <v>2</v>
      </c>
      <c r="AK670">
        <v>8</v>
      </c>
      <c r="AL670" t="s">
        <v>383</v>
      </c>
      <c r="AM670" t="s">
        <v>384</v>
      </c>
      <c r="AN670" t="s">
        <v>385</v>
      </c>
      <c r="AO670" t="s">
        <v>74</v>
      </c>
      <c r="AP670" t="s">
        <v>386</v>
      </c>
      <c r="AQ670" t="s">
        <v>74</v>
      </c>
      <c r="AR670" t="s">
        <v>387</v>
      </c>
      <c r="AS670" t="s">
        <v>388</v>
      </c>
      <c r="AT670" t="s">
        <v>13214</v>
      </c>
      <c r="AU670">
        <v>2021</v>
      </c>
      <c r="AV670">
        <v>8</v>
      </c>
      <c r="AW670" t="s">
        <v>74</v>
      </c>
      <c r="AX670" t="s">
        <v>74</v>
      </c>
      <c r="AY670" t="s">
        <v>74</v>
      </c>
      <c r="AZ670" t="s">
        <v>74</v>
      </c>
      <c r="BA670" t="s">
        <v>74</v>
      </c>
      <c r="BB670" t="s">
        <v>74</v>
      </c>
      <c r="BC670" t="s">
        <v>74</v>
      </c>
      <c r="BD670">
        <v>640504</v>
      </c>
      <c r="BE670" t="s">
        <v>13272</v>
      </c>
      <c r="BF670" t="str">
        <f>HYPERLINK("http://dx.doi.org/10.3389/fmars.2021.640504","http://dx.doi.org/10.3389/fmars.2021.640504")</f>
        <v>http://dx.doi.org/10.3389/fmars.2021.640504</v>
      </c>
      <c r="BG670" t="s">
        <v>74</v>
      </c>
      <c r="BH670" t="s">
        <v>74</v>
      </c>
      <c r="BI670">
        <v>15</v>
      </c>
      <c r="BJ670" t="s">
        <v>391</v>
      </c>
      <c r="BK670" t="s">
        <v>101</v>
      </c>
      <c r="BL670" t="s">
        <v>392</v>
      </c>
      <c r="BM670" t="s">
        <v>13273</v>
      </c>
      <c r="BN670" t="s">
        <v>74</v>
      </c>
      <c r="BO670" t="s">
        <v>7854</v>
      </c>
      <c r="BP670" t="s">
        <v>74</v>
      </c>
      <c r="BQ670" t="s">
        <v>74</v>
      </c>
      <c r="BR670" t="s">
        <v>105</v>
      </c>
      <c r="BS670" t="s">
        <v>13274</v>
      </c>
      <c r="BT670" t="str">
        <f>HYPERLINK("https%3A%2F%2Fwww.webofscience.com%2Fwos%2Fwoscc%2Ffull-record%2FWOS:000698621100001","View Full Record in Web of Science")</f>
        <v>View Full Record in Web of Science</v>
      </c>
    </row>
    <row r="671" spans="1:72" x14ac:dyDescent="0.15">
      <c r="A671" t="s">
        <v>72</v>
      </c>
      <c r="B671" t="s">
        <v>13275</v>
      </c>
      <c r="C671" t="s">
        <v>74</v>
      </c>
      <c r="D671" t="s">
        <v>74</v>
      </c>
      <c r="E671" t="s">
        <v>74</v>
      </c>
      <c r="F671" t="s">
        <v>13276</v>
      </c>
      <c r="G671" t="s">
        <v>74</v>
      </c>
      <c r="H671" t="s">
        <v>74</v>
      </c>
      <c r="I671" t="s">
        <v>13277</v>
      </c>
      <c r="J671" t="s">
        <v>1253</v>
      </c>
      <c r="K671" t="s">
        <v>74</v>
      </c>
      <c r="L671" t="s">
        <v>74</v>
      </c>
      <c r="M671" t="s">
        <v>78</v>
      </c>
      <c r="N671" t="s">
        <v>79</v>
      </c>
      <c r="O671" t="s">
        <v>74</v>
      </c>
      <c r="P671" t="s">
        <v>74</v>
      </c>
      <c r="Q671" t="s">
        <v>74</v>
      </c>
      <c r="R671" t="s">
        <v>74</v>
      </c>
      <c r="S671" t="s">
        <v>74</v>
      </c>
      <c r="T671" t="s">
        <v>13278</v>
      </c>
      <c r="U671" t="s">
        <v>13279</v>
      </c>
      <c r="V671" t="s">
        <v>13280</v>
      </c>
      <c r="W671" t="s">
        <v>13281</v>
      </c>
      <c r="X671" t="s">
        <v>13282</v>
      </c>
      <c r="Y671" t="s">
        <v>13283</v>
      </c>
      <c r="Z671" t="s">
        <v>13284</v>
      </c>
      <c r="AA671" t="s">
        <v>13285</v>
      </c>
      <c r="AB671" t="s">
        <v>13286</v>
      </c>
      <c r="AC671" t="s">
        <v>13287</v>
      </c>
      <c r="AD671" t="s">
        <v>13288</v>
      </c>
      <c r="AE671" t="s">
        <v>13289</v>
      </c>
      <c r="AF671" t="s">
        <v>74</v>
      </c>
      <c r="AG671">
        <v>83</v>
      </c>
      <c r="AH671">
        <v>7</v>
      </c>
      <c r="AI671">
        <v>7</v>
      </c>
      <c r="AJ671">
        <v>0</v>
      </c>
      <c r="AK671">
        <v>16</v>
      </c>
      <c r="AL671" t="s">
        <v>847</v>
      </c>
      <c r="AM671" t="s">
        <v>848</v>
      </c>
      <c r="AN671" t="s">
        <v>849</v>
      </c>
      <c r="AO671" t="s">
        <v>1266</v>
      </c>
      <c r="AP671" t="s">
        <v>1267</v>
      </c>
      <c r="AQ671" t="s">
        <v>74</v>
      </c>
      <c r="AR671" t="s">
        <v>1268</v>
      </c>
      <c r="AS671" t="s">
        <v>1269</v>
      </c>
      <c r="AT671" t="s">
        <v>13290</v>
      </c>
      <c r="AU671">
        <v>2021</v>
      </c>
      <c r="AV671">
        <v>236</v>
      </c>
      <c r="AW671" t="s">
        <v>74</v>
      </c>
      <c r="AX671" t="s">
        <v>74</v>
      </c>
      <c r="AY671" t="s">
        <v>74</v>
      </c>
      <c r="AZ671" t="s">
        <v>74</v>
      </c>
      <c r="BA671" t="s">
        <v>74</v>
      </c>
      <c r="BB671" t="s">
        <v>74</v>
      </c>
      <c r="BC671" t="s">
        <v>74</v>
      </c>
      <c r="BD671">
        <v>104031</v>
      </c>
      <c r="BE671" t="s">
        <v>13291</v>
      </c>
      <c r="BF671" t="str">
        <f>HYPERLINK("http://dx.doi.org/10.1016/j.marchem.2021.104031","http://dx.doi.org/10.1016/j.marchem.2021.104031")</f>
        <v>http://dx.doi.org/10.1016/j.marchem.2021.104031</v>
      </c>
      <c r="BG671" t="s">
        <v>74</v>
      </c>
      <c r="BH671" t="s">
        <v>11189</v>
      </c>
      <c r="BI671">
        <v>13</v>
      </c>
      <c r="BJ671" t="s">
        <v>1272</v>
      </c>
      <c r="BK671" t="s">
        <v>101</v>
      </c>
      <c r="BL671" t="s">
        <v>1273</v>
      </c>
      <c r="BM671" t="s">
        <v>13292</v>
      </c>
      <c r="BN671" t="s">
        <v>74</v>
      </c>
      <c r="BO671" t="s">
        <v>8343</v>
      </c>
      <c r="BP671" t="s">
        <v>74</v>
      </c>
      <c r="BQ671" t="s">
        <v>74</v>
      </c>
      <c r="BR671" t="s">
        <v>105</v>
      </c>
      <c r="BS671" t="s">
        <v>13293</v>
      </c>
      <c r="BT671" t="str">
        <f>HYPERLINK("https%3A%2F%2Fwww.webofscience.com%2Fwos%2Fwoscc%2Ffull-record%2FWOS:000697732900007","View Full Record in Web of Science")</f>
        <v>View Full Record in Web of Science</v>
      </c>
    </row>
    <row r="672" spans="1:72" x14ac:dyDescent="0.15">
      <c r="A672" t="s">
        <v>72</v>
      </c>
      <c r="B672" t="s">
        <v>13294</v>
      </c>
      <c r="C672" t="s">
        <v>74</v>
      </c>
      <c r="D672" t="s">
        <v>74</v>
      </c>
      <c r="E672" t="s">
        <v>74</v>
      </c>
      <c r="F672" t="s">
        <v>13295</v>
      </c>
      <c r="G672" t="s">
        <v>74</v>
      </c>
      <c r="H672" t="s">
        <v>74</v>
      </c>
      <c r="I672" t="s">
        <v>13296</v>
      </c>
      <c r="J672" t="s">
        <v>372</v>
      </c>
      <c r="K672" t="s">
        <v>74</v>
      </c>
      <c r="L672" t="s">
        <v>74</v>
      </c>
      <c r="M672" t="s">
        <v>78</v>
      </c>
      <c r="N672" t="s">
        <v>79</v>
      </c>
      <c r="O672" t="s">
        <v>74</v>
      </c>
      <c r="P672" t="s">
        <v>74</v>
      </c>
      <c r="Q672" t="s">
        <v>74</v>
      </c>
      <c r="R672" t="s">
        <v>74</v>
      </c>
      <c r="S672" t="s">
        <v>74</v>
      </c>
      <c r="T672" t="s">
        <v>13297</v>
      </c>
      <c r="U672" t="s">
        <v>13298</v>
      </c>
      <c r="V672" t="s">
        <v>13299</v>
      </c>
      <c r="W672" t="s">
        <v>13300</v>
      </c>
      <c r="X672" t="s">
        <v>13301</v>
      </c>
      <c r="Y672" t="s">
        <v>13302</v>
      </c>
      <c r="Z672" t="s">
        <v>13303</v>
      </c>
      <c r="AA672" t="s">
        <v>13304</v>
      </c>
      <c r="AB672" t="s">
        <v>13305</v>
      </c>
      <c r="AC672" t="s">
        <v>13306</v>
      </c>
      <c r="AD672" t="s">
        <v>13307</v>
      </c>
      <c r="AE672" t="s">
        <v>13308</v>
      </c>
      <c r="AF672" t="s">
        <v>74</v>
      </c>
      <c r="AG672">
        <v>120</v>
      </c>
      <c r="AH672">
        <v>7</v>
      </c>
      <c r="AI672">
        <v>7</v>
      </c>
      <c r="AJ672">
        <v>0</v>
      </c>
      <c r="AK672">
        <v>9</v>
      </c>
      <c r="AL672" t="s">
        <v>383</v>
      </c>
      <c r="AM672" t="s">
        <v>384</v>
      </c>
      <c r="AN672" t="s">
        <v>385</v>
      </c>
      <c r="AO672" t="s">
        <v>74</v>
      </c>
      <c r="AP672" t="s">
        <v>386</v>
      </c>
      <c r="AQ672" t="s">
        <v>74</v>
      </c>
      <c r="AR672" t="s">
        <v>387</v>
      </c>
      <c r="AS672" t="s">
        <v>388</v>
      </c>
      <c r="AT672" t="s">
        <v>13214</v>
      </c>
      <c r="AU672">
        <v>2021</v>
      </c>
      <c r="AV672">
        <v>8</v>
      </c>
      <c r="AW672" t="s">
        <v>74</v>
      </c>
      <c r="AX672" t="s">
        <v>74</v>
      </c>
      <c r="AY672" t="s">
        <v>74</v>
      </c>
      <c r="AZ672" t="s">
        <v>74</v>
      </c>
      <c r="BA672" t="s">
        <v>74</v>
      </c>
      <c r="BB672" t="s">
        <v>74</v>
      </c>
      <c r="BC672" t="s">
        <v>74</v>
      </c>
      <c r="BD672">
        <v>617075</v>
      </c>
      <c r="BE672" t="s">
        <v>13309</v>
      </c>
      <c r="BF672" t="str">
        <f>HYPERLINK("http://dx.doi.org/10.3389/fmars.2021.617075","http://dx.doi.org/10.3389/fmars.2021.617075")</f>
        <v>http://dx.doi.org/10.3389/fmars.2021.617075</v>
      </c>
      <c r="BG672" t="s">
        <v>74</v>
      </c>
      <c r="BH672" t="s">
        <v>74</v>
      </c>
      <c r="BI672">
        <v>18</v>
      </c>
      <c r="BJ672" t="s">
        <v>391</v>
      </c>
      <c r="BK672" t="s">
        <v>101</v>
      </c>
      <c r="BL672" t="s">
        <v>392</v>
      </c>
      <c r="BM672" t="s">
        <v>13310</v>
      </c>
      <c r="BN672" t="s">
        <v>74</v>
      </c>
      <c r="BO672" t="s">
        <v>394</v>
      </c>
      <c r="BP672" t="s">
        <v>74</v>
      </c>
      <c r="BQ672" t="s">
        <v>74</v>
      </c>
      <c r="BR672" t="s">
        <v>105</v>
      </c>
      <c r="BS672" t="s">
        <v>13311</v>
      </c>
      <c r="BT672" t="str">
        <f>HYPERLINK("https%3A%2F%2Fwww.webofscience.com%2Fwos%2Fwoscc%2Ffull-record%2FWOS:000698516500001","View Full Record in Web of Science")</f>
        <v>View Full Record in Web of Science</v>
      </c>
    </row>
    <row r="673" spans="1:72" x14ac:dyDescent="0.15">
      <c r="A673" t="s">
        <v>72</v>
      </c>
      <c r="B673" t="s">
        <v>13312</v>
      </c>
      <c r="C673" t="s">
        <v>74</v>
      </c>
      <c r="D673" t="s">
        <v>74</v>
      </c>
      <c r="E673" t="s">
        <v>74</v>
      </c>
      <c r="F673" t="s">
        <v>13313</v>
      </c>
      <c r="G673" t="s">
        <v>74</v>
      </c>
      <c r="H673" t="s">
        <v>74</v>
      </c>
      <c r="I673" t="s">
        <v>13314</v>
      </c>
      <c r="J673" t="s">
        <v>2743</v>
      </c>
      <c r="K673" t="s">
        <v>74</v>
      </c>
      <c r="L673" t="s">
        <v>74</v>
      </c>
      <c r="M673" t="s">
        <v>78</v>
      </c>
      <c r="N673" t="s">
        <v>79</v>
      </c>
      <c r="O673" t="s">
        <v>74</v>
      </c>
      <c r="P673" t="s">
        <v>74</v>
      </c>
      <c r="Q673" t="s">
        <v>74</v>
      </c>
      <c r="R673" t="s">
        <v>74</v>
      </c>
      <c r="S673" t="s">
        <v>74</v>
      </c>
      <c r="T673" t="s">
        <v>13315</v>
      </c>
      <c r="U673" t="s">
        <v>13316</v>
      </c>
      <c r="V673" t="s">
        <v>13317</v>
      </c>
      <c r="W673" t="s">
        <v>13318</v>
      </c>
      <c r="X673" t="s">
        <v>13319</v>
      </c>
      <c r="Y673" t="s">
        <v>13320</v>
      </c>
      <c r="Z673" t="s">
        <v>13321</v>
      </c>
      <c r="AA673" t="s">
        <v>13322</v>
      </c>
      <c r="AB673" t="s">
        <v>74</v>
      </c>
      <c r="AC673" t="s">
        <v>74</v>
      </c>
      <c r="AD673" t="s">
        <v>74</v>
      </c>
      <c r="AE673" t="s">
        <v>74</v>
      </c>
      <c r="AF673" t="s">
        <v>74</v>
      </c>
      <c r="AG673">
        <v>37</v>
      </c>
      <c r="AH673">
        <v>6</v>
      </c>
      <c r="AI673">
        <v>6</v>
      </c>
      <c r="AJ673">
        <v>0</v>
      </c>
      <c r="AK673">
        <v>9</v>
      </c>
      <c r="AL673" t="s">
        <v>2756</v>
      </c>
      <c r="AM673" t="s">
        <v>2757</v>
      </c>
      <c r="AN673" t="s">
        <v>2758</v>
      </c>
      <c r="AO673" t="s">
        <v>2759</v>
      </c>
      <c r="AP673" t="s">
        <v>2760</v>
      </c>
      <c r="AQ673" t="s">
        <v>74</v>
      </c>
      <c r="AR673" t="s">
        <v>2761</v>
      </c>
      <c r="AS673" t="s">
        <v>2762</v>
      </c>
      <c r="AT673" t="s">
        <v>13214</v>
      </c>
      <c r="AU673">
        <v>2021</v>
      </c>
      <c r="AV673">
        <v>40</v>
      </c>
      <c r="AW673" t="s">
        <v>74</v>
      </c>
      <c r="AX673" t="s">
        <v>74</v>
      </c>
      <c r="AY673" t="s">
        <v>74</v>
      </c>
      <c r="AZ673" t="s">
        <v>74</v>
      </c>
      <c r="BA673" t="s">
        <v>74</v>
      </c>
      <c r="BB673" t="s">
        <v>74</v>
      </c>
      <c r="BC673" t="s">
        <v>74</v>
      </c>
      <c r="BD673">
        <v>5392</v>
      </c>
      <c r="BE673" t="s">
        <v>13323</v>
      </c>
      <c r="BF673" t="str">
        <f>HYPERLINK("http://dx.doi.org/10.33265/polar.v40.5392","http://dx.doi.org/10.33265/polar.v40.5392")</f>
        <v>http://dx.doi.org/10.33265/polar.v40.5392</v>
      </c>
      <c r="BG673" t="s">
        <v>74</v>
      </c>
      <c r="BH673" t="s">
        <v>74</v>
      </c>
      <c r="BI673">
        <v>11</v>
      </c>
      <c r="BJ673" t="s">
        <v>2765</v>
      </c>
      <c r="BK673" t="s">
        <v>101</v>
      </c>
      <c r="BL673" t="s">
        <v>2766</v>
      </c>
      <c r="BM673" t="s">
        <v>13324</v>
      </c>
      <c r="BN673" t="s">
        <v>74</v>
      </c>
      <c r="BO673" t="s">
        <v>210</v>
      </c>
      <c r="BP673" t="s">
        <v>74</v>
      </c>
      <c r="BQ673" t="s">
        <v>74</v>
      </c>
      <c r="BR673" t="s">
        <v>105</v>
      </c>
      <c r="BS673" t="s">
        <v>13325</v>
      </c>
      <c r="BT673" t="str">
        <f>HYPERLINK("https%3A%2F%2Fwww.webofscience.com%2Fwos%2Fwoscc%2Ffull-record%2FWOS:000697574300001","View Full Record in Web of Science")</f>
        <v>View Full Record in Web of Science</v>
      </c>
    </row>
    <row r="674" spans="1:72" x14ac:dyDescent="0.15">
      <c r="A674" t="s">
        <v>72</v>
      </c>
      <c r="B674" t="s">
        <v>13326</v>
      </c>
      <c r="C674" t="s">
        <v>74</v>
      </c>
      <c r="D674" t="s">
        <v>74</v>
      </c>
      <c r="E674" t="s">
        <v>74</v>
      </c>
      <c r="F674" t="s">
        <v>13327</v>
      </c>
      <c r="G674" t="s">
        <v>74</v>
      </c>
      <c r="H674" t="s">
        <v>74</v>
      </c>
      <c r="I674" t="s">
        <v>13328</v>
      </c>
      <c r="J674" t="s">
        <v>725</v>
      </c>
      <c r="K674" t="s">
        <v>74</v>
      </c>
      <c r="L674" t="s">
        <v>74</v>
      </c>
      <c r="M674" t="s">
        <v>78</v>
      </c>
      <c r="N674" t="s">
        <v>79</v>
      </c>
      <c r="O674" t="s">
        <v>74</v>
      </c>
      <c r="P674" t="s">
        <v>74</v>
      </c>
      <c r="Q674" t="s">
        <v>74</v>
      </c>
      <c r="R674" t="s">
        <v>74</v>
      </c>
      <c r="S674" t="s">
        <v>74</v>
      </c>
      <c r="T674" t="s">
        <v>74</v>
      </c>
      <c r="U674" t="s">
        <v>13329</v>
      </c>
      <c r="V674" t="s">
        <v>13330</v>
      </c>
      <c r="W674" t="s">
        <v>13331</v>
      </c>
      <c r="X674" t="s">
        <v>13332</v>
      </c>
      <c r="Y674" t="s">
        <v>13333</v>
      </c>
      <c r="Z674" t="s">
        <v>13334</v>
      </c>
      <c r="AA674" t="s">
        <v>13335</v>
      </c>
      <c r="AB674" t="s">
        <v>13336</v>
      </c>
      <c r="AC674" t="s">
        <v>13337</v>
      </c>
      <c r="AD674" t="s">
        <v>13338</v>
      </c>
      <c r="AE674" t="s">
        <v>13339</v>
      </c>
      <c r="AF674" t="s">
        <v>74</v>
      </c>
      <c r="AG674">
        <v>80</v>
      </c>
      <c r="AH674">
        <v>4</v>
      </c>
      <c r="AI674">
        <v>4</v>
      </c>
      <c r="AJ674">
        <v>1</v>
      </c>
      <c r="AK674">
        <v>16</v>
      </c>
      <c r="AL674" t="s">
        <v>492</v>
      </c>
      <c r="AM674" t="s">
        <v>493</v>
      </c>
      <c r="AN674" t="s">
        <v>494</v>
      </c>
      <c r="AO674" t="s">
        <v>737</v>
      </c>
      <c r="AP674" t="s">
        <v>738</v>
      </c>
      <c r="AQ674" t="s">
        <v>74</v>
      </c>
      <c r="AR674" t="s">
        <v>739</v>
      </c>
      <c r="AS674" t="s">
        <v>740</v>
      </c>
      <c r="AT674" t="s">
        <v>7760</v>
      </c>
      <c r="AU674">
        <v>2021</v>
      </c>
      <c r="AV674">
        <v>14</v>
      </c>
      <c r="AW674">
        <v>10</v>
      </c>
      <c r="AX674" t="s">
        <v>74</v>
      </c>
      <c r="AY674" t="s">
        <v>74</v>
      </c>
      <c r="AZ674" t="s">
        <v>74</v>
      </c>
      <c r="BA674" t="s">
        <v>74</v>
      </c>
      <c r="BB674">
        <v>762</v>
      </c>
      <c r="BC674" t="s">
        <v>499</v>
      </c>
      <c r="BD674" t="s">
        <v>74</v>
      </c>
      <c r="BE674" t="s">
        <v>13340</v>
      </c>
      <c r="BF674" t="str">
        <f>HYPERLINK("http://dx.doi.org/10.1038/s41561-021-00816-y","http://dx.doi.org/10.1038/s41561-021-00816-y")</f>
        <v>http://dx.doi.org/10.1038/s41561-021-00816-y</v>
      </c>
      <c r="BG674" t="s">
        <v>74</v>
      </c>
      <c r="BH674" t="s">
        <v>11189</v>
      </c>
      <c r="BI674">
        <v>17</v>
      </c>
      <c r="BJ674" t="s">
        <v>236</v>
      </c>
      <c r="BK674" t="s">
        <v>101</v>
      </c>
      <c r="BL674" t="s">
        <v>237</v>
      </c>
      <c r="BM674" t="s">
        <v>13341</v>
      </c>
      <c r="BN674" t="s">
        <v>74</v>
      </c>
      <c r="BO674" t="s">
        <v>419</v>
      </c>
      <c r="BP674" t="s">
        <v>74</v>
      </c>
      <c r="BQ674" t="s">
        <v>74</v>
      </c>
      <c r="BR674" t="s">
        <v>105</v>
      </c>
      <c r="BS674" t="s">
        <v>13342</v>
      </c>
      <c r="BT674" t="str">
        <f>HYPERLINK("https%3A%2F%2Fwww.webofscience.com%2Fwos%2Fwoscc%2Ffull-record%2FWOS:000695635300002","View Full Record in Web of Science")</f>
        <v>View Full Record in Web of Science</v>
      </c>
    </row>
    <row r="675" spans="1:72" x14ac:dyDescent="0.15">
      <c r="A675" t="s">
        <v>72</v>
      </c>
      <c r="B675" t="s">
        <v>13343</v>
      </c>
      <c r="C675" t="s">
        <v>74</v>
      </c>
      <c r="D675" t="s">
        <v>74</v>
      </c>
      <c r="E675" t="s">
        <v>74</v>
      </c>
      <c r="F675" t="s">
        <v>13344</v>
      </c>
      <c r="G675" t="s">
        <v>74</v>
      </c>
      <c r="H675" t="s">
        <v>74</v>
      </c>
      <c r="I675" t="s">
        <v>13345</v>
      </c>
      <c r="J675" t="s">
        <v>1212</v>
      </c>
      <c r="K675" t="s">
        <v>74</v>
      </c>
      <c r="L675" t="s">
        <v>74</v>
      </c>
      <c r="M675" t="s">
        <v>78</v>
      </c>
      <c r="N675" t="s">
        <v>79</v>
      </c>
      <c r="O675" t="s">
        <v>74</v>
      </c>
      <c r="P675" t="s">
        <v>74</v>
      </c>
      <c r="Q675" t="s">
        <v>74</v>
      </c>
      <c r="R675" t="s">
        <v>74</v>
      </c>
      <c r="S675" t="s">
        <v>74</v>
      </c>
      <c r="T675" t="s">
        <v>74</v>
      </c>
      <c r="U675" t="s">
        <v>13346</v>
      </c>
      <c r="V675" t="s">
        <v>13347</v>
      </c>
      <c r="W675" t="s">
        <v>13348</v>
      </c>
      <c r="X675" t="s">
        <v>13349</v>
      </c>
      <c r="Y675" t="s">
        <v>13350</v>
      </c>
      <c r="Z675" t="s">
        <v>13351</v>
      </c>
      <c r="AA675" t="s">
        <v>13352</v>
      </c>
      <c r="AB675" t="s">
        <v>74</v>
      </c>
      <c r="AC675" t="s">
        <v>13353</v>
      </c>
      <c r="AD675" t="s">
        <v>13353</v>
      </c>
      <c r="AE675" t="s">
        <v>13354</v>
      </c>
      <c r="AF675" t="s">
        <v>74</v>
      </c>
      <c r="AG675">
        <v>51</v>
      </c>
      <c r="AH675">
        <v>7</v>
      </c>
      <c r="AI675">
        <v>7</v>
      </c>
      <c r="AJ675">
        <v>0</v>
      </c>
      <c r="AK675">
        <v>2</v>
      </c>
      <c r="AL675" t="s">
        <v>492</v>
      </c>
      <c r="AM675" t="s">
        <v>493</v>
      </c>
      <c r="AN675" t="s">
        <v>494</v>
      </c>
      <c r="AO675" t="s">
        <v>1224</v>
      </c>
      <c r="AP675" t="s">
        <v>74</v>
      </c>
      <c r="AQ675" t="s">
        <v>74</v>
      </c>
      <c r="AR675" t="s">
        <v>1225</v>
      </c>
      <c r="AS675" t="s">
        <v>1226</v>
      </c>
      <c r="AT675" t="s">
        <v>13214</v>
      </c>
      <c r="AU675">
        <v>2021</v>
      </c>
      <c r="AV675">
        <v>11</v>
      </c>
      <c r="AW675">
        <v>1</v>
      </c>
      <c r="AX675" t="s">
        <v>74</v>
      </c>
      <c r="AY675" t="s">
        <v>74</v>
      </c>
      <c r="AZ675" t="s">
        <v>74</v>
      </c>
      <c r="BA675" t="s">
        <v>74</v>
      </c>
      <c r="BB675" t="s">
        <v>74</v>
      </c>
      <c r="BC675" t="s">
        <v>74</v>
      </c>
      <c r="BD675">
        <v>17909</v>
      </c>
      <c r="BE675" t="s">
        <v>13355</v>
      </c>
      <c r="BF675" t="str">
        <f>HYPERLINK("http://dx.doi.org/10.1038/s41598-021-97227-1","http://dx.doi.org/10.1038/s41598-021-97227-1")</f>
        <v>http://dx.doi.org/10.1038/s41598-021-97227-1</v>
      </c>
      <c r="BG675" t="s">
        <v>74</v>
      </c>
      <c r="BH675" t="s">
        <v>74</v>
      </c>
      <c r="BI675">
        <v>11</v>
      </c>
      <c r="BJ675" t="s">
        <v>126</v>
      </c>
      <c r="BK675" t="s">
        <v>101</v>
      </c>
      <c r="BL675" t="s">
        <v>127</v>
      </c>
      <c r="BM675" t="s">
        <v>13356</v>
      </c>
      <c r="BN675">
        <v>34504160</v>
      </c>
      <c r="BO675" t="s">
        <v>394</v>
      </c>
      <c r="BP675" t="s">
        <v>74</v>
      </c>
      <c r="BQ675" t="s">
        <v>74</v>
      </c>
      <c r="BR675" t="s">
        <v>105</v>
      </c>
      <c r="BS675" t="s">
        <v>13357</v>
      </c>
      <c r="BT675" t="str">
        <f>HYPERLINK("https%3A%2F%2Fwww.webofscience.com%2Fwos%2Fwoscc%2Ffull-record%2FWOS:000695272000014","View Full Record in Web of Science")</f>
        <v>View Full Record in Web of Science</v>
      </c>
    </row>
    <row r="676" spans="1:72" x14ac:dyDescent="0.15">
      <c r="A676" t="s">
        <v>72</v>
      </c>
      <c r="B676" t="s">
        <v>13358</v>
      </c>
      <c r="C676" t="s">
        <v>74</v>
      </c>
      <c r="D676" t="s">
        <v>74</v>
      </c>
      <c r="E676" t="s">
        <v>74</v>
      </c>
      <c r="F676" t="s">
        <v>13359</v>
      </c>
      <c r="G676" t="s">
        <v>74</v>
      </c>
      <c r="H676" t="s">
        <v>74</v>
      </c>
      <c r="I676" t="s">
        <v>13360</v>
      </c>
      <c r="J676" t="s">
        <v>2675</v>
      </c>
      <c r="K676" t="s">
        <v>74</v>
      </c>
      <c r="L676" t="s">
        <v>74</v>
      </c>
      <c r="M676" t="s">
        <v>78</v>
      </c>
      <c r="N676" t="s">
        <v>79</v>
      </c>
      <c r="O676" t="s">
        <v>74</v>
      </c>
      <c r="P676" t="s">
        <v>74</v>
      </c>
      <c r="Q676" t="s">
        <v>74</v>
      </c>
      <c r="R676" t="s">
        <v>74</v>
      </c>
      <c r="S676" t="s">
        <v>74</v>
      </c>
      <c r="T676" t="s">
        <v>74</v>
      </c>
      <c r="U676" t="s">
        <v>13361</v>
      </c>
      <c r="V676" t="s">
        <v>13362</v>
      </c>
      <c r="W676" t="s">
        <v>13363</v>
      </c>
      <c r="X676" t="s">
        <v>13364</v>
      </c>
      <c r="Y676" t="s">
        <v>13365</v>
      </c>
      <c r="Z676" t="s">
        <v>13366</v>
      </c>
      <c r="AA676" t="s">
        <v>13367</v>
      </c>
      <c r="AB676" t="s">
        <v>13368</v>
      </c>
      <c r="AC676" t="s">
        <v>13369</v>
      </c>
      <c r="AD676" t="s">
        <v>13370</v>
      </c>
      <c r="AE676" t="s">
        <v>13371</v>
      </c>
      <c r="AF676" t="s">
        <v>74</v>
      </c>
      <c r="AG676">
        <v>97</v>
      </c>
      <c r="AH676">
        <v>8</v>
      </c>
      <c r="AI676">
        <v>8</v>
      </c>
      <c r="AJ676">
        <v>1</v>
      </c>
      <c r="AK676">
        <v>13</v>
      </c>
      <c r="AL676" t="s">
        <v>227</v>
      </c>
      <c r="AM676" t="s">
        <v>228</v>
      </c>
      <c r="AN676" t="s">
        <v>229</v>
      </c>
      <c r="AO676" t="s">
        <v>2687</v>
      </c>
      <c r="AP676" t="s">
        <v>2688</v>
      </c>
      <c r="AQ676" t="s">
        <v>74</v>
      </c>
      <c r="AR676" t="s">
        <v>2689</v>
      </c>
      <c r="AS676" t="s">
        <v>2690</v>
      </c>
      <c r="AT676" t="s">
        <v>13214</v>
      </c>
      <c r="AU676">
        <v>2021</v>
      </c>
      <c r="AV676">
        <v>17</v>
      </c>
      <c r="AW676">
        <v>5</v>
      </c>
      <c r="AX676" t="s">
        <v>74</v>
      </c>
      <c r="AY676" t="s">
        <v>74</v>
      </c>
      <c r="AZ676" t="s">
        <v>74</v>
      </c>
      <c r="BA676" t="s">
        <v>74</v>
      </c>
      <c r="BB676">
        <v>1795</v>
      </c>
      <c r="BC676">
        <v>1818</v>
      </c>
      <c r="BD676" t="s">
        <v>74</v>
      </c>
      <c r="BE676" t="s">
        <v>13372</v>
      </c>
      <c r="BF676" t="str">
        <f>HYPERLINK("http://dx.doi.org/10.5194/cp-17-1795-2021","http://dx.doi.org/10.5194/cp-17-1795-2021")</f>
        <v>http://dx.doi.org/10.5194/cp-17-1795-2021</v>
      </c>
      <c r="BG676" t="s">
        <v>74</v>
      </c>
      <c r="BH676" t="s">
        <v>74</v>
      </c>
      <c r="BI676">
        <v>24</v>
      </c>
      <c r="BJ676" t="s">
        <v>1418</v>
      </c>
      <c r="BK676" t="s">
        <v>101</v>
      </c>
      <c r="BL676" t="s">
        <v>1419</v>
      </c>
      <c r="BM676" t="s">
        <v>13373</v>
      </c>
      <c r="BN676" t="s">
        <v>74</v>
      </c>
      <c r="BO676" t="s">
        <v>3985</v>
      </c>
      <c r="BP676" t="s">
        <v>74</v>
      </c>
      <c r="BQ676" t="s">
        <v>74</v>
      </c>
      <c r="BR676" t="s">
        <v>105</v>
      </c>
      <c r="BS676" t="s">
        <v>13374</v>
      </c>
      <c r="BT676" t="str">
        <f>HYPERLINK("https%3A%2F%2Fwww.webofscience.com%2Fwos%2Fwoscc%2Ffull-record%2FWOS:000695649900001","View Full Record in Web of Science")</f>
        <v>View Full Record in Web of Science</v>
      </c>
    </row>
    <row r="677" spans="1:72" x14ac:dyDescent="0.15">
      <c r="A677" t="s">
        <v>72</v>
      </c>
      <c r="B677" t="s">
        <v>13375</v>
      </c>
      <c r="C677" t="s">
        <v>74</v>
      </c>
      <c r="D677" t="s">
        <v>74</v>
      </c>
      <c r="E677" t="s">
        <v>74</v>
      </c>
      <c r="F677" t="s">
        <v>13376</v>
      </c>
      <c r="G677" t="s">
        <v>74</v>
      </c>
      <c r="H677" t="s">
        <v>74</v>
      </c>
      <c r="I677" t="s">
        <v>13377</v>
      </c>
      <c r="J677" t="s">
        <v>981</v>
      </c>
      <c r="K677" t="s">
        <v>74</v>
      </c>
      <c r="L677" t="s">
        <v>74</v>
      </c>
      <c r="M677" t="s">
        <v>78</v>
      </c>
      <c r="N677" t="s">
        <v>79</v>
      </c>
      <c r="O677" t="s">
        <v>74</v>
      </c>
      <c r="P677" t="s">
        <v>74</v>
      </c>
      <c r="Q677" t="s">
        <v>74</v>
      </c>
      <c r="R677" t="s">
        <v>74</v>
      </c>
      <c r="S677" t="s">
        <v>74</v>
      </c>
      <c r="T677" t="s">
        <v>13378</v>
      </c>
      <c r="U677" t="s">
        <v>13379</v>
      </c>
      <c r="V677" t="s">
        <v>13380</v>
      </c>
      <c r="W677" t="s">
        <v>13381</v>
      </c>
      <c r="X677" t="s">
        <v>13382</v>
      </c>
      <c r="Y677" t="s">
        <v>13383</v>
      </c>
      <c r="Z677" t="s">
        <v>13384</v>
      </c>
      <c r="AA677" t="s">
        <v>13385</v>
      </c>
      <c r="AB677" t="s">
        <v>13386</v>
      </c>
      <c r="AC677" t="s">
        <v>13387</v>
      </c>
      <c r="AD677" t="s">
        <v>13388</v>
      </c>
      <c r="AE677" t="s">
        <v>13389</v>
      </c>
      <c r="AF677" t="s">
        <v>74</v>
      </c>
      <c r="AG677">
        <v>44</v>
      </c>
      <c r="AH677">
        <v>2</v>
      </c>
      <c r="AI677">
        <v>2</v>
      </c>
      <c r="AJ677">
        <v>0</v>
      </c>
      <c r="AK677">
        <v>5</v>
      </c>
      <c r="AL677" t="s">
        <v>666</v>
      </c>
      <c r="AM677" t="s">
        <v>994</v>
      </c>
      <c r="AN677" t="s">
        <v>995</v>
      </c>
      <c r="AO677" t="s">
        <v>996</v>
      </c>
      <c r="AP677" t="s">
        <v>997</v>
      </c>
      <c r="AQ677" t="s">
        <v>74</v>
      </c>
      <c r="AR677" t="s">
        <v>998</v>
      </c>
      <c r="AS677" t="s">
        <v>999</v>
      </c>
      <c r="AT677" t="s">
        <v>1978</v>
      </c>
      <c r="AU677">
        <v>2022</v>
      </c>
      <c r="AV677">
        <v>68</v>
      </c>
      <c r="AW677">
        <v>269</v>
      </c>
      <c r="AX677" t="s">
        <v>74</v>
      </c>
      <c r="AY677" t="s">
        <v>74</v>
      </c>
      <c r="AZ677" t="s">
        <v>74</v>
      </c>
      <c r="BA677" t="s">
        <v>74</v>
      </c>
      <c r="BB677">
        <v>417</v>
      </c>
      <c r="BC677">
        <v>430</v>
      </c>
      <c r="BD677" t="s">
        <v>13390</v>
      </c>
      <c r="BE677" t="s">
        <v>13391</v>
      </c>
      <c r="BF677" t="str">
        <f>HYPERLINK("http://dx.doi.org/10.1017/jog.2021.95","http://dx.doi.org/10.1017/jog.2021.95")</f>
        <v>http://dx.doi.org/10.1017/jog.2021.95</v>
      </c>
      <c r="BG677" t="s">
        <v>74</v>
      </c>
      <c r="BH677" t="s">
        <v>11189</v>
      </c>
      <c r="BI677">
        <v>14</v>
      </c>
      <c r="BJ677" t="s">
        <v>340</v>
      </c>
      <c r="BK677" t="s">
        <v>101</v>
      </c>
      <c r="BL677" t="s">
        <v>341</v>
      </c>
      <c r="BM677" t="s">
        <v>1981</v>
      </c>
      <c r="BN677" t="s">
        <v>74</v>
      </c>
      <c r="BO677" t="s">
        <v>1070</v>
      </c>
      <c r="BP677" t="s">
        <v>74</v>
      </c>
      <c r="BQ677" t="s">
        <v>74</v>
      </c>
      <c r="BR677" t="s">
        <v>105</v>
      </c>
      <c r="BS677" t="s">
        <v>13392</v>
      </c>
      <c r="BT677" t="str">
        <f>HYPERLINK("https%3A%2F%2Fwww.webofscience.com%2Fwos%2Fwoscc%2Ffull-record%2FWOS:000774703900001","View Full Record in Web of Science")</f>
        <v>View Full Record in Web of Science</v>
      </c>
    </row>
    <row r="678" spans="1:72" x14ac:dyDescent="0.15">
      <c r="A678" t="s">
        <v>72</v>
      </c>
      <c r="B678" t="s">
        <v>13393</v>
      </c>
      <c r="C678" t="s">
        <v>74</v>
      </c>
      <c r="D678" t="s">
        <v>74</v>
      </c>
      <c r="E678" t="s">
        <v>74</v>
      </c>
      <c r="F678" t="s">
        <v>13394</v>
      </c>
      <c r="G678" t="s">
        <v>74</v>
      </c>
      <c r="H678" t="s">
        <v>74</v>
      </c>
      <c r="I678" t="s">
        <v>13395</v>
      </c>
      <c r="J678" t="s">
        <v>6143</v>
      </c>
      <c r="K678" t="s">
        <v>74</v>
      </c>
      <c r="L678" t="s">
        <v>74</v>
      </c>
      <c r="M678" t="s">
        <v>78</v>
      </c>
      <c r="N678" t="s">
        <v>79</v>
      </c>
      <c r="O678" t="s">
        <v>74</v>
      </c>
      <c r="P678" t="s">
        <v>74</v>
      </c>
      <c r="Q678" t="s">
        <v>74</v>
      </c>
      <c r="R678" t="s">
        <v>74</v>
      </c>
      <c r="S678" t="s">
        <v>74</v>
      </c>
      <c r="T678" t="s">
        <v>13396</v>
      </c>
      <c r="U678" t="s">
        <v>13397</v>
      </c>
      <c r="V678" t="s">
        <v>13398</v>
      </c>
      <c r="W678" t="s">
        <v>13399</v>
      </c>
      <c r="X678" t="s">
        <v>3001</v>
      </c>
      <c r="Y678" t="s">
        <v>13400</v>
      </c>
      <c r="Z678" t="s">
        <v>13401</v>
      </c>
      <c r="AA678" t="s">
        <v>3004</v>
      </c>
      <c r="AB678" t="s">
        <v>3005</v>
      </c>
      <c r="AC678" t="s">
        <v>13402</v>
      </c>
      <c r="AD678" t="s">
        <v>13403</v>
      </c>
      <c r="AE678" t="s">
        <v>13404</v>
      </c>
      <c r="AF678" t="s">
        <v>74</v>
      </c>
      <c r="AG678">
        <v>61</v>
      </c>
      <c r="AH678">
        <v>1</v>
      </c>
      <c r="AI678">
        <v>1</v>
      </c>
      <c r="AJ678">
        <v>1</v>
      </c>
      <c r="AK678">
        <v>3</v>
      </c>
      <c r="AL678" t="s">
        <v>666</v>
      </c>
      <c r="AM678" t="s">
        <v>170</v>
      </c>
      <c r="AN678" t="s">
        <v>667</v>
      </c>
      <c r="AO678" t="s">
        <v>6156</v>
      </c>
      <c r="AP678" t="s">
        <v>6157</v>
      </c>
      <c r="AQ678" t="s">
        <v>74</v>
      </c>
      <c r="AR678" t="s">
        <v>6158</v>
      </c>
      <c r="AS678" t="s">
        <v>6159</v>
      </c>
      <c r="AT678" t="s">
        <v>98</v>
      </c>
      <c r="AU678">
        <v>2021</v>
      </c>
      <c r="AV678">
        <v>33</v>
      </c>
      <c r="AW678">
        <v>6</v>
      </c>
      <c r="AX678" t="s">
        <v>74</v>
      </c>
      <c r="AY678" t="s">
        <v>74</v>
      </c>
      <c r="AZ678" t="s">
        <v>74</v>
      </c>
      <c r="BA678" t="s">
        <v>74</v>
      </c>
      <c r="BB678">
        <v>624</v>
      </c>
      <c r="BC678">
        <v>632</v>
      </c>
      <c r="BD678" t="s">
        <v>13405</v>
      </c>
      <c r="BE678" t="s">
        <v>13406</v>
      </c>
      <c r="BF678" t="str">
        <f>HYPERLINK("http://dx.doi.org/10.1017/S0954102021000407","http://dx.doi.org/10.1017/S0954102021000407")</f>
        <v>http://dx.doi.org/10.1017/S0954102021000407</v>
      </c>
      <c r="BG678" t="s">
        <v>74</v>
      </c>
      <c r="BH678" t="s">
        <v>11189</v>
      </c>
      <c r="BI678">
        <v>9</v>
      </c>
      <c r="BJ678" t="s">
        <v>6161</v>
      </c>
      <c r="BK678" t="s">
        <v>101</v>
      </c>
      <c r="BL678" t="s">
        <v>6162</v>
      </c>
      <c r="BM678" t="s">
        <v>6163</v>
      </c>
      <c r="BN678" t="s">
        <v>74</v>
      </c>
      <c r="BO678" t="s">
        <v>74</v>
      </c>
      <c r="BP678" t="s">
        <v>74</v>
      </c>
      <c r="BQ678" t="s">
        <v>74</v>
      </c>
      <c r="BR678" t="s">
        <v>105</v>
      </c>
      <c r="BS678" t="s">
        <v>13407</v>
      </c>
      <c r="BT678" t="str">
        <f>HYPERLINK("https%3A%2F%2Fwww.webofscience.com%2Fwos%2Fwoscc%2Ffull-record%2FWOS:000737591300001","View Full Record in Web of Science")</f>
        <v>View Full Record in Web of Science</v>
      </c>
    </row>
    <row r="679" spans="1:72" x14ac:dyDescent="0.15">
      <c r="A679" t="s">
        <v>72</v>
      </c>
      <c r="B679" t="s">
        <v>13408</v>
      </c>
      <c r="C679" t="s">
        <v>74</v>
      </c>
      <c r="D679" t="s">
        <v>74</v>
      </c>
      <c r="E679" t="s">
        <v>74</v>
      </c>
      <c r="F679" t="s">
        <v>13409</v>
      </c>
      <c r="G679" t="s">
        <v>74</v>
      </c>
      <c r="H679" t="s">
        <v>74</v>
      </c>
      <c r="I679" t="s">
        <v>13410</v>
      </c>
      <c r="J679" t="s">
        <v>1099</v>
      </c>
      <c r="K679" t="s">
        <v>74</v>
      </c>
      <c r="L679" t="s">
        <v>74</v>
      </c>
      <c r="M679" t="s">
        <v>78</v>
      </c>
      <c r="N679" t="s">
        <v>79</v>
      </c>
      <c r="O679" t="s">
        <v>74</v>
      </c>
      <c r="P679" t="s">
        <v>74</v>
      </c>
      <c r="Q679" t="s">
        <v>74</v>
      </c>
      <c r="R679" t="s">
        <v>74</v>
      </c>
      <c r="S679" t="s">
        <v>74</v>
      </c>
      <c r="T679" t="s">
        <v>13411</v>
      </c>
      <c r="U679" t="s">
        <v>13412</v>
      </c>
      <c r="V679" t="s">
        <v>13413</v>
      </c>
      <c r="W679" t="s">
        <v>13414</v>
      </c>
      <c r="X679" t="s">
        <v>13415</v>
      </c>
      <c r="Y679" t="s">
        <v>13416</v>
      </c>
      <c r="Z679" t="s">
        <v>13417</v>
      </c>
      <c r="AA679" t="s">
        <v>13418</v>
      </c>
      <c r="AB679" t="s">
        <v>13419</v>
      </c>
      <c r="AC679" t="s">
        <v>13420</v>
      </c>
      <c r="AD679" t="s">
        <v>13421</v>
      </c>
      <c r="AE679" t="s">
        <v>13422</v>
      </c>
      <c r="AF679" t="s">
        <v>74</v>
      </c>
      <c r="AG679">
        <v>90</v>
      </c>
      <c r="AH679">
        <v>4</v>
      </c>
      <c r="AI679">
        <v>5</v>
      </c>
      <c r="AJ679">
        <v>1</v>
      </c>
      <c r="AK679">
        <v>27</v>
      </c>
      <c r="AL679" t="s">
        <v>383</v>
      </c>
      <c r="AM679" t="s">
        <v>384</v>
      </c>
      <c r="AN679" t="s">
        <v>385</v>
      </c>
      <c r="AO679" t="s">
        <v>74</v>
      </c>
      <c r="AP679" t="s">
        <v>1112</v>
      </c>
      <c r="AQ679" t="s">
        <v>74</v>
      </c>
      <c r="AR679" t="s">
        <v>1113</v>
      </c>
      <c r="AS679" t="s">
        <v>1114</v>
      </c>
      <c r="AT679" t="s">
        <v>13423</v>
      </c>
      <c r="AU679">
        <v>2021</v>
      </c>
      <c r="AV679">
        <v>9</v>
      </c>
      <c r="AW679" t="s">
        <v>74</v>
      </c>
      <c r="AX679" t="s">
        <v>74</v>
      </c>
      <c r="AY679" t="s">
        <v>74</v>
      </c>
      <c r="AZ679" t="s">
        <v>74</v>
      </c>
      <c r="BA679" t="s">
        <v>74</v>
      </c>
      <c r="BB679" t="s">
        <v>74</v>
      </c>
      <c r="BC679" t="s">
        <v>74</v>
      </c>
      <c r="BD679">
        <v>736895</v>
      </c>
      <c r="BE679" t="s">
        <v>13424</v>
      </c>
      <c r="BF679" t="str">
        <f>HYPERLINK("http://dx.doi.org/10.3389/feart.2021.736895","http://dx.doi.org/10.3389/feart.2021.736895")</f>
        <v>http://dx.doi.org/10.3389/feart.2021.736895</v>
      </c>
      <c r="BG679" t="s">
        <v>74</v>
      </c>
      <c r="BH679" t="s">
        <v>74</v>
      </c>
      <c r="BI679">
        <v>9</v>
      </c>
      <c r="BJ679" t="s">
        <v>236</v>
      </c>
      <c r="BK679" t="s">
        <v>101</v>
      </c>
      <c r="BL679" t="s">
        <v>237</v>
      </c>
      <c r="BM679" t="s">
        <v>13425</v>
      </c>
      <c r="BN679" t="s">
        <v>74</v>
      </c>
      <c r="BO679" t="s">
        <v>210</v>
      </c>
      <c r="BP679" t="s">
        <v>74</v>
      </c>
      <c r="BQ679" t="s">
        <v>74</v>
      </c>
      <c r="BR679" t="s">
        <v>105</v>
      </c>
      <c r="BS679" t="s">
        <v>13426</v>
      </c>
      <c r="BT679" t="str">
        <f>HYPERLINK("https%3A%2F%2Fwww.webofscience.com%2Fwos%2Fwoscc%2Ffull-record%2FWOS:000704580100001","View Full Record in Web of Science")</f>
        <v>View Full Record in Web of Science</v>
      </c>
    </row>
    <row r="680" spans="1:72" x14ac:dyDescent="0.15">
      <c r="A680" t="s">
        <v>72</v>
      </c>
      <c r="B680" t="s">
        <v>13427</v>
      </c>
      <c r="C680" t="s">
        <v>74</v>
      </c>
      <c r="D680" t="s">
        <v>74</v>
      </c>
      <c r="E680" t="s">
        <v>74</v>
      </c>
      <c r="F680" t="s">
        <v>13428</v>
      </c>
      <c r="G680" t="s">
        <v>74</v>
      </c>
      <c r="H680" t="s">
        <v>74</v>
      </c>
      <c r="I680" t="s">
        <v>13429</v>
      </c>
      <c r="J680" t="s">
        <v>399</v>
      </c>
      <c r="K680" t="s">
        <v>74</v>
      </c>
      <c r="L680" t="s">
        <v>74</v>
      </c>
      <c r="M680" t="s">
        <v>78</v>
      </c>
      <c r="N680" t="s">
        <v>79</v>
      </c>
      <c r="O680" t="s">
        <v>74</v>
      </c>
      <c r="P680" t="s">
        <v>74</v>
      </c>
      <c r="Q680" t="s">
        <v>74</v>
      </c>
      <c r="R680" t="s">
        <v>74</v>
      </c>
      <c r="S680" t="s">
        <v>74</v>
      </c>
      <c r="T680" t="s">
        <v>13430</v>
      </c>
      <c r="U680" t="s">
        <v>13431</v>
      </c>
      <c r="V680" t="s">
        <v>13432</v>
      </c>
      <c r="W680" t="s">
        <v>13433</v>
      </c>
      <c r="X680" t="s">
        <v>13434</v>
      </c>
      <c r="Y680" t="s">
        <v>13435</v>
      </c>
      <c r="Z680" t="s">
        <v>13436</v>
      </c>
      <c r="AA680" t="s">
        <v>13437</v>
      </c>
      <c r="AB680" t="s">
        <v>13438</v>
      </c>
      <c r="AC680" t="s">
        <v>13439</v>
      </c>
      <c r="AD680" t="s">
        <v>13440</v>
      </c>
      <c r="AE680" t="s">
        <v>13441</v>
      </c>
      <c r="AF680" t="s">
        <v>74</v>
      </c>
      <c r="AG680">
        <v>70</v>
      </c>
      <c r="AH680">
        <v>10</v>
      </c>
      <c r="AI680">
        <v>11</v>
      </c>
      <c r="AJ680">
        <v>3</v>
      </c>
      <c r="AK680">
        <v>22</v>
      </c>
      <c r="AL680" t="s">
        <v>255</v>
      </c>
      <c r="AM680" t="s">
        <v>256</v>
      </c>
      <c r="AN680" t="s">
        <v>257</v>
      </c>
      <c r="AO680" t="s">
        <v>412</v>
      </c>
      <c r="AP680" t="s">
        <v>413</v>
      </c>
      <c r="AQ680" t="s">
        <v>74</v>
      </c>
      <c r="AR680" t="s">
        <v>414</v>
      </c>
      <c r="AS680" t="s">
        <v>415</v>
      </c>
      <c r="AT680" t="s">
        <v>310</v>
      </c>
      <c r="AU680">
        <v>2021</v>
      </c>
      <c r="AV680">
        <v>172</v>
      </c>
      <c r="AW680" t="s">
        <v>74</v>
      </c>
      <c r="AX680" t="s">
        <v>74</v>
      </c>
      <c r="AY680" t="s">
        <v>74</v>
      </c>
      <c r="AZ680" t="s">
        <v>74</v>
      </c>
      <c r="BA680" t="s">
        <v>74</v>
      </c>
      <c r="BB680" t="s">
        <v>74</v>
      </c>
      <c r="BC680" t="s">
        <v>74</v>
      </c>
      <c r="BD680">
        <v>112921</v>
      </c>
      <c r="BE680" t="s">
        <v>13442</v>
      </c>
      <c r="BF680" t="str">
        <f>HYPERLINK("http://dx.doi.org/10.1016/j.marpolbul.2021.112921","http://dx.doi.org/10.1016/j.marpolbul.2021.112921")</f>
        <v>http://dx.doi.org/10.1016/j.marpolbul.2021.112921</v>
      </c>
      <c r="BG680" t="s">
        <v>74</v>
      </c>
      <c r="BH680" t="s">
        <v>11189</v>
      </c>
      <c r="BI680">
        <v>9</v>
      </c>
      <c r="BJ680" t="s">
        <v>391</v>
      </c>
      <c r="BK680" t="s">
        <v>101</v>
      </c>
      <c r="BL680" t="s">
        <v>392</v>
      </c>
      <c r="BM680" t="s">
        <v>13443</v>
      </c>
      <c r="BN680">
        <v>34526269</v>
      </c>
      <c r="BO680" t="s">
        <v>74</v>
      </c>
      <c r="BP680" t="s">
        <v>74</v>
      </c>
      <c r="BQ680" t="s">
        <v>74</v>
      </c>
      <c r="BR680" t="s">
        <v>105</v>
      </c>
      <c r="BS680" t="s">
        <v>13444</v>
      </c>
      <c r="BT680" t="str">
        <f>HYPERLINK("https%3A%2F%2Fwww.webofscience.com%2Fwos%2Fwoscc%2Ffull-record%2FWOS:000701703300006","View Full Record in Web of Science")</f>
        <v>View Full Record in Web of Science</v>
      </c>
    </row>
    <row r="681" spans="1:72" x14ac:dyDescent="0.15">
      <c r="A681" t="s">
        <v>72</v>
      </c>
      <c r="B681" t="s">
        <v>13445</v>
      </c>
      <c r="C681" t="s">
        <v>74</v>
      </c>
      <c r="D681" t="s">
        <v>74</v>
      </c>
      <c r="E681" t="s">
        <v>74</v>
      </c>
      <c r="F681" t="s">
        <v>13446</v>
      </c>
      <c r="G681" t="s">
        <v>74</v>
      </c>
      <c r="H681" t="s">
        <v>74</v>
      </c>
      <c r="I681" t="s">
        <v>13447</v>
      </c>
      <c r="J681" t="s">
        <v>3228</v>
      </c>
      <c r="K681" t="s">
        <v>74</v>
      </c>
      <c r="L681" t="s">
        <v>74</v>
      </c>
      <c r="M681" t="s">
        <v>78</v>
      </c>
      <c r="N681" t="s">
        <v>79</v>
      </c>
      <c r="O681" t="s">
        <v>74</v>
      </c>
      <c r="P681" t="s">
        <v>74</v>
      </c>
      <c r="Q681" t="s">
        <v>74</v>
      </c>
      <c r="R681" t="s">
        <v>74</v>
      </c>
      <c r="S681" t="s">
        <v>74</v>
      </c>
      <c r="T681" t="s">
        <v>13448</v>
      </c>
      <c r="U681" t="s">
        <v>13449</v>
      </c>
      <c r="V681" t="s">
        <v>13450</v>
      </c>
      <c r="W681" t="s">
        <v>13451</v>
      </c>
      <c r="X681" t="s">
        <v>13452</v>
      </c>
      <c r="Y681" t="s">
        <v>13453</v>
      </c>
      <c r="Z681" t="s">
        <v>13454</v>
      </c>
      <c r="AA681" t="s">
        <v>74</v>
      </c>
      <c r="AB681" t="s">
        <v>74</v>
      </c>
      <c r="AC681" t="s">
        <v>13455</v>
      </c>
      <c r="AD681" t="s">
        <v>13455</v>
      </c>
      <c r="AE681" t="s">
        <v>13456</v>
      </c>
      <c r="AF681" t="s">
        <v>74</v>
      </c>
      <c r="AG681">
        <v>49</v>
      </c>
      <c r="AH681">
        <v>2</v>
      </c>
      <c r="AI681">
        <v>3</v>
      </c>
      <c r="AJ681">
        <v>2</v>
      </c>
      <c r="AK681">
        <v>9</v>
      </c>
      <c r="AL681" t="s">
        <v>847</v>
      </c>
      <c r="AM681" t="s">
        <v>848</v>
      </c>
      <c r="AN681" t="s">
        <v>849</v>
      </c>
      <c r="AO681" t="s">
        <v>3238</v>
      </c>
      <c r="AP681" t="s">
        <v>3239</v>
      </c>
      <c r="AQ681" t="s">
        <v>74</v>
      </c>
      <c r="AR681" t="s">
        <v>3240</v>
      </c>
      <c r="AS681" t="s">
        <v>3241</v>
      </c>
      <c r="AT681" t="s">
        <v>310</v>
      </c>
      <c r="AU681">
        <v>2021</v>
      </c>
      <c r="AV681">
        <v>441</v>
      </c>
      <c r="AW681" t="s">
        <v>74</v>
      </c>
      <c r="AX681" t="s">
        <v>74</v>
      </c>
      <c r="AY681" t="s">
        <v>74</v>
      </c>
      <c r="AZ681" t="s">
        <v>74</v>
      </c>
      <c r="BA681" t="s">
        <v>74</v>
      </c>
      <c r="BB681" t="s">
        <v>74</v>
      </c>
      <c r="BC681" t="s">
        <v>74</v>
      </c>
      <c r="BD681">
        <v>106624</v>
      </c>
      <c r="BE681" t="s">
        <v>13457</v>
      </c>
      <c r="BF681" t="str">
        <f>HYPERLINK("http://dx.doi.org/10.1016/j.margeo.2021.106624","http://dx.doi.org/10.1016/j.margeo.2021.106624")</f>
        <v>http://dx.doi.org/10.1016/j.margeo.2021.106624</v>
      </c>
      <c r="BG681" t="s">
        <v>74</v>
      </c>
      <c r="BH681" t="s">
        <v>11189</v>
      </c>
      <c r="BI681">
        <v>17</v>
      </c>
      <c r="BJ681" t="s">
        <v>177</v>
      </c>
      <c r="BK681" t="s">
        <v>101</v>
      </c>
      <c r="BL681" t="s">
        <v>178</v>
      </c>
      <c r="BM681" t="s">
        <v>13458</v>
      </c>
      <c r="BN681" t="s">
        <v>74</v>
      </c>
      <c r="BO681" t="s">
        <v>419</v>
      </c>
      <c r="BP681" t="s">
        <v>74</v>
      </c>
      <c r="BQ681" t="s">
        <v>74</v>
      </c>
      <c r="BR681" t="s">
        <v>105</v>
      </c>
      <c r="BS681" t="s">
        <v>13459</v>
      </c>
      <c r="BT681" t="str">
        <f>HYPERLINK("https%3A%2F%2Fwww.webofscience.com%2Fwos%2Fwoscc%2Ffull-record%2FWOS:000697734600016","View Full Record in Web of Science")</f>
        <v>View Full Record in Web of Science</v>
      </c>
    </row>
    <row r="682" spans="1:72" x14ac:dyDescent="0.15">
      <c r="A682" t="s">
        <v>72</v>
      </c>
      <c r="B682" t="s">
        <v>13460</v>
      </c>
      <c r="C682" t="s">
        <v>74</v>
      </c>
      <c r="D682" t="s">
        <v>74</v>
      </c>
      <c r="E682" t="s">
        <v>74</v>
      </c>
      <c r="F682" t="s">
        <v>13461</v>
      </c>
      <c r="G682" t="s">
        <v>74</v>
      </c>
      <c r="H682" t="s">
        <v>74</v>
      </c>
      <c r="I682" t="s">
        <v>13462</v>
      </c>
      <c r="J682" t="s">
        <v>2972</v>
      </c>
      <c r="K682" t="s">
        <v>74</v>
      </c>
      <c r="L682" t="s">
        <v>74</v>
      </c>
      <c r="M682" t="s">
        <v>78</v>
      </c>
      <c r="N682" t="s">
        <v>79</v>
      </c>
      <c r="O682" t="s">
        <v>74</v>
      </c>
      <c r="P682" t="s">
        <v>74</v>
      </c>
      <c r="Q682" t="s">
        <v>74</v>
      </c>
      <c r="R682" t="s">
        <v>74</v>
      </c>
      <c r="S682" t="s">
        <v>74</v>
      </c>
      <c r="T682" t="s">
        <v>13463</v>
      </c>
      <c r="U682" t="s">
        <v>13464</v>
      </c>
      <c r="V682" t="s">
        <v>13465</v>
      </c>
      <c r="W682" t="s">
        <v>13466</v>
      </c>
      <c r="X682" t="s">
        <v>13467</v>
      </c>
      <c r="Y682" t="s">
        <v>13468</v>
      </c>
      <c r="Z682" t="s">
        <v>13469</v>
      </c>
      <c r="AA682" t="s">
        <v>13470</v>
      </c>
      <c r="AB682" t="s">
        <v>13471</v>
      </c>
      <c r="AC682" t="s">
        <v>13472</v>
      </c>
      <c r="AD682" t="s">
        <v>13473</v>
      </c>
      <c r="AE682" t="s">
        <v>13474</v>
      </c>
      <c r="AF682" t="s">
        <v>74</v>
      </c>
      <c r="AG682">
        <v>82</v>
      </c>
      <c r="AH682">
        <v>6</v>
      </c>
      <c r="AI682">
        <v>7</v>
      </c>
      <c r="AJ682">
        <v>1</v>
      </c>
      <c r="AK682">
        <v>19</v>
      </c>
      <c r="AL682" t="s">
        <v>847</v>
      </c>
      <c r="AM682" t="s">
        <v>848</v>
      </c>
      <c r="AN682" t="s">
        <v>849</v>
      </c>
      <c r="AO682" t="s">
        <v>2985</v>
      </c>
      <c r="AP682" t="s">
        <v>2986</v>
      </c>
      <c r="AQ682" t="s">
        <v>74</v>
      </c>
      <c r="AR682" t="s">
        <v>2987</v>
      </c>
      <c r="AS682" t="s">
        <v>2988</v>
      </c>
      <c r="AT682" t="s">
        <v>98</v>
      </c>
      <c r="AU682">
        <v>2021</v>
      </c>
      <c r="AV682">
        <v>169</v>
      </c>
      <c r="AW682" t="s">
        <v>74</v>
      </c>
      <c r="AX682" t="s">
        <v>74</v>
      </c>
      <c r="AY682" t="s">
        <v>74</v>
      </c>
      <c r="AZ682" t="s">
        <v>74</v>
      </c>
      <c r="BA682" t="s">
        <v>74</v>
      </c>
      <c r="BB682" t="s">
        <v>74</v>
      </c>
      <c r="BC682" t="s">
        <v>74</v>
      </c>
      <c r="BD682">
        <v>102051</v>
      </c>
      <c r="BE682" t="s">
        <v>13475</v>
      </c>
      <c r="BF682" t="str">
        <f>HYPERLINK("http://dx.doi.org/10.1016/j.marmicro.2021.102051","http://dx.doi.org/10.1016/j.marmicro.2021.102051")</f>
        <v>http://dx.doi.org/10.1016/j.marmicro.2021.102051</v>
      </c>
      <c r="BG682" t="s">
        <v>74</v>
      </c>
      <c r="BH682" t="s">
        <v>11189</v>
      </c>
      <c r="BI682">
        <v>15</v>
      </c>
      <c r="BJ682" t="s">
        <v>2990</v>
      </c>
      <c r="BK682" t="s">
        <v>101</v>
      </c>
      <c r="BL682" t="s">
        <v>2990</v>
      </c>
      <c r="BM682" t="s">
        <v>13023</v>
      </c>
      <c r="BN682" t="s">
        <v>74</v>
      </c>
      <c r="BO682" t="s">
        <v>74</v>
      </c>
      <c r="BP682" t="s">
        <v>74</v>
      </c>
      <c r="BQ682" t="s">
        <v>74</v>
      </c>
      <c r="BR682" t="s">
        <v>105</v>
      </c>
      <c r="BS682" t="s">
        <v>13476</v>
      </c>
      <c r="BT682" t="str">
        <f>HYPERLINK("https%3A%2F%2Fwww.webofscience.com%2Fwos%2Fwoscc%2Ffull-record%2FWOS:000697736200006","View Full Record in Web of Science")</f>
        <v>View Full Record in Web of Science</v>
      </c>
    </row>
    <row r="683" spans="1:72" x14ac:dyDescent="0.15">
      <c r="A683" t="s">
        <v>72</v>
      </c>
      <c r="B683" t="s">
        <v>13477</v>
      </c>
      <c r="C683" t="s">
        <v>74</v>
      </c>
      <c r="D683" t="s">
        <v>74</v>
      </c>
      <c r="E683" t="s">
        <v>74</v>
      </c>
      <c r="F683" t="s">
        <v>13478</v>
      </c>
      <c r="G683" t="s">
        <v>74</v>
      </c>
      <c r="H683" t="s">
        <v>74</v>
      </c>
      <c r="I683" t="s">
        <v>13479</v>
      </c>
      <c r="J683" t="s">
        <v>372</v>
      </c>
      <c r="K683" t="s">
        <v>74</v>
      </c>
      <c r="L683" t="s">
        <v>74</v>
      </c>
      <c r="M683" t="s">
        <v>78</v>
      </c>
      <c r="N683" t="s">
        <v>79</v>
      </c>
      <c r="O683" t="s">
        <v>74</v>
      </c>
      <c r="P683" t="s">
        <v>74</v>
      </c>
      <c r="Q683" t="s">
        <v>74</v>
      </c>
      <c r="R683" t="s">
        <v>74</v>
      </c>
      <c r="S683" t="s">
        <v>74</v>
      </c>
      <c r="T683" t="s">
        <v>13480</v>
      </c>
      <c r="U683" t="s">
        <v>13481</v>
      </c>
      <c r="V683" t="s">
        <v>13482</v>
      </c>
      <c r="W683" t="s">
        <v>13483</v>
      </c>
      <c r="X683" t="s">
        <v>13484</v>
      </c>
      <c r="Y683" t="s">
        <v>13485</v>
      </c>
      <c r="Z683" t="s">
        <v>13486</v>
      </c>
      <c r="AA683" t="s">
        <v>74</v>
      </c>
      <c r="AB683" t="s">
        <v>13487</v>
      </c>
      <c r="AC683" t="s">
        <v>13488</v>
      </c>
      <c r="AD683" t="s">
        <v>13489</v>
      </c>
      <c r="AE683" t="s">
        <v>13490</v>
      </c>
      <c r="AF683" t="s">
        <v>74</v>
      </c>
      <c r="AG683">
        <v>92</v>
      </c>
      <c r="AH683">
        <v>6</v>
      </c>
      <c r="AI683">
        <v>7</v>
      </c>
      <c r="AJ683">
        <v>2</v>
      </c>
      <c r="AK683">
        <v>18</v>
      </c>
      <c r="AL683" t="s">
        <v>383</v>
      </c>
      <c r="AM683" t="s">
        <v>384</v>
      </c>
      <c r="AN683" t="s">
        <v>385</v>
      </c>
      <c r="AO683" t="s">
        <v>74</v>
      </c>
      <c r="AP683" t="s">
        <v>386</v>
      </c>
      <c r="AQ683" t="s">
        <v>74</v>
      </c>
      <c r="AR683" t="s">
        <v>387</v>
      </c>
      <c r="AS683" t="s">
        <v>388</v>
      </c>
      <c r="AT683" t="s">
        <v>13423</v>
      </c>
      <c r="AU683">
        <v>2021</v>
      </c>
      <c r="AV683">
        <v>8</v>
      </c>
      <c r="AW683" t="s">
        <v>74</v>
      </c>
      <c r="AX683" t="s">
        <v>74</v>
      </c>
      <c r="AY683" t="s">
        <v>74</v>
      </c>
      <c r="AZ683" t="s">
        <v>74</v>
      </c>
      <c r="BA683" t="s">
        <v>74</v>
      </c>
      <c r="BB683" t="s">
        <v>74</v>
      </c>
      <c r="BC683" t="s">
        <v>74</v>
      </c>
      <c r="BD683">
        <v>526092</v>
      </c>
      <c r="BE683" t="s">
        <v>13491</v>
      </c>
      <c r="BF683" t="str">
        <f>HYPERLINK("http://dx.doi.org/10.3389/fmars.2021.526092","http://dx.doi.org/10.3389/fmars.2021.526092")</f>
        <v>http://dx.doi.org/10.3389/fmars.2021.526092</v>
      </c>
      <c r="BG683" t="s">
        <v>74</v>
      </c>
      <c r="BH683" t="s">
        <v>74</v>
      </c>
      <c r="BI683">
        <v>22</v>
      </c>
      <c r="BJ683" t="s">
        <v>391</v>
      </c>
      <c r="BK683" t="s">
        <v>101</v>
      </c>
      <c r="BL683" t="s">
        <v>392</v>
      </c>
      <c r="BM683" t="s">
        <v>13492</v>
      </c>
      <c r="BN683" t="s">
        <v>74</v>
      </c>
      <c r="BO683" t="s">
        <v>210</v>
      </c>
      <c r="BP683" t="s">
        <v>74</v>
      </c>
      <c r="BQ683" t="s">
        <v>74</v>
      </c>
      <c r="BR683" t="s">
        <v>105</v>
      </c>
      <c r="BS683" t="s">
        <v>13493</v>
      </c>
      <c r="BT683" t="str">
        <f>HYPERLINK("https%3A%2F%2Fwww.webofscience.com%2Fwos%2Fwoscc%2Ffull-record%2FWOS:000697678100001","View Full Record in Web of Science")</f>
        <v>View Full Record in Web of Science</v>
      </c>
    </row>
    <row r="684" spans="1:72" x14ac:dyDescent="0.15">
      <c r="A684" t="s">
        <v>72</v>
      </c>
      <c r="B684" t="s">
        <v>13494</v>
      </c>
      <c r="C684" t="s">
        <v>74</v>
      </c>
      <c r="D684" t="s">
        <v>74</v>
      </c>
      <c r="E684" t="s">
        <v>74</v>
      </c>
      <c r="F684" t="s">
        <v>13495</v>
      </c>
      <c r="G684" t="s">
        <v>74</v>
      </c>
      <c r="H684" t="s">
        <v>74</v>
      </c>
      <c r="I684" t="s">
        <v>13496</v>
      </c>
      <c r="J684" t="s">
        <v>2743</v>
      </c>
      <c r="K684" t="s">
        <v>74</v>
      </c>
      <c r="L684" t="s">
        <v>74</v>
      </c>
      <c r="M684" t="s">
        <v>78</v>
      </c>
      <c r="N684" t="s">
        <v>79</v>
      </c>
      <c r="O684" t="s">
        <v>74</v>
      </c>
      <c r="P684" t="s">
        <v>74</v>
      </c>
      <c r="Q684" t="s">
        <v>74</v>
      </c>
      <c r="R684" t="s">
        <v>74</v>
      </c>
      <c r="S684" t="s">
        <v>74</v>
      </c>
      <c r="T684" t="s">
        <v>13497</v>
      </c>
      <c r="U684" t="s">
        <v>13498</v>
      </c>
      <c r="V684" t="s">
        <v>13499</v>
      </c>
      <c r="W684" t="s">
        <v>13500</v>
      </c>
      <c r="X684" t="s">
        <v>13501</v>
      </c>
      <c r="Y684" t="s">
        <v>13502</v>
      </c>
      <c r="Z684" t="s">
        <v>13503</v>
      </c>
      <c r="AA684" t="s">
        <v>13504</v>
      </c>
      <c r="AB684" t="s">
        <v>13505</v>
      </c>
      <c r="AC684" t="s">
        <v>13506</v>
      </c>
      <c r="AD684" t="s">
        <v>12212</v>
      </c>
      <c r="AE684" t="s">
        <v>13507</v>
      </c>
      <c r="AF684" t="s">
        <v>74</v>
      </c>
      <c r="AG684">
        <v>46</v>
      </c>
      <c r="AH684">
        <v>0</v>
      </c>
      <c r="AI684">
        <v>1</v>
      </c>
      <c r="AJ684">
        <v>1</v>
      </c>
      <c r="AK684">
        <v>14</v>
      </c>
      <c r="AL684" t="s">
        <v>2756</v>
      </c>
      <c r="AM684" t="s">
        <v>2757</v>
      </c>
      <c r="AN684" t="s">
        <v>2758</v>
      </c>
      <c r="AO684" t="s">
        <v>2759</v>
      </c>
      <c r="AP684" t="s">
        <v>2760</v>
      </c>
      <c r="AQ684" t="s">
        <v>74</v>
      </c>
      <c r="AR684" t="s">
        <v>2761</v>
      </c>
      <c r="AS684" t="s">
        <v>2762</v>
      </c>
      <c r="AT684" t="s">
        <v>13423</v>
      </c>
      <c r="AU684">
        <v>2021</v>
      </c>
      <c r="AV684">
        <v>40</v>
      </c>
      <c r="AW684" t="s">
        <v>74</v>
      </c>
      <c r="AX684" t="s">
        <v>74</v>
      </c>
      <c r="AY684" t="s">
        <v>74</v>
      </c>
      <c r="AZ684" t="s">
        <v>74</v>
      </c>
      <c r="BA684" t="s">
        <v>74</v>
      </c>
      <c r="BB684" t="s">
        <v>74</v>
      </c>
      <c r="BC684" t="s">
        <v>74</v>
      </c>
      <c r="BD684">
        <v>7727</v>
      </c>
      <c r="BE684" t="s">
        <v>13508</v>
      </c>
      <c r="BF684" t="str">
        <f>HYPERLINK("http://dx.doi.org/10.33265/polar.v40.7727","http://dx.doi.org/10.33265/polar.v40.7727")</f>
        <v>http://dx.doi.org/10.33265/polar.v40.7727</v>
      </c>
      <c r="BG684" t="s">
        <v>74</v>
      </c>
      <c r="BH684" t="s">
        <v>74</v>
      </c>
      <c r="BI684">
        <v>13</v>
      </c>
      <c r="BJ684" t="s">
        <v>2765</v>
      </c>
      <c r="BK684" t="s">
        <v>101</v>
      </c>
      <c r="BL684" t="s">
        <v>2766</v>
      </c>
      <c r="BM684" t="s">
        <v>13509</v>
      </c>
      <c r="BN684" t="s">
        <v>74</v>
      </c>
      <c r="BO684" t="s">
        <v>1070</v>
      </c>
      <c r="BP684" t="s">
        <v>74</v>
      </c>
      <c r="BQ684" t="s">
        <v>74</v>
      </c>
      <c r="BR684" t="s">
        <v>105</v>
      </c>
      <c r="BS684" t="s">
        <v>13510</v>
      </c>
      <c r="BT684" t="str">
        <f>HYPERLINK("https%3A%2F%2Fwww.webofscience.com%2Fwos%2Fwoscc%2Ffull-record%2FWOS:000696918000001","View Full Record in Web of Science")</f>
        <v>View Full Record in Web of Science</v>
      </c>
    </row>
    <row r="685" spans="1:72" x14ac:dyDescent="0.15">
      <c r="A685" t="s">
        <v>72</v>
      </c>
      <c r="B685" t="s">
        <v>13511</v>
      </c>
      <c r="C685" t="s">
        <v>74</v>
      </c>
      <c r="D685" t="s">
        <v>74</v>
      </c>
      <c r="E685" t="s">
        <v>74</v>
      </c>
      <c r="F685" t="s">
        <v>13512</v>
      </c>
      <c r="G685" t="s">
        <v>74</v>
      </c>
      <c r="H685" t="s">
        <v>74</v>
      </c>
      <c r="I685" t="s">
        <v>13513</v>
      </c>
      <c r="J685" t="s">
        <v>935</v>
      </c>
      <c r="K685" t="s">
        <v>74</v>
      </c>
      <c r="L685" t="s">
        <v>74</v>
      </c>
      <c r="M685" t="s">
        <v>78</v>
      </c>
      <c r="N685" t="s">
        <v>79</v>
      </c>
      <c r="O685" t="s">
        <v>74</v>
      </c>
      <c r="P685" t="s">
        <v>74</v>
      </c>
      <c r="Q685" t="s">
        <v>74</v>
      </c>
      <c r="R685" t="s">
        <v>74</v>
      </c>
      <c r="S685" t="s">
        <v>74</v>
      </c>
      <c r="T685" t="s">
        <v>13514</v>
      </c>
      <c r="U685" t="s">
        <v>13515</v>
      </c>
      <c r="V685" t="s">
        <v>13516</v>
      </c>
      <c r="W685" t="s">
        <v>13517</v>
      </c>
      <c r="X685" t="s">
        <v>13518</v>
      </c>
      <c r="Y685" t="s">
        <v>13519</v>
      </c>
      <c r="Z685" t="s">
        <v>13520</v>
      </c>
      <c r="AA685" t="s">
        <v>13521</v>
      </c>
      <c r="AB685" t="s">
        <v>13522</v>
      </c>
      <c r="AC685" t="s">
        <v>13523</v>
      </c>
      <c r="AD685" t="s">
        <v>13524</v>
      </c>
      <c r="AE685" t="s">
        <v>13525</v>
      </c>
      <c r="AF685" t="s">
        <v>74</v>
      </c>
      <c r="AG685">
        <v>36</v>
      </c>
      <c r="AH685">
        <v>3</v>
      </c>
      <c r="AI685">
        <v>3</v>
      </c>
      <c r="AJ685">
        <v>0</v>
      </c>
      <c r="AK685">
        <v>8</v>
      </c>
      <c r="AL685" t="s">
        <v>169</v>
      </c>
      <c r="AM685" t="s">
        <v>170</v>
      </c>
      <c r="AN685" t="s">
        <v>171</v>
      </c>
      <c r="AO685" t="s">
        <v>948</v>
      </c>
      <c r="AP685" t="s">
        <v>949</v>
      </c>
      <c r="AQ685" t="s">
        <v>74</v>
      </c>
      <c r="AR685" t="s">
        <v>950</v>
      </c>
      <c r="AS685" t="s">
        <v>951</v>
      </c>
      <c r="AT685" t="s">
        <v>310</v>
      </c>
      <c r="AU685">
        <v>2021</v>
      </c>
      <c r="AV685">
        <v>44</v>
      </c>
      <c r="AW685">
        <v>11</v>
      </c>
      <c r="AX685" t="s">
        <v>74</v>
      </c>
      <c r="AY685" t="s">
        <v>74</v>
      </c>
      <c r="AZ685" t="s">
        <v>74</v>
      </c>
      <c r="BA685" t="s">
        <v>74</v>
      </c>
      <c r="BB685">
        <v>2189</v>
      </c>
      <c r="BC685">
        <v>2193</v>
      </c>
      <c r="BD685" t="s">
        <v>74</v>
      </c>
      <c r="BE685" t="s">
        <v>13526</v>
      </c>
      <c r="BF685" t="str">
        <f>HYPERLINK("http://dx.doi.org/10.1007/s00300-021-02938-w","http://dx.doi.org/10.1007/s00300-021-02938-w")</f>
        <v>http://dx.doi.org/10.1007/s00300-021-02938-w</v>
      </c>
      <c r="BG685" t="s">
        <v>74</v>
      </c>
      <c r="BH685" t="s">
        <v>11189</v>
      </c>
      <c r="BI685">
        <v>5</v>
      </c>
      <c r="BJ685" t="s">
        <v>605</v>
      </c>
      <c r="BK685" t="s">
        <v>101</v>
      </c>
      <c r="BL685" t="s">
        <v>606</v>
      </c>
      <c r="BM685" t="s">
        <v>8594</v>
      </c>
      <c r="BN685" t="s">
        <v>74</v>
      </c>
      <c r="BO685" t="s">
        <v>419</v>
      </c>
      <c r="BP685" t="s">
        <v>74</v>
      </c>
      <c r="BQ685" t="s">
        <v>74</v>
      </c>
      <c r="BR685" t="s">
        <v>105</v>
      </c>
      <c r="BS685" t="s">
        <v>13527</v>
      </c>
      <c r="BT685" t="str">
        <f>HYPERLINK("https%3A%2F%2Fwww.webofscience.com%2Fwos%2Fwoscc%2Ffull-record%2FWOS:000695739500001","View Full Record in Web of Science")</f>
        <v>View Full Record in Web of Science</v>
      </c>
    </row>
    <row r="686" spans="1:72" x14ac:dyDescent="0.15">
      <c r="A686" t="s">
        <v>72</v>
      </c>
      <c r="B686" t="s">
        <v>13528</v>
      </c>
      <c r="C686" t="s">
        <v>74</v>
      </c>
      <c r="D686" t="s">
        <v>74</v>
      </c>
      <c r="E686" t="s">
        <v>74</v>
      </c>
      <c r="F686" t="s">
        <v>13529</v>
      </c>
      <c r="G686" t="s">
        <v>74</v>
      </c>
      <c r="H686" t="s">
        <v>74</v>
      </c>
      <c r="I686" t="s">
        <v>13530</v>
      </c>
      <c r="J686" t="s">
        <v>1058</v>
      </c>
      <c r="K686" t="s">
        <v>74</v>
      </c>
      <c r="L686" t="s">
        <v>74</v>
      </c>
      <c r="M686" t="s">
        <v>78</v>
      </c>
      <c r="N686" t="s">
        <v>79</v>
      </c>
      <c r="O686" t="s">
        <v>74</v>
      </c>
      <c r="P686" t="s">
        <v>74</v>
      </c>
      <c r="Q686" t="s">
        <v>74</v>
      </c>
      <c r="R686" t="s">
        <v>74</v>
      </c>
      <c r="S686" t="s">
        <v>74</v>
      </c>
      <c r="T686" t="s">
        <v>74</v>
      </c>
      <c r="U686" t="s">
        <v>13531</v>
      </c>
      <c r="V686" t="s">
        <v>13532</v>
      </c>
      <c r="W686" t="s">
        <v>13533</v>
      </c>
      <c r="X686" t="s">
        <v>13534</v>
      </c>
      <c r="Y686" t="s">
        <v>13535</v>
      </c>
      <c r="Z686" t="s">
        <v>13536</v>
      </c>
      <c r="AA686" t="s">
        <v>13537</v>
      </c>
      <c r="AB686" t="s">
        <v>13538</v>
      </c>
      <c r="AC686" t="s">
        <v>13539</v>
      </c>
      <c r="AD686" t="s">
        <v>13540</v>
      </c>
      <c r="AE686" t="s">
        <v>13541</v>
      </c>
      <c r="AF686" t="s">
        <v>74</v>
      </c>
      <c r="AG686">
        <v>82</v>
      </c>
      <c r="AH686">
        <v>11</v>
      </c>
      <c r="AI686">
        <v>12</v>
      </c>
      <c r="AJ686">
        <v>4</v>
      </c>
      <c r="AK686">
        <v>12</v>
      </c>
      <c r="AL686" t="s">
        <v>227</v>
      </c>
      <c r="AM686" t="s">
        <v>228</v>
      </c>
      <c r="AN686" t="s">
        <v>229</v>
      </c>
      <c r="AO686" t="s">
        <v>1065</v>
      </c>
      <c r="AP686" t="s">
        <v>1066</v>
      </c>
      <c r="AQ686" t="s">
        <v>74</v>
      </c>
      <c r="AR686" t="s">
        <v>1058</v>
      </c>
      <c r="AS686" t="s">
        <v>1067</v>
      </c>
      <c r="AT686" t="s">
        <v>13423</v>
      </c>
      <c r="AU686">
        <v>2021</v>
      </c>
      <c r="AV686">
        <v>15</v>
      </c>
      <c r="AW686">
        <v>9</v>
      </c>
      <c r="AX686" t="s">
        <v>74</v>
      </c>
      <c r="AY686" t="s">
        <v>74</v>
      </c>
      <c r="AZ686" t="s">
        <v>74</v>
      </c>
      <c r="BA686" t="s">
        <v>74</v>
      </c>
      <c r="BB686">
        <v>4315</v>
      </c>
      <c r="BC686">
        <v>4333</v>
      </c>
      <c r="BD686" t="s">
        <v>74</v>
      </c>
      <c r="BE686" t="s">
        <v>13542</v>
      </c>
      <c r="BF686" t="str">
        <f>HYPERLINK("http://dx.doi.org/10.5194/tc-15-4315-2021","http://dx.doi.org/10.5194/tc-15-4315-2021")</f>
        <v>http://dx.doi.org/10.5194/tc-15-4315-2021</v>
      </c>
      <c r="BG686" t="s">
        <v>74</v>
      </c>
      <c r="BH686" t="s">
        <v>74</v>
      </c>
      <c r="BI686">
        <v>19</v>
      </c>
      <c r="BJ686" t="s">
        <v>340</v>
      </c>
      <c r="BK686" t="s">
        <v>101</v>
      </c>
      <c r="BL686" t="s">
        <v>341</v>
      </c>
      <c r="BM686" t="s">
        <v>13543</v>
      </c>
      <c r="BN686" t="s">
        <v>74</v>
      </c>
      <c r="BO686" t="s">
        <v>239</v>
      </c>
      <c r="BP686" t="s">
        <v>74</v>
      </c>
      <c r="BQ686" t="s">
        <v>74</v>
      </c>
      <c r="BR686" t="s">
        <v>105</v>
      </c>
      <c r="BS686" t="s">
        <v>13544</v>
      </c>
      <c r="BT686" t="str">
        <f>HYPERLINK("https%3A%2F%2Fwww.webofscience.com%2Fwos%2Fwoscc%2Ffull-record%2FWOS:000695494700001","View Full Record in Web of Science")</f>
        <v>View Full Record in Web of Science</v>
      </c>
    </row>
    <row r="687" spans="1:72" x14ac:dyDescent="0.15">
      <c r="A687" t="s">
        <v>72</v>
      </c>
      <c r="B687" t="s">
        <v>13545</v>
      </c>
      <c r="C687" t="s">
        <v>74</v>
      </c>
      <c r="D687" t="s">
        <v>74</v>
      </c>
      <c r="E687" t="s">
        <v>74</v>
      </c>
      <c r="F687" t="s">
        <v>13546</v>
      </c>
      <c r="G687" t="s">
        <v>74</v>
      </c>
      <c r="H687" t="s">
        <v>74</v>
      </c>
      <c r="I687" t="s">
        <v>13547</v>
      </c>
      <c r="J687" t="s">
        <v>372</v>
      </c>
      <c r="K687" t="s">
        <v>74</v>
      </c>
      <c r="L687" t="s">
        <v>74</v>
      </c>
      <c r="M687" t="s">
        <v>78</v>
      </c>
      <c r="N687" t="s">
        <v>79</v>
      </c>
      <c r="O687" t="s">
        <v>74</v>
      </c>
      <c r="P687" t="s">
        <v>74</v>
      </c>
      <c r="Q687" t="s">
        <v>74</v>
      </c>
      <c r="R687" t="s">
        <v>74</v>
      </c>
      <c r="S687" t="s">
        <v>74</v>
      </c>
      <c r="T687" t="s">
        <v>13548</v>
      </c>
      <c r="U687" t="s">
        <v>13549</v>
      </c>
      <c r="V687" t="s">
        <v>13550</v>
      </c>
      <c r="W687" t="s">
        <v>13551</v>
      </c>
      <c r="X687" t="s">
        <v>13552</v>
      </c>
      <c r="Y687" t="s">
        <v>13553</v>
      </c>
      <c r="Z687" t="s">
        <v>13554</v>
      </c>
      <c r="AA687" t="s">
        <v>13555</v>
      </c>
      <c r="AB687" t="s">
        <v>13556</v>
      </c>
      <c r="AC687" t="s">
        <v>13557</v>
      </c>
      <c r="AD687" t="s">
        <v>13557</v>
      </c>
      <c r="AE687" t="s">
        <v>13558</v>
      </c>
      <c r="AF687" t="s">
        <v>74</v>
      </c>
      <c r="AG687">
        <v>99</v>
      </c>
      <c r="AH687">
        <v>2</v>
      </c>
      <c r="AI687">
        <v>2</v>
      </c>
      <c r="AJ687">
        <v>2</v>
      </c>
      <c r="AK687">
        <v>13</v>
      </c>
      <c r="AL687" t="s">
        <v>383</v>
      </c>
      <c r="AM687" t="s">
        <v>384</v>
      </c>
      <c r="AN687" t="s">
        <v>385</v>
      </c>
      <c r="AO687" t="s">
        <v>74</v>
      </c>
      <c r="AP687" t="s">
        <v>386</v>
      </c>
      <c r="AQ687" t="s">
        <v>74</v>
      </c>
      <c r="AR687" t="s">
        <v>387</v>
      </c>
      <c r="AS687" t="s">
        <v>388</v>
      </c>
      <c r="AT687" t="s">
        <v>13559</v>
      </c>
      <c r="AU687">
        <v>2021</v>
      </c>
      <c r="AV687">
        <v>8</v>
      </c>
      <c r="AW687" t="s">
        <v>74</v>
      </c>
      <c r="AX687" t="s">
        <v>74</v>
      </c>
      <c r="AY687" t="s">
        <v>74</v>
      </c>
      <c r="AZ687" t="s">
        <v>74</v>
      </c>
      <c r="BA687" t="s">
        <v>74</v>
      </c>
      <c r="BB687" t="s">
        <v>74</v>
      </c>
      <c r="BC687" t="s">
        <v>74</v>
      </c>
      <c r="BD687">
        <v>608665</v>
      </c>
      <c r="BE687" t="s">
        <v>13560</v>
      </c>
      <c r="BF687" t="str">
        <f>HYPERLINK("http://dx.doi.org/10.3389/fmars.2021.608665","http://dx.doi.org/10.3389/fmars.2021.608665")</f>
        <v>http://dx.doi.org/10.3389/fmars.2021.608665</v>
      </c>
      <c r="BG687" t="s">
        <v>74</v>
      </c>
      <c r="BH687" t="s">
        <v>74</v>
      </c>
      <c r="BI687">
        <v>17</v>
      </c>
      <c r="BJ687" t="s">
        <v>391</v>
      </c>
      <c r="BK687" t="s">
        <v>101</v>
      </c>
      <c r="BL687" t="s">
        <v>392</v>
      </c>
      <c r="BM687" t="s">
        <v>13561</v>
      </c>
      <c r="BN687" t="s">
        <v>74</v>
      </c>
      <c r="BO687" t="s">
        <v>1094</v>
      </c>
      <c r="BP687" t="s">
        <v>74</v>
      </c>
      <c r="BQ687" t="s">
        <v>74</v>
      </c>
      <c r="BR687" t="s">
        <v>105</v>
      </c>
      <c r="BS687" t="s">
        <v>13562</v>
      </c>
      <c r="BT687" t="str">
        <f>HYPERLINK("https%3A%2F%2Fwww.webofscience.com%2Fwos%2Fwoscc%2Ffull-record%2FWOS:000697325200001","View Full Record in Web of Science")</f>
        <v>View Full Record in Web of Science</v>
      </c>
    </row>
    <row r="688" spans="1:72" x14ac:dyDescent="0.15">
      <c r="A688" t="s">
        <v>72</v>
      </c>
      <c r="B688" t="s">
        <v>13563</v>
      </c>
      <c r="C688" t="s">
        <v>74</v>
      </c>
      <c r="D688" t="s">
        <v>74</v>
      </c>
      <c r="E688" t="s">
        <v>74</v>
      </c>
      <c r="F688" t="s">
        <v>13564</v>
      </c>
      <c r="G688" t="s">
        <v>74</v>
      </c>
      <c r="H688" t="s">
        <v>74</v>
      </c>
      <c r="I688" t="s">
        <v>13565</v>
      </c>
      <c r="J688" t="s">
        <v>13566</v>
      </c>
      <c r="K688" t="s">
        <v>74</v>
      </c>
      <c r="L688" t="s">
        <v>74</v>
      </c>
      <c r="M688" t="s">
        <v>78</v>
      </c>
      <c r="N688" t="s">
        <v>79</v>
      </c>
      <c r="O688" t="s">
        <v>74</v>
      </c>
      <c r="P688" t="s">
        <v>74</v>
      </c>
      <c r="Q688" t="s">
        <v>74</v>
      </c>
      <c r="R688" t="s">
        <v>74</v>
      </c>
      <c r="S688" t="s">
        <v>74</v>
      </c>
      <c r="T688" t="s">
        <v>13567</v>
      </c>
      <c r="U688" t="s">
        <v>13568</v>
      </c>
      <c r="V688" t="s">
        <v>13569</v>
      </c>
      <c r="W688" t="s">
        <v>13570</v>
      </c>
      <c r="X688" t="s">
        <v>13571</v>
      </c>
      <c r="Y688" t="s">
        <v>13572</v>
      </c>
      <c r="Z688" t="s">
        <v>1993</v>
      </c>
      <c r="AA688" t="s">
        <v>74</v>
      </c>
      <c r="AB688" t="s">
        <v>74</v>
      </c>
      <c r="AC688" t="s">
        <v>13573</v>
      </c>
      <c r="AD688" t="s">
        <v>13573</v>
      </c>
      <c r="AE688" t="s">
        <v>13574</v>
      </c>
      <c r="AF688" t="s">
        <v>74</v>
      </c>
      <c r="AG688">
        <v>59</v>
      </c>
      <c r="AH688">
        <v>4</v>
      </c>
      <c r="AI688">
        <v>5</v>
      </c>
      <c r="AJ688">
        <v>1</v>
      </c>
      <c r="AK688">
        <v>6</v>
      </c>
      <c r="AL688" t="s">
        <v>13575</v>
      </c>
      <c r="AM688" t="s">
        <v>13576</v>
      </c>
      <c r="AN688" t="s">
        <v>13577</v>
      </c>
      <c r="AO688" t="s">
        <v>13578</v>
      </c>
      <c r="AP688" t="s">
        <v>13579</v>
      </c>
      <c r="AQ688" t="s">
        <v>74</v>
      </c>
      <c r="AR688" t="s">
        <v>13566</v>
      </c>
      <c r="AS688" t="s">
        <v>13580</v>
      </c>
      <c r="AT688" t="s">
        <v>13559</v>
      </c>
      <c r="AU688">
        <v>2021</v>
      </c>
      <c r="AV688">
        <v>43</v>
      </c>
      <c r="AW688">
        <v>22</v>
      </c>
      <c r="AX688" t="s">
        <v>74</v>
      </c>
      <c r="AY688" t="s">
        <v>74</v>
      </c>
      <c r="AZ688" t="s">
        <v>74</v>
      </c>
      <c r="BA688" t="s">
        <v>74</v>
      </c>
      <c r="BB688">
        <v>549</v>
      </c>
      <c r="BC688">
        <v>561</v>
      </c>
      <c r="BD688" t="s">
        <v>74</v>
      </c>
      <c r="BE688" t="s">
        <v>13581</v>
      </c>
      <c r="BF688" t="str">
        <f>HYPERLINK("http://dx.doi.org/10.5252/zoosystema2021v43a22","http://dx.doi.org/10.5252/zoosystema2021v43a22")</f>
        <v>http://dx.doi.org/10.5252/zoosystema2021v43a22</v>
      </c>
      <c r="BG688" t="s">
        <v>74</v>
      </c>
      <c r="BH688" t="s">
        <v>74</v>
      </c>
      <c r="BI688">
        <v>13</v>
      </c>
      <c r="BJ688" t="s">
        <v>1612</v>
      </c>
      <c r="BK688" t="s">
        <v>101</v>
      </c>
      <c r="BL688" t="s">
        <v>1612</v>
      </c>
      <c r="BM688" t="s">
        <v>13582</v>
      </c>
      <c r="BN688" t="s">
        <v>74</v>
      </c>
      <c r="BO688" t="s">
        <v>74</v>
      </c>
      <c r="BP688" t="s">
        <v>74</v>
      </c>
      <c r="BQ688" t="s">
        <v>74</v>
      </c>
      <c r="BR688" t="s">
        <v>105</v>
      </c>
      <c r="BS688" t="s">
        <v>13583</v>
      </c>
      <c r="BT688" t="str">
        <f>HYPERLINK("https%3A%2F%2Fwww.webofscience.com%2Fwos%2Fwoscc%2Ffull-record%2FWOS:000697121100001","View Full Record in Web of Science")</f>
        <v>View Full Record in Web of Science</v>
      </c>
    </row>
    <row r="689" spans="1:72" x14ac:dyDescent="0.15">
      <c r="A689" t="s">
        <v>72</v>
      </c>
      <c r="B689" t="s">
        <v>13584</v>
      </c>
      <c r="C689" t="s">
        <v>74</v>
      </c>
      <c r="D689" t="s">
        <v>74</v>
      </c>
      <c r="E689" t="s">
        <v>74</v>
      </c>
      <c r="F689" t="s">
        <v>13585</v>
      </c>
      <c r="G689" t="s">
        <v>74</v>
      </c>
      <c r="H689" t="s">
        <v>74</v>
      </c>
      <c r="I689" t="s">
        <v>13586</v>
      </c>
      <c r="J689" t="s">
        <v>1058</v>
      </c>
      <c r="K689" t="s">
        <v>74</v>
      </c>
      <c r="L689" t="s">
        <v>74</v>
      </c>
      <c r="M689" t="s">
        <v>78</v>
      </c>
      <c r="N689" t="s">
        <v>79</v>
      </c>
      <c r="O689" t="s">
        <v>74</v>
      </c>
      <c r="P689" t="s">
        <v>74</v>
      </c>
      <c r="Q689" t="s">
        <v>74</v>
      </c>
      <c r="R689" t="s">
        <v>74</v>
      </c>
      <c r="S689" t="s">
        <v>74</v>
      </c>
      <c r="T689" t="s">
        <v>74</v>
      </c>
      <c r="U689" t="s">
        <v>13587</v>
      </c>
      <c r="V689" t="s">
        <v>13588</v>
      </c>
      <c r="W689" t="s">
        <v>13589</v>
      </c>
      <c r="X689" t="s">
        <v>13590</v>
      </c>
      <c r="Y689" t="s">
        <v>13591</v>
      </c>
      <c r="Z689" t="s">
        <v>13592</v>
      </c>
      <c r="AA689" t="s">
        <v>13593</v>
      </c>
      <c r="AB689" t="s">
        <v>13594</v>
      </c>
      <c r="AC689" t="s">
        <v>13595</v>
      </c>
      <c r="AD689" t="s">
        <v>13596</v>
      </c>
      <c r="AE689" t="s">
        <v>13597</v>
      </c>
      <c r="AF689" t="s">
        <v>74</v>
      </c>
      <c r="AG689">
        <v>84</v>
      </c>
      <c r="AH689">
        <v>23</v>
      </c>
      <c r="AI689">
        <v>25</v>
      </c>
      <c r="AJ689">
        <v>3</v>
      </c>
      <c r="AK689">
        <v>22</v>
      </c>
      <c r="AL689" t="s">
        <v>227</v>
      </c>
      <c r="AM689" t="s">
        <v>228</v>
      </c>
      <c r="AN689" t="s">
        <v>229</v>
      </c>
      <c r="AO689" t="s">
        <v>1065</v>
      </c>
      <c r="AP689" t="s">
        <v>1066</v>
      </c>
      <c r="AQ689" t="s">
        <v>74</v>
      </c>
      <c r="AR689" t="s">
        <v>1058</v>
      </c>
      <c r="AS689" t="s">
        <v>1067</v>
      </c>
      <c r="AT689" t="s">
        <v>13559</v>
      </c>
      <c r="AU689">
        <v>2021</v>
      </c>
      <c r="AV689">
        <v>15</v>
      </c>
      <c r="AW689">
        <v>9</v>
      </c>
      <c r="AX689" t="s">
        <v>74</v>
      </c>
      <c r="AY689" t="s">
        <v>74</v>
      </c>
      <c r="AZ689" t="s">
        <v>74</v>
      </c>
      <c r="BA689" t="s">
        <v>74</v>
      </c>
      <c r="BB689">
        <v>4281</v>
      </c>
      <c r="BC689">
        <v>4313</v>
      </c>
      <c r="BD689" t="s">
        <v>74</v>
      </c>
      <c r="BE689" t="s">
        <v>13598</v>
      </c>
      <c r="BF689" t="str">
        <f>HYPERLINK("http://dx.doi.org/10.5194/tc-15-4281-2021","http://dx.doi.org/10.5194/tc-15-4281-2021")</f>
        <v>http://dx.doi.org/10.5194/tc-15-4281-2021</v>
      </c>
      <c r="BG689" t="s">
        <v>74</v>
      </c>
      <c r="BH689" t="s">
        <v>74</v>
      </c>
      <c r="BI689">
        <v>33</v>
      </c>
      <c r="BJ689" t="s">
        <v>340</v>
      </c>
      <c r="BK689" t="s">
        <v>101</v>
      </c>
      <c r="BL689" t="s">
        <v>341</v>
      </c>
      <c r="BM689" t="s">
        <v>13599</v>
      </c>
      <c r="BN689" t="s">
        <v>74</v>
      </c>
      <c r="BO689" t="s">
        <v>239</v>
      </c>
      <c r="BP689" t="s">
        <v>74</v>
      </c>
      <c r="BQ689" t="s">
        <v>74</v>
      </c>
      <c r="BR689" t="s">
        <v>105</v>
      </c>
      <c r="BS689" t="s">
        <v>13600</v>
      </c>
      <c r="BT689" t="str">
        <f>HYPERLINK("https%3A%2F%2Fwww.webofscience.com%2Fwos%2Fwoscc%2Ffull-record%2FWOS:000695412200001","View Full Record in Web of Science")</f>
        <v>View Full Record in Web of Science</v>
      </c>
    </row>
    <row r="690" spans="1:72" x14ac:dyDescent="0.15">
      <c r="A690" t="s">
        <v>72</v>
      </c>
      <c r="B690" t="s">
        <v>13601</v>
      </c>
      <c r="C690" t="s">
        <v>74</v>
      </c>
      <c r="D690" t="s">
        <v>74</v>
      </c>
      <c r="E690" t="s">
        <v>74</v>
      </c>
      <c r="F690" t="s">
        <v>13602</v>
      </c>
      <c r="G690" t="s">
        <v>74</v>
      </c>
      <c r="H690" t="s">
        <v>74</v>
      </c>
      <c r="I690" t="s">
        <v>13603</v>
      </c>
      <c r="J690" t="s">
        <v>1882</v>
      </c>
      <c r="K690" t="s">
        <v>74</v>
      </c>
      <c r="L690" t="s">
        <v>74</v>
      </c>
      <c r="M690" t="s">
        <v>78</v>
      </c>
      <c r="N690" t="s">
        <v>79</v>
      </c>
      <c r="O690" t="s">
        <v>74</v>
      </c>
      <c r="P690" t="s">
        <v>74</v>
      </c>
      <c r="Q690" t="s">
        <v>74</v>
      </c>
      <c r="R690" t="s">
        <v>74</v>
      </c>
      <c r="S690" t="s">
        <v>74</v>
      </c>
      <c r="T690" t="s">
        <v>13604</v>
      </c>
      <c r="U690" t="s">
        <v>13605</v>
      </c>
      <c r="V690" t="s">
        <v>13606</v>
      </c>
      <c r="W690" t="s">
        <v>13607</v>
      </c>
      <c r="X690" t="s">
        <v>13608</v>
      </c>
      <c r="Y690" t="s">
        <v>13609</v>
      </c>
      <c r="Z690" t="s">
        <v>13610</v>
      </c>
      <c r="AA690" t="s">
        <v>13611</v>
      </c>
      <c r="AB690" t="s">
        <v>13612</v>
      </c>
      <c r="AC690" t="s">
        <v>13613</v>
      </c>
      <c r="AD690" t="s">
        <v>13614</v>
      </c>
      <c r="AE690" t="s">
        <v>13615</v>
      </c>
      <c r="AF690" t="s">
        <v>74</v>
      </c>
      <c r="AG690">
        <v>68</v>
      </c>
      <c r="AH690">
        <v>10</v>
      </c>
      <c r="AI690">
        <v>10</v>
      </c>
      <c r="AJ690">
        <v>4</v>
      </c>
      <c r="AK690">
        <v>28</v>
      </c>
      <c r="AL690" t="s">
        <v>572</v>
      </c>
      <c r="AM690" t="s">
        <v>573</v>
      </c>
      <c r="AN690" t="s">
        <v>574</v>
      </c>
      <c r="AO690" t="s">
        <v>1895</v>
      </c>
      <c r="AP690" t="s">
        <v>1896</v>
      </c>
      <c r="AQ690" t="s">
        <v>74</v>
      </c>
      <c r="AR690" t="s">
        <v>1897</v>
      </c>
      <c r="AS690" t="s">
        <v>1898</v>
      </c>
      <c r="AT690" t="s">
        <v>98</v>
      </c>
      <c r="AU690">
        <v>2021</v>
      </c>
      <c r="AV690">
        <v>27</v>
      </c>
      <c r="AW690">
        <v>23</v>
      </c>
      <c r="AX690" t="s">
        <v>74</v>
      </c>
      <c r="AY690" t="s">
        <v>74</v>
      </c>
      <c r="AZ690" t="s">
        <v>74</v>
      </c>
      <c r="BA690" t="s">
        <v>74</v>
      </c>
      <c r="BB690">
        <v>6252</v>
      </c>
      <c r="BC690">
        <v>6262</v>
      </c>
      <c r="BD690" t="s">
        <v>74</v>
      </c>
      <c r="BE690" t="s">
        <v>13616</v>
      </c>
      <c r="BF690" t="str">
        <f>HYPERLINK("http://dx.doi.org/10.1111/gcb.15828","http://dx.doi.org/10.1111/gcb.15828")</f>
        <v>http://dx.doi.org/10.1111/gcb.15828</v>
      </c>
      <c r="BG690" t="s">
        <v>74</v>
      </c>
      <c r="BH690" t="s">
        <v>11189</v>
      </c>
      <c r="BI690">
        <v>11</v>
      </c>
      <c r="BJ690" t="s">
        <v>1900</v>
      </c>
      <c r="BK690" t="s">
        <v>101</v>
      </c>
      <c r="BL690" t="s">
        <v>606</v>
      </c>
      <c r="BM690" t="s">
        <v>8612</v>
      </c>
      <c r="BN690">
        <v>34491603</v>
      </c>
      <c r="BO690" t="s">
        <v>343</v>
      </c>
      <c r="BP690" t="s">
        <v>74</v>
      </c>
      <c r="BQ690" t="s">
        <v>74</v>
      </c>
      <c r="BR690" t="s">
        <v>105</v>
      </c>
      <c r="BS690" t="s">
        <v>13617</v>
      </c>
      <c r="BT690" t="str">
        <f>HYPERLINK("https%3A%2F%2Fwww.webofscience.com%2Fwos%2Fwoscc%2Ffull-record%2FWOS:000693685800001","View Full Record in Web of Science")</f>
        <v>View Full Record in Web of Science</v>
      </c>
    </row>
    <row r="691" spans="1:72" x14ac:dyDescent="0.15">
      <c r="A691" t="s">
        <v>72</v>
      </c>
      <c r="B691" t="s">
        <v>13618</v>
      </c>
      <c r="C691" t="s">
        <v>74</v>
      </c>
      <c r="D691" t="s">
        <v>74</v>
      </c>
      <c r="E691" t="s">
        <v>74</v>
      </c>
      <c r="F691" t="s">
        <v>13619</v>
      </c>
      <c r="G691" t="s">
        <v>74</v>
      </c>
      <c r="H691" t="s">
        <v>74</v>
      </c>
      <c r="I691" t="s">
        <v>13620</v>
      </c>
      <c r="J691" t="s">
        <v>13621</v>
      </c>
      <c r="K691" t="s">
        <v>74</v>
      </c>
      <c r="L691" t="s">
        <v>74</v>
      </c>
      <c r="M691" t="s">
        <v>78</v>
      </c>
      <c r="N691" t="s">
        <v>79</v>
      </c>
      <c r="O691" t="s">
        <v>74</v>
      </c>
      <c r="P691" t="s">
        <v>74</v>
      </c>
      <c r="Q691" t="s">
        <v>74</v>
      </c>
      <c r="R691" t="s">
        <v>74</v>
      </c>
      <c r="S691" t="s">
        <v>74</v>
      </c>
      <c r="T691" t="s">
        <v>74</v>
      </c>
      <c r="U691" t="s">
        <v>13622</v>
      </c>
      <c r="V691" t="s">
        <v>13623</v>
      </c>
      <c r="W691" t="s">
        <v>13624</v>
      </c>
      <c r="X691" t="s">
        <v>13625</v>
      </c>
      <c r="Y691" t="s">
        <v>13626</v>
      </c>
      <c r="Z691" t="s">
        <v>13627</v>
      </c>
      <c r="AA691" t="s">
        <v>13628</v>
      </c>
      <c r="AB691" t="s">
        <v>13629</v>
      </c>
      <c r="AC691" t="s">
        <v>13630</v>
      </c>
      <c r="AD691" t="s">
        <v>13631</v>
      </c>
      <c r="AE691" t="s">
        <v>13632</v>
      </c>
      <c r="AF691" t="s">
        <v>74</v>
      </c>
      <c r="AG691">
        <v>69</v>
      </c>
      <c r="AH691">
        <v>7</v>
      </c>
      <c r="AI691">
        <v>7</v>
      </c>
      <c r="AJ691">
        <v>7</v>
      </c>
      <c r="AK691">
        <v>46</v>
      </c>
      <c r="AL691" t="s">
        <v>572</v>
      </c>
      <c r="AM691" t="s">
        <v>573</v>
      </c>
      <c r="AN691" t="s">
        <v>574</v>
      </c>
      <c r="AO691" t="s">
        <v>13633</v>
      </c>
      <c r="AP691" t="s">
        <v>13634</v>
      </c>
      <c r="AQ691" t="s">
        <v>74</v>
      </c>
      <c r="AR691" t="s">
        <v>13635</v>
      </c>
      <c r="AS691" t="s">
        <v>13636</v>
      </c>
      <c r="AT691" t="s">
        <v>98</v>
      </c>
      <c r="AU691">
        <v>2021</v>
      </c>
      <c r="AV691">
        <v>173</v>
      </c>
      <c r="AW691">
        <v>4</v>
      </c>
      <c r="AX691" t="s">
        <v>74</v>
      </c>
      <c r="AY691" t="s">
        <v>74</v>
      </c>
      <c r="AZ691" t="s">
        <v>74</v>
      </c>
      <c r="BA691" t="s">
        <v>74</v>
      </c>
      <c r="BB691">
        <v>1914</v>
      </c>
      <c r="BC691">
        <v>1925</v>
      </c>
      <c r="BD691" t="s">
        <v>74</v>
      </c>
      <c r="BE691" t="s">
        <v>13637</v>
      </c>
      <c r="BF691" t="str">
        <f>HYPERLINK("http://dx.doi.org/10.1111/ppl.13533","http://dx.doi.org/10.1111/ppl.13533")</f>
        <v>http://dx.doi.org/10.1111/ppl.13533</v>
      </c>
      <c r="BG691" t="s">
        <v>74</v>
      </c>
      <c r="BH691" t="s">
        <v>11189</v>
      </c>
      <c r="BI691">
        <v>12</v>
      </c>
      <c r="BJ691" t="s">
        <v>4148</v>
      </c>
      <c r="BK691" t="s">
        <v>101</v>
      </c>
      <c r="BL691" t="s">
        <v>4148</v>
      </c>
      <c r="BM691" t="s">
        <v>13638</v>
      </c>
      <c r="BN691">
        <v>34432898</v>
      </c>
      <c r="BO691" t="s">
        <v>74</v>
      </c>
      <c r="BP691" t="s">
        <v>74</v>
      </c>
      <c r="BQ691" t="s">
        <v>74</v>
      </c>
      <c r="BR691" t="s">
        <v>105</v>
      </c>
      <c r="BS691" t="s">
        <v>13639</v>
      </c>
      <c r="BT691" t="str">
        <f>HYPERLINK("https%3A%2F%2Fwww.webofscience.com%2Fwos%2Fwoscc%2Ffull-record%2FWOS:000693394800001","View Full Record in Web of Science")</f>
        <v>View Full Record in Web of Science</v>
      </c>
    </row>
    <row r="692" spans="1:72" x14ac:dyDescent="0.15">
      <c r="A692" t="s">
        <v>72</v>
      </c>
      <c r="B692" t="s">
        <v>13640</v>
      </c>
      <c r="C692" t="s">
        <v>74</v>
      </c>
      <c r="D692" t="s">
        <v>74</v>
      </c>
      <c r="E692" t="s">
        <v>74</v>
      </c>
      <c r="F692" t="s">
        <v>13641</v>
      </c>
      <c r="G692" t="s">
        <v>74</v>
      </c>
      <c r="H692" t="s">
        <v>74</v>
      </c>
      <c r="I692" t="s">
        <v>13642</v>
      </c>
      <c r="J692" t="s">
        <v>3248</v>
      </c>
      <c r="K692" t="s">
        <v>74</v>
      </c>
      <c r="L692" t="s">
        <v>74</v>
      </c>
      <c r="M692" t="s">
        <v>78</v>
      </c>
      <c r="N692" t="s">
        <v>79</v>
      </c>
      <c r="O692" t="s">
        <v>74</v>
      </c>
      <c r="P692" t="s">
        <v>74</v>
      </c>
      <c r="Q692" t="s">
        <v>74</v>
      </c>
      <c r="R692" t="s">
        <v>74</v>
      </c>
      <c r="S692" t="s">
        <v>74</v>
      </c>
      <c r="T692" t="s">
        <v>13643</v>
      </c>
      <c r="U692" t="s">
        <v>13644</v>
      </c>
      <c r="V692" t="s">
        <v>13645</v>
      </c>
      <c r="W692" t="s">
        <v>13646</v>
      </c>
      <c r="X692" t="s">
        <v>13647</v>
      </c>
      <c r="Y692" t="s">
        <v>13648</v>
      </c>
      <c r="Z692" t="s">
        <v>13649</v>
      </c>
      <c r="AA692" t="s">
        <v>13650</v>
      </c>
      <c r="AB692" t="s">
        <v>13651</v>
      </c>
      <c r="AC692" t="s">
        <v>13652</v>
      </c>
      <c r="AD692" t="s">
        <v>2838</v>
      </c>
      <c r="AE692" t="s">
        <v>13653</v>
      </c>
      <c r="AF692" t="s">
        <v>74</v>
      </c>
      <c r="AG692">
        <v>61</v>
      </c>
      <c r="AH692">
        <v>8</v>
      </c>
      <c r="AI692">
        <v>9</v>
      </c>
      <c r="AJ692">
        <v>3</v>
      </c>
      <c r="AK692">
        <v>21</v>
      </c>
      <c r="AL692" t="s">
        <v>3261</v>
      </c>
      <c r="AM692" t="s">
        <v>438</v>
      </c>
      <c r="AN692" t="s">
        <v>3262</v>
      </c>
      <c r="AO692" t="s">
        <v>3263</v>
      </c>
      <c r="AP692" t="s">
        <v>74</v>
      </c>
      <c r="AQ692" t="s">
        <v>74</v>
      </c>
      <c r="AR692" t="s">
        <v>3264</v>
      </c>
      <c r="AS692" t="s">
        <v>3265</v>
      </c>
      <c r="AT692" t="s">
        <v>13559</v>
      </c>
      <c r="AU692">
        <v>2021</v>
      </c>
      <c r="AV692">
        <v>118</v>
      </c>
      <c r="AW692">
        <v>36</v>
      </c>
      <c r="AX692" t="s">
        <v>74</v>
      </c>
      <c r="AY692" t="s">
        <v>74</v>
      </c>
      <c r="AZ692" t="s">
        <v>74</v>
      </c>
      <c r="BA692" t="s">
        <v>74</v>
      </c>
      <c r="BB692" t="s">
        <v>74</v>
      </c>
      <c r="BC692" t="s">
        <v>74</v>
      </c>
      <c r="BD692" t="s">
        <v>13654</v>
      </c>
      <c r="BE692" t="s">
        <v>13655</v>
      </c>
      <c r="BF692" t="str">
        <f>HYPERLINK("http://dx.doi.org/10.1073/pnas.2103335118","http://dx.doi.org/10.1073/pnas.2103335118")</f>
        <v>http://dx.doi.org/10.1073/pnas.2103335118</v>
      </c>
      <c r="BG692" t="s">
        <v>74</v>
      </c>
      <c r="BH692" t="s">
        <v>74</v>
      </c>
      <c r="BI692">
        <v>8</v>
      </c>
      <c r="BJ692" t="s">
        <v>126</v>
      </c>
      <c r="BK692" t="s">
        <v>101</v>
      </c>
      <c r="BL692" t="s">
        <v>127</v>
      </c>
      <c r="BM692" t="s">
        <v>13656</v>
      </c>
      <c r="BN692">
        <v>34426524</v>
      </c>
      <c r="BO692" t="s">
        <v>13657</v>
      </c>
      <c r="BP692" t="s">
        <v>74</v>
      </c>
      <c r="BQ692" t="s">
        <v>74</v>
      </c>
      <c r="BR692" t="s">
        <v>105</v>
      </c>
      <c r="BS692" t="s">
        <v>13658</v>
      </c>
      <c r="BT692" t="str">
        <f>HYPERLINK("https%3A%2F%2Fwww.webofscience.com%2Fwos%2Fwoscc%2Ffull-record%2FWOS:000694705600003","View Full Record in Web of Science")</f>
        <v>View Full Record in Web of Science</v>
      </c>
    </row>
    <row r="693" spans="1:72" x14ac:dyDescent="0.15">
      <c r="A693" t="s">
        <v>72</v>
      </c>
      <c r="B693" t="s">
        <v>13659</v>
      </c>
      <c r="C693" t="s">
        <v>74</v>
      </c>
      <c r="D693" t="s">
        <v>74</v>
      </c>
      <c r="E693" t="s">
        <v>74</v>
      </c>
      <c r="F693" t="s">
        <v>13660</v>
      </c>
      <c r="G693" t="s">
        <v>74</v>
      </c>
      <c r="H693" t="s">
        <v>74</v>
      </c>
      <c r="I693" t="s">
        <v>13661</v>
      </c>
      <c r="J693" t="s">
        <v>5862</v>
      </c>
      <c r="K693" t="s">
        <v>74</v>
      </c>
      <c r="L693" t="s">
        <v>74</v>
      </c>
      <c r="M693" t="s">
        <v>78</v>
      </c>
      <c r="N693" t="s">
        <v>79</v>
      </c>
      <c r="O693" t="s">
        <v>74</v>
      </c>
      <c r="P693" t="s">
        <v>74</v>
      </c>
      <c r="Q693" t="s">
        <v>74</v>
      </c>
      <c r="R693" t="s">
        <v>74</v>
      </c>
      <c r="S693" t="s">
        <v>74</v>
      </c>
      <c r="T693" t="s">
        <v>13662</v>
      </c>
      <c r="U693" t="s">
        <v>13663</v>
      </c>
      <c r="V693" t="s">
        <v>13664</v>
      </c>
      <c r="W693" t="s">
        <v>13665</v>
      </c>
      <c r="X693" t="s">
        <v>13666</v>
      </c>
      <c r="Y693" t="s">
        <v>13667</v>
      </c>
      <c r="Z693" t="s">
        <v>13668</v>
      </c>
      <c r="AA693" t="s">
        <v>13669</v>
      </c>
      <c r="AB693" t="s">
        <v>13670</v>
      </c>
      <c r="AC693" t="s">
        <v>13671</v>
      </c>
      <c r="AD693" t="s">
        <v>13671</v>
      </c>
      <c r="AE693" t="s">
        <v>13672</v>
      </c>
      <c r="AF693" t="s">
        <v>74</v>
      </c>
      <c r="AG693">
        <v>127</v>
      </c>
      <c r="AH693">
        <v>6</v>
      </c>
      <c r="AI693">
        <v>6</v>
      </c>
      <c r="AJ693">
        <v>0</v>
      </c>
      <c r="AK693">
        <v>9</v>
      </c>
      <c r="AL693" t="s">
        <v>847</v>
      </c>
      <c r="AM693" t="s">
        <v>848</v>
      </c>
      <c r="AN693" t="s">
        <v>849</v>
      </c>
      <c r="AO693" t="s">
        <v>5873</v>
      </c>
      <c r="AP693" t="s">
        <v>5874</v>
      </c>
      <c r="AQ693" t="s">
        <v>74</v>
      </c>
      <c r="AR693" t="s">
        <v>5875</v>
      </c>
      <c r="AS693" t="s">
        <v>5876</v>
      </c>
      <c r="AT693" t="s">
        <v>4170</v>
      </c>
      <c r="AU693">
        <v>2021</v>
      </c>
      <c r="AV693">
        <v>581</v>
      </c>
      <c r="AW693" t="s">
        <v>74</v>
      </c>
      <c r="AX693" t="s">
        <v>74</v>
      </c>
      <c r="AY693" t="s">
        <v>74</v>
      </c>
      <c r="AZ693" t="s">
        <v>74</v>
      </c>
      <c r="BA693" t="s">
        <v>74</v>
      </c>
      <c r="BB693" t="s">
        <v>74</v>
      </c>
      <c r="BC693" t="s">
        <v>74</v>
      </c>
      <c r="BD693">
        <v>110639</v>
      </c>
      <c r="BE693" t="s">
        <v>13673</v>
      </c>
      <c r="BF693" t="str">
        <f>HYPERLINK("http://dx.doi.org/10.1016/j.palaeo.2021.110639","http://dx.doi.org/10.1016/j.palaeo.2021.110639")</f>
        <v>http://dx.doi.org/10.1016/j.palaeo.2021.110639</v>
      </c>
      <c r="BG693" t="s">
        <v>74</v>
      </c>
      <c r="BH693" t="s">
        <v>11189</v>
      </c>
      <c r="BI693">
        <v>18</v>
      </c>
      <c r="BJ693" t="s">
        <v>5878</v>
      </c>
      <c r="BK693" t="s">
        <v>101</v>
      </c>
      <c r="BL693" t="s">
        <v>5879</v>
      </c>
      <c r="BM693" t="s">
        <v>13674</v>
      </c>
      <c r="BN693" t="s">
        <v>74</v>
      </c>
      <c r="BO693" t="s">
        <v>180</v>
      </c>
      <c r="BP693" t="s">
        <v>74</v>
      </c>
      <c r="BQ693" t="s">
        <v>74</v>
      </c>
      <c r="BR693" t="s">
        <v>105</v>
      </c>
      <c r="BS693" t="s">
        <v>13675</v>
      </c>
      <c r="BT693" t="str">
        <f>HYPERLINK("https%3A%2F%2Fwww.webofscience.com%2Fwos%2Fwoscc%2Ffull-record%2FWOS:000704173300011","View Full Record in Web of Science")</f>
        <v>View Full Record in Web of Science</v>
      </c>
    </row>
    <row r="694" spans="1:72" x14ac:dyDescent="0.15">
      <c r="A694" t="s">
        <v>72</v>
      </c>
      <c r="B694" t="s">
        <v>13676</v>
      </c>
      <c r="C694" t="s">
        <v>74</v>
      </c>
      <c r="D694" t="s">
        <v>74</v>
      </c>
      <c r="E694" t="s">
        <v>74</v>
      </c>
      <c r="F694" t="s">
        <v>13677</v>
      </c>
      <c r="G694" t="s">
        <v>74</v>
      </c>
      <c r="H694" t="s">
        <v>74</v>
      </c>
      <c r="I694" t="s">
        <v>13678</v>
      </c>
      <c r="J694" t="s">
        <v>13679</v>
      </c>
      <c r="K694" t="s">
        <v>74</v>
      </c>
      <c r="L694" t="s">
        <v>74</v>
      </c>
      <c r="M694" t="s">
        <v>78</v>
      </c>
      <c r="N694" t="s">
        <v>79</v>
      </c>
      <c r="O694" t="s">
        <v>74</v>
      </c>
      <c r="P694" t="s">
        <v>74</v>
      </c>
      <c r="Q694" t="s">
        <v>74</v>
      </c>
      <c r="R694" t="s">
        <v>74</v>
      </c>
      <c r="S694" t="s">
        <v>74</v>
      </c>
      <c r="T694" t="s">
        <v>13680</v>
      </c>
      <c r="U694" t="s">
        <v>13681</v>
      </c>
      <c r="V694" t="s">
        <v>13682</v>
      </c>
      <c r="W694" t="s">
        <v>13683</v>
      </c>
      <c r="X694" t="s">
        <v>13684</v>
      </c>
      <c r="Y694" t="s">
        <v>13685</v>
      </c>
      <c r="Z694" t="s">
        <v>13686</v>
      </c>
      <c r="AA694" t="s">
        <v>13687</v>
      </c>
      <c r="AB694" t="s">
        <v>13688</v>
      </c>
      <c r="AC694" t="s">
        <v>13689</v>
      </c>
      <c r="AD694" t="s">
        <v>13690</v>
      </c>
      <c r="AE694" t="s">
        <v>13691</v>
      </c>
      <c r="AF694" t="s">
        <v>74</v>
      </c>
      <c r="AG694">
        <v>60</v>
      </c>
      <c r="AH694">
        <v>6</v>
      </c>
      <c r="AI694">
        <v>6</v>
      </c>
      <c r="AJ694">
        <v>0</v>
      </c>
      <c r="AK694">
        <v>7</v>
      </c>
      <c r="AL694" t="s">
        <v>847</v>
      </c>
      <c r="AM694" t="s">
        <v>848</v>
      </c>
      <c r="AN694" t="s">
        <v>849</v>
      </c>
      <c r="AO694" t="s">
        <v>13692</v>
      </c>
      <c r="AP694" t="s">
        <v>13693</v>
      </c>
      <c r="AQ694" t="s">
        <v>74</v>
      </c>
      <c r="AR694" t="s">
        <v>13694</v>
      </c>
      <c r="AS694" t="s">
        <v>13695</v>
      </c>
      <c r="AT694" t="s">
        <v>310</v>
      </c>
      <c r="AU694">
        <v>2021</v>
      </c>
      <c r="AV694">
        <v>95</v>
      </c>
      <c r="AW694" t="s">
        <v>74</v>
      </c>
      <c r="AX694" t="s">
        <v>74</v>
      </c>
      <c r="AY694" t="s">
        <v>74</v>
      </c>
      <c r="AZ694" t="s">
        <v>74</v>
      </c>
      <c r="BA694" t="s">
        <v>74</v>
      </c>
      <c r="BB694" t="s">
        <v>74</v>
      </c>
      <c r="BC694" t="s">
        <v>74</v>
      </c>
      <c r="BD694">
        <v>105070</v>
      </c>
      <c r="BE694" t="s">
        <v>13696</v>
      </c>
      <c r="BF694" t="str">
        <f>HYPERLINK("http://dx.doi.org/10.1016/j.meegid.2021.105070","http://dx.doi.org/10.1016/j.meegid.2021.105070")</f>
        <v>http://dx.doi.org/10.1016/j.meegid.2021.105070</v>
      </c>
      <c r="BG694" t="s">
        <v>74</v>
      </c>
      <c r="BH694" t="s">
        <v>11189</v>
      </c>
      <c r="BI694">
        <v>9</v>
      </c>
      <c r="BJ694" t="s">
        <v>13697</v>
      </c>
      <c r="BK694" t="s">
        <v>101</v>
      </c>
      <c r="BL694" t="s">
        <v>13697</v>
      </c>
      <c r="BM694" t="s">
        <v>13698</v>
      </c>
      <c r="BN694">
        <v>34481994</v>
      </c>
      <c r="BO694" t="s">
        <v>314</v>
      </c>
      <c r="BP694" t="s">
        <v>74</v>
      </c>
      <c r="BQ694" t="s">
        <v>74</v>
      </c>
      <c r="BR694" t="s">
        <v>105</v>
      </c>
      <c r="BS694" t="s">
        <v>13699</v>
      </c>
      <c r="BT694" t="str">
        <f>HYPERLINK("https%3A%2F%2Fwww.webofscience.com%2Fwos%2Fwoscc%2Ffull-record%2FWOS:000696980900007","View Full Record in Web of Science")</f>
        <v>View Full Record in Web of Science</v>
      </c>
    </row>
    <row r="695" spans="1:72" x14ac:dyDescent="0.15">
      <c r="A695" t="s">
        <v>72</v>
      </c>
      <c r="B695" t="s">
        <v>13700</v>
      </c>
      <c r="C695" t="s">
        <v>74</v>
      </c>
      <c r="D695" t="s">
        <v>74</v>
      </c>
      <c r="E695" t="s">
        <v>74</v>
      </c>
      <c r="F695" t="s">
        <v>13701</v>
      </c>
      <c r="G695" t="s">
        <v>74</v>
      </c>
      <c r="H695" t="s">
        <v>74</v>
      </c>
      <c r="I695" t="s">
        <v>13702</v>
      </c>
      <c r="J695" t="s">
        <v>13703</v>
      </c>
      <c r="K695" t="s">
        <v>74</v>
      </c>
      <c r="L695" t="s">
        <v>74</v>
      </c>
      <c r="M695" t="s">
        <v>78</v>
      </c>
      <c r="N695" t="s">
        <v>79</v>
      </c>
      <c r="O695" t="s">
        <v>74</v>
      </c>
      <c r="P695" t="s">
        <v>74</v>
      </c>
      <c r="Q695" t="s">
        <v>74</v>
      </c>
      <c r="R695" t="s">
        <v>74</v>
      </c>
      <c r="S695" t="s">
        <v>74</v>
      </c>
      <c r="T695" t="s">
        <v>13704</v>
      </c>
      <c r="U695" t="s">
        <v>13705</v>
      </c>
      <c r="V695" t="s">
        <v>13706</v>
      </c>
      <c r="W695" t="s">
        <v>13707</v>
      </c>
      <c r="X695" t="s">
        <v>13708</v>
      </c>
      <c r="Y695" t="s">
        <v>13709</v>
      </c>
      <c r="Z695" t="s">
        <v>13710</v>
      </c>
      <c r="AA695" t="s">
        <v>13711</v>
      </c>
      <c r="AB695" t="s">
        <v>13712</v>
      </c>
      <c r="AC695" t="s">
        <v>13713</v>
      </c>
      <c r="AD695" t="s">
        <v>13714</v>
      </c>
      <c r="AE695" t="s">
        <v>13715</v>
      </c>
      <c r="AF695" t="s">
        <v>74</v>
      </c>
      <c r="AG695">
        <v>48</v>
      </c>
      <c r="AH695">
        <v>3</v>
      </c>
      <c r="AI695">
        <v>3</v>
      </c>
      <c r="AJ695">
        <v>3</v>
      </c>
      <c r="AK695">
        <v>28</v>
      </c>
      <c r="AL695" t="s">
        <v>572</v>
      </c>
      <c r="AM695" t="s">
        <v>573</v>
      </c>
      <c r="AN695" t="s">
        <v>574</v>
      </c>
      <c r="AO695" t="s">
        <v>13716</v>
      </c>
      <c r="AP695" t="s">
        <v>13717</v>
      </c>
      <c r="AQ695" t="s">
        <v>74</v>
      </c>
      <c r="AR695" t="s">
        <v>13718</v>
      </c>
      <c r="AS695" t="s">
        <v>13719</v>
      </c>
      <c r="AT695" t="s">
        <v>1000</v>
      </c>
      <c r="AU695">
        <v>2022</v>
      </c>
      <c r="AV695">
        <v>30</v>
      </c>
      <c r="AW695">
        <v>4</v>
      </c>
      <c r="AX695" t="s">
        <v>74</v>
      </c>
      <c r="AY695" t="s">
        <v>74</v>
      </c>
      <c r="AZ695" t="s">
        <v>74</v>
      </c>
      <c r="BA695" t="s">
        <v>74</v>
      </c>
      <c r="BB695" t="s">
        <v>74</v>
      </c>
      <c r="BC695" t="s">
        <v>74</v>
      </c>
      <c r="BD695" t="s">
        <v>13720</v>
      </c>
      <c r="BE695" t="s">
        <v>13721</v>
      </c>
      <c r="BF695" t="str">
        <f>HYPERLINK("http://dx.doi.org/10.1111/rec.13536","http://dx.doi.org/10.1111/rec.13536")</f>
        <v>http://dx.doi.org/10.1111/rec.13536</v>
      </c>
      <c r="BG695" t="s">
        <v>74</v>
      </c>
      <c r="BH695" t="s">
        <v>11189</v>
      </c>
      <c r="BI695">
        <v>10</v>
      </c>
      <c r="BJ695" t="s">
        <v>629</v>
      </c>
      <c r="BK695" t="s">
        <v>101</v>
      </c>
      <c r="BL695" t="s">
        <v>630</v>
      </c>
      <c r="BM695" t="s">
        <v>13722</v>
      </c>
      <c r="BN695" t="s">
        <v>74</v>
      </c>
      <c r="BO695" t="s">
        <v>343</v>
      </c>
      <c r="BP695" t="s">
        <v>74</v>
      </c>
      <c r="BQ695" t="s">
        <v>74</v>
      </c>
      <c r="BR695" t="s">
        <v>105</v>
      </c>
      <c r="BS695" t="s">
        <v>13723</v>
      </c>
      <c r="BT695" t="str">
        <f>HYPERLINK("https%3A%2F%2Fwww.webofscience.com%2Fwos%2Fwoscc%2Ffull-record%2FWOS:000693923600001","View Full Record in Web of Science")</f>
        <v>View Full Record in Web of Science</v>
      </c>
    </row>
    <row r="696" spans="1:72" x14ac:dyDescent="0.15">
      <c r="A696" t="s">
        <v>72</v>
      </c>
      <c r="B696" t="s">
        <v>13724</v>
      </c>
      <c r="C696" t="s">
        <v>74</v>
      </c>
      <c r="D696" t="s">
        <v>74</v>
      </c>
      <c r="E696" t="s">
        <v>74</v>
      </c>
      <c r="F696" t="s">
        <v>13725</v>
      </c>
      <c r="G696" t="s">
        <v>74</v>
      </c>
      <c r="H696" t="s">
        <v>74</v>
      </c>
      <c r="I696" t="s">
        <v>13726</v>
      </c>
      <c r="J696" t="s">
        <v>13727</v>
      </c>
      <c r="K696" t="s">
        <v>74</v>
      </c>
      <c r="L696" t="s">
        <v>74</v>
      </c>
      <c r="M696" t="s">
        <v>78</v>
      </c>
      <c r="N696" t="s">
        <v>79</v>
      </c>
      <c r="O696" t="s">
        <v>74</v>
      </c>
      <c r="P696" t="s">
        <v>74</v>
      </c>
      <c r="Q696" t="s">
        <v>74</v>
      </c>
      <c r="R696" t="s">
        <v>74</v>
      </c>
      <c r="S696" t="s">
        <v>74</v>
      </c>
      <c r="T696" t="s">
        <v>13728</v>
      </c>
      <c r="U696" t="s">
        <v>13729</v>
      </c>
      <c r="V696" t="s">
        <v>13730</v>
      </c>
      <c r="W696" t="s">
        <v>13731</v>
      </c>
      <c r="X696" t="s">
        <v>13732</v>
      </c>
      <c r="Y696" t="s">
        <v>13733</v>
      </c>
      <c r="Z696" t="s">
        <v>13734</v>
      </c>
      <c r="AA696" t="s">
        <v>13735</v>
      </c>
      <c r="AB696" t="s">
        <v>13736</v>
      </c>
      <c r="AC696" t="s">
        <v>13737</v>
      </c>
      <c r="AD696" t="s">
        <v>13737</v>
      </c>
      <c r="AE696" t="s">
        <v>13738</v>
      </c>
      <c r="AF696" t="s">
        <v>74</v>
      </c>
      <c r="AG696">
        <v>182</v>
      </c>
      <c r="AH696">
        <v>17</v>
      </c>
      <c r="AI696">
        <v>17</v>
      </c>
      <c r="AJ696">
        <v>7</v>
      </c>
      <c r="AK696">
        <v>39</v>
      </c>
      <c r="AL696" t="s">
        <v>572</v>
      </c>
      <c r="AM696" t="s">
        <v>573</v>
      </c>
      <c r="AN696" t="s">
        <v>574</v>
      </c>
      <c r="AO696" t="s">
        <v>13739</v>
      </c>
      <c r="AP696" t="s">
        <v>13740</v>
      </c>
      <c r="AQ696" t="s">
        <v>74</v>
      </c>
      <c r="AR696" t="s">
        <v>13741</v>
      </c>
      <c r="AS696" t="s">
        <v>13742</v>
      </c>
      <c r="AT696" t="s">
        <v>98</v>
      </c>
      <c r="AU696">
        <v>2022</v>
      </c>
      <c r="AV696">
        <v>31</v>
      </c>
      <c r="AW696">
        <v>23</v>
      </c>
      <c r="AX696" t="s">
        <v>74</v>
      </c>
      <c r="AY696" t="s">
        <v>74</v>
      </c>
      <c r="AZ696" t="s">
        <v>526</v>
      </c>
      <c r="BA696" t="s">
        <v>74</v>
      </c>
      <c r="BB696">
        <v>6069</v>
      </c>
      <c r="BC696">
        <v>6086</v>
      </c>
      <c r="BD696" t="s">
        <v>74</v>
      </c>
      <c r="BE696" t="s">
        <v>13743</v>
      </c>
      <c r="BF696" t="str">
        <f>HYPERLINK("http://dx.doi.org/10.1111/mec.16154","http://dx.doi.org/10.1111/mec.16154")</f>
        <v>http://dx.doi.org/10.1111/mec.16154</v>
      </c>
      <c r="BG696" t="s">
        <v>74</v>
      </c>
      <c r="BH696" t="s">
        <v>11189</v>
      </c>
      <c r="BI696">
        <v>18</v>
      </c>
      <c r="BJ696" t="s">
        <v>13744</v>
      </c>
      <c r="BK696" t="s">
        <v>101</v>
      </c>
      <c r="BL696" t="s">
        <v>13745</v>
      </c>
      <c r="BM696" t="s">
        <v>13746</v>
      </c>
      <c r="BN696">
        <v>34448287</v>
      </c>
      <c r="BO696" t="s">
        <v>2217</v>
      </c>
      <c r="BP696" t="s">
        <v>74</v>
      </c>
      <c r="BQ696" t="s">
        <v>74</v>
      </c>
      <c r="BR696" t="s">
        <v>105</v>
      </c>
      <c r="BS696" t="s">
        <v>13747</v>
      </c>
      <c r="BT696" t="str">
        <f>HYPERLINK("https%3A%2F%2Fwww.webofscience.com%2Fwos%2Fwoscc%2Ffull-record%2FWOS:000692731500001","View Full Record in Web of Science")</f>
        <v>View Full Record in Web of Science</v>
      </c>
    </row>
    <row r="697" spans="1:72" x14ac:dyDescent="0.15">
      <c r="A697" t="s">
        <v>72</v>
      </c>
      <c r="B697" t="s">
        <v>13748</v>
      </c>
      <c r="C697" t="s">
        <v>74</v>
      </c>
      <c r="D697" t="s">
        <v>74</v>
      </c>
      <c r="E697" t="s">
        <v>74</v>
      </c>
      <c r="F697" t="s">
        <v>13749</v>
      </c>
      <c r="G697" t="s">
        <v>74</v>
      </c>
      <c r="H697" t="s">
        <v>74</v>
      </c>
      <c r="I697" t="s">
        <v>13750</v>
      </c>
      <c r="J697" t="s">
        <v>11669</v>
      </c>
      <c r="K697" t="s">
        <v>74</v>
      </c>
      <c r="L697" t="s">
        <v>74</v>
      </c>
      <c r="M697" t="s">
        <v>78</v>
      </c>
      <c r="N697" t="s">
        <v>79</v>
      </c>
      <c r="O697" t="s">
        <v>74</v>
      </c>
      <c r="P697" t="s">
        <v>74</v>
      </c>
      <c r="Q697" t="s">
        <v>74</v>
      </c>
      <c r="R697" t="s">
        <v>74</v>
      </c>
      <c r="S697" t="s">
        <v>74</v>
      </c>
      <c r="T697" t="s">
        <v>13751</v>
      </c>
      <c r="U697" t="s">
        <v>13752</v>
      </c>
      <c r="V697" t="s">
        <v>13753</v>
      </c>
      <c r="W697" t="s">
        <v>13754</v>
      </c>
      <c r="X697" t="s">
        <v>13755</v>
      </c>
      <c r="Y697" t="s">
        <v>13756</v>
      </c>
      <c r="Z697" t="s">
        <v>13757</v>
      </c>
      <c r="AA697" t="s">
        <v>13758</v>
      </c>
      <c r="AB697" t="s">
        <v>13759</v>
      </c>
      <c r="AC697" t="s">
        <v>13760</v>
      </c>
      <c r="AD697" t="s">
        <v>13761</v>
      </c>
      <c r="AE697" t="s">
        <v>13762</v>
      </c>
      <c r="AF697" t="s">
        <v>74</v>
      </c>
      <c r="AG697">
        <v>73</v>
      </c>
      <c r="AH697">
        <v>4</v>
      </c>
      <c r="AI697">
        <v>5</v>
      </c>
      <c r="AJ697">
        <v>2</v>
      </c>
      <c r="AK697">
        <v>27</v>
      </c>
      <c r="AL697" t="s">
        <v>847</v>
      </c>
      <c r="AM697" t="s">
        <v>848</v>
      </c>
      <c r="AN697" t="s">
        <v>849</v>
      </c>
      <c r="AO697" t="s">
        <v>11681</v>
      </c>
      <c r="AP697" t="s">
        <v>11682</v>
      </c>
      <c r="AQ697" t="s">
        <v>74</v>
      </c>
      <c r="AR697" t="s">
        <v>11669</v>
      </c>
      <c r="AS697" t="s">
        <v>11683</v>
      </c>
      <c r="AT697" t="s">
        <v>98</v>
      </c>
      <c r="AU697">
        <v>2021</v>
      </c>
      <c r="AV697">
        <v>207</v>
      </c>
      <c r="AW697" t="s">
        <v>74</v>
      </c>
      <c r="AX697" t="s">
        <v>74</v>
      </c>
      <c r="AY697" t="s">
        <v>74</v>
      </c>
      <c r="AZ697" t="s">
        <v>74</v>
      </c>
      <c r="BA697" t="s">
        <v>74</v>
      </c>
      <c r="BB697" t="s">
        <v>74</v>
      </c>
      <c r="BC697" t="s">
        <v>74</v>
      </c>
      <c r="BD697">
        <v>105706</v>
      </c>
      <c r="BE697" t="s">
        <v>13763</v>
      </c>
      <c r="BF697" t="str">
        <f>HYPERLINK("http://dx.doi.org/10.1016/j.catena.2021.105706","http://dx.doi.org/10.1016/j.catena.2021.105706")</f>
        <v>http://dx.doi.org/10.1016/j.catena.2021.105706</v>
      </c>
      <c r="BG697" t="s">
        <v>74</v>
      </c>
      <c r="BH697" t="s">
        <v>11189</v>
      </c>
      <c r="BI697">
        <v>8</v>
      </c>
      <c r="BJ697" t="s">
        <v>11685</v>
      </c>
      <c r="BK697" t="s">
        <v>101</v>
      </c>
      <c r="BL697" t="s">
        <v>11686</v>
      </c>
      <c r="BM697" t="s">
        <v>13764</v>
      </c>
      <c r="BN697" t="s">
        <v>74</v>
      </c>
      <c r="BO697" t="s">
        <v>1471</v>
      </c>
      <c r="BP697" t="s">
        <v>74</v>
      </c>
      <c r="BQ697" t="s">
        <v>74</v>
      </c>
      <c r="BR697" t="s">
        <v>105</v>
      </c>
      <c r="BS697" t="s">
        <v>13765</v>
      </c>
      <c r="BT697" t="str">
        <f>HYPERLINK("https%3A%2F%2Fwww.webofscience.com%2Fwos%2Fwoscc%2Ffull-record%2FWOS:000703268900119","View Full Record in Web of Science")</f>
        <v>View Full Record in Web of Science</v>
      </c>
    </row>
    <row r="698" spans="1:72" x14ac:dyDescent="0.15">
      <c r="A698" t="s">
        <v>72</v>
      </c>
      <c r="B698" t="s">
        <v>13766</v>
      </c>
      <c r="C698" t="s">
        <v>74</v>
      </c>
      <c r="D698" t="s">
        <v>74</v>
      </c>
      <c r="E698" t="s">
        <v>74</v>
      </c>
      <c r="F698" t="s">
        <v>13767</v>
      </c>
      <c r="G698" t="s">
        <v>74</v>
      </c>
      <c r="H698" t="s">
        <v>74</v>
      </c>
      <c r="I698" t="s">
        <v>13768</v>
      </c>
      <c r="J698" t="s">
        <v>8953</v>
      </c>
      <c r="K698" t="s">
        <v>74</v>
      </c>
      <c r="L698" t="s">
        <v>74</v>
      </c>
      <c r="M698" t="s">
        <v>78</v>
      </c>
      <c r="N698" t="s">
        <v>79</v>
      </c>
      <c r="O698" t="s">
        <v>74</v>
      </c>
      <c r="P698" t="s">
        <v>74</v>
      </c>
      <c r="Q698" t="s">
        <v>74</v>
      </c>
      <c r="R698" t="s">
        <v>74</v>
      </c>
      <c r="S698" t="s">
        <v>74</v>
      </c>
      <c r="T698" t="s">
        <v>13769</v>
      </c>
      <c r="U698" t="s">
        <v>13770</v>
      </c>
      <c r="V698" t="s">
        <v>13771</v>
      </c>
      <c r="W698" t="s">
        <v>13772</v>
      </c>
      <c r="X698" t="s">
        <v>13773</v>
      </c>
      <c r="Y698" t="s">
        <v>13774</v>
      </c>
      <c r="Z698" t="s">
        <v>13775</v>
      </c>
      <c r="AA698" t="s">
        <v>13776</v>
      </c>
      <c r="AB698" t="s">
        <v>13777</v>
      </c>
      <c r="AC698" t="s">
        <v>13778</v>
      </c>
      <c r="AD698" t="s">
        <v>13778</v>
      </c>
      <c r="AE698" t="s">
        <v>13779</v>
      </c>
      <c r="AF698" t="s">
        <v>74</v>
      </c>
      <c r="AG698">
        <v>41</v>
      </c>
      <c r="AH698">
        <v>0</v>
      </c>
      <c r="AI698">
        <v>0</v>
      </c>
      <c r="AJ698">
        <v>3</v>
      </c>
      <c r="AK698">
        <v>15</v>
      </c>
      <c r="AL698" t="s">
        <v>847</v>
      </c>
      <c r="AM698" t="s">
        <v>848</v>
      </c>
      <c r="AN698" t="s">
        <v>849</v>
      </c>
      <c r="AO698" t="s">
        <v>8965</v>
      </c>
      <c r="AP698" t="s">
        <v>8966</v>
      </c>
      <c r="AQ698" t="s">
        <v>74</v>
      </c>
      <c r="AR698" t="s">
        <v>8967</v>
      </c>
      <c r="AS698" t="s">
        <v>8968</v>
      </c>
      <c r="AT698" t="s">
        <v>7760</v>
      </c>
      <c r="AU698">
        <v>2021</v>
      </c>
      <c r="AV698">
        <v>59</v>
      </c>
      <c r="AW698" t="s">
        <v>74</v>
      </c>
      <c r="AX698" t="s">
        <v>74</v>
      </c>
      <c r="AY698" t="s">
        <v>74</v>
      </c>
      <c r="AZ698" t="s">
        <v>74</v>
      </c>
      <c r="BA698" t="s">
        <v>74</v>
      </c>
      <c r="BB698" t="s">
        <v>74</v>
      </c>
      <c r="BC698" t="s">
        <v>74</v>
      </c>
      <c r="BD698">
        <v>100858</v>
      </c>
      <c r="BE698" t="s">
        <v>13780</v>
      </c>
      <c r="BF698" t="str">
        <f>HYPERLINK("http://dx.doi.org/10.1016/j.margen.2021.100858","http://dx.doi.org/10.1016/j.margen.2021.100858")</f>
        <v>http://dx.doi.org/10.1016/j.margen.2021.100858</v>
      </c>
      <c r="BG698" t="s">
        <v>74</v>
      </c>
      <c r="BH698" t="s">
        <v>11189</v>
      </c>
      <c r="BI698">
        <v>14</v>
      </c>
      <c r="BJ698" t="s">
        <v>8970</v>
      </c>
      <c r="BK698" t="s">
        <v>101</v>
      </c>
      <c r="BL698" t="s">
        <v>8970</v>
      </c>
      <c r="BM698" t="s">
        <v>13781</v>
      </c>
      <c r="BN698">
        <v>33642199</v>
      </c>
      <c r="BO698" t="s">
        <v>74</v>
      </c>
      <c r="BP698" t="s">
        <v>74</v>
      </c>
      <c r="BQ698" t="s">
        <v>74</v>
      </c>
      <c r="BR698" t="s">
        <v>105</v>
      </c>
      <c r="BS698" t="s">
        <v>13782</v>
      </c>
      <c r="BT698" t="str">
        <f>HYPERLINK("https%3A%2F%2Fwww.webofscience.com%2Fwos%2Fwoscc%2Ffull-record%2FWOS:000703957000002","View Full Record in Web of Science")</f>
        <v>View Full Record in Web of Science</v>
      </c>
    </row>
    <row r="699" spans="1:72" x14ac:dyDescent="0.15">
      <c r="A699" t="s">
        <v>72</v>
      </c>
      <c r="B699" t="s">
        <v>13783</v>
      </c>
      <c r="C699" t="s">
        <v>74</v>
      </c>
      <c r="D699" t="s">
        <v>74</v>
      </c>
      <c r="E699" t="s">
        <v>74</v>
      </c>
      <c r="F699" t="s">
        <v>13784</v>
      </c>
      <c r="G699" t="s">
        <v>74</v>
      </c>
      <c r="H699" t="s">
        <v>74</v>
      </c>
      <c r="I699" t="s">
        <v>13785</v>
      </c>
      <c r="J699" t="s">
        <v>13786</v>
      </c>
      <c r="K699" t="s">
        <v>74</v>
      </c>
      <c r="L699" t="s">
        <v>74</v>
      </c>
      <c r="M699" t="s">
        <v>78</v>
      </c>
      <c r="N699" t="s">
        <v>79</v>
      </c>
      <c r="O699" t="s">
        <v>74</v>
      </c>
      <c r="P699" t="s">
        <v>74</v>
      </c>
      <c r="Q699" t="s">
        <v>74</v>
      </c>
      <c r="R699" t="s">
        <v>74</v>
      </c>
      <c r="S699" t="s">
        <v>74</v>
      </c>
      <c r="T699" t="s">
        <v>13787</v>
      </c>
      <c r="U699" t="s">
        <v>13788</v>
      </c>
      <c r="V699" t="s">
        <v>13789</v>
      </c>
      <c r="W699" t="s">
        <v>13790</v>
      </c>
      <c r="X699" t="s">
        <v>13791</v>
      </c>
      <c r="Y699" t="s">
        <v>13792</v>
      </c>
      <c r="Z699" t="s">
        <v>13793</v>
      </c>
      <c r="AA699" t="s">
        <v>13794</v>
      </c>
      <c r="AB699" t="s">
        <v>13795</v>
      </c>
      <c r="AC699" t="s">
        <v>13796</v>
      </c>
      <c r="AD699" t="s">
        <v>13797</v>
      </c>
      <c r="AE699" t="s">
        <v>13798</v>
      </c>
      <c r="AF699" t="s">
        <v>74</v>
      </c>
      <c r="AG699">
        <v>106</v>
      </c>
      <c r="AH699">
        <v>17</v>
      </c>
      <c r="AI699">
        <v>17</v>
      </c>
      <c r="AJ699">
        <v>1</v>
      </c>
      <c r="AK699">
        <v>22</v>
      </c>
      <c r="AL699" t="s">
        <v>572</v>
      </c>
      <c r="AM699" t="s">
        <v>573</v>
      </c>
      <c r="AN699" t="s">
        <v>574</v>
      </c>
      <c r="AO699" t="s">
        <v>74</v>
      </c>
      <c r="AP699" t="s">
        <v>13799</v>
      </c>
      <c r="AQ699" t="s">
        <v>74</v>
      </c>
      <c r="AR699" t="s">
        <v>13800</v>
      </c>
      <c r="AS699" t="s">
        <v>13801</v>
      </c>
      <c r="AT699" t="s">
        <v>98</v>
      </c>
      <c r="AU699">
        <v>2021</v>
      </c>
      <c r="AV699">
        <v>3</v>
      </c>
      <c r="AW699">
        <v>6</v>
      </c>
      <c r="AX699" t="s">
        <v>74</v>
      </c>
      <c r="AY699" t="s">
        <v>74</v>
      </c>
      <c r="AZ699" t="s">
        <v>74</v>
      </c>
      <c r="BA699" t="s">
        <v>74</v>
      </c>
      <c r="BB699">
        <v>1284</v>
      </c>
      <c r="BC699">
        <v>1296</v>
      </c>
      <c r="BD699" t="s">
        <v>74</v>
      </c>
      <c r="BE699" t="s">
        <v>13802</v>
      </c>
      <c r="BF699" t="str">
        <f>HYPERLINK("http://dx.doi.org/10.1002/pan3.10253","http://dx.doi.org/10.1002/pan3.10253")</f>
        <v>http://dx.doi.org/10.1002/pan3.10253</v>
      </c>
      <c r="BG699" t="s">
        <v>74</v>
      </c>
      <c r="BH699" t="s">
        <v>11189</v>
      </c>
      <c r="BI699">
        <v>13</v>
      </c>
      <c r="BJ699" t="s">
        <v>605</v>
      </c>
      <c r="BK699" t="s">
        <v>207</v>
      </c>
      <c r="BL699" t="s">
        <v>606</v>
      </c>
      <c r="BM699" t="s">
        <v>13803</v>
      </c>
      <c r="BN699" t="s">
        <v>74</v>
      </c>
      <c r="BO699" t="s">
        <v>343</v>
      </c>
      <c r="BP699" t="s">
        <v>74</v>
      </c>
      <c r="BQ699" t="s">
        <v>74</v>
      </c>
      <c r="BR699" t="s">
        <v>105</v>
      </c>
      <c r="BS699" t="s">
        <v>13804</v>
      </c>
      <c r="BT699" t="str">
        <f>HYPERLINK("https%3A%2F%2Fwww.webofscience.com%2Fwos%2Fwoscc%2Ffull-record%2FWOS:000693777700001","View Full Record in Web of Science")</f>
        <v>View Full Record in Web of Science</v>
      </c>
    </row>
    <row r="700" spans="1:72" x14ac:dyDescent="0.15">
      <c r="A700" t="s">
        <v>72</v>
      </c>
      <c r="B700" t="s">
        <v>13805</v>
      </c>
      <c r="C700" t="s">
        <v>74</v>
      </c>
      <c r="D700" t="s">
        <v>74</v>
      </c>
      <c r="E700" t="s">
        <v>74</v>
      </c>
      <c r="F700" t="s">
        <v>13806</v>
      </c>
      <c r="G700" t="s">
        <v>74</v>
      </c>
      <c r="H700" t="s">
        <v>74</v>
      </c>
      <c r="I700" t="s">
        <v>13807</v>
      </c>
      <c r="J700" t="s">
        <v>13808</v>
      </c>
      <c r="K700" t="s">
        <v>74</v>
      </c>
      <c r="L700" t="s">
        <v>74</v>
      </c>
      <c r="M700" t="s">
        <v>78</v>
      </c>
      <c r="N700" t="s">
        <v>79</v>
      </c>
      <c r="O700" t="s">
        <v>74</v>
      </c>
      <c r="P700" t="s">
        <v>74</v>
      </c>
      <c r="Q700" t="s">
        <v>74</v>
      </c>
      <c r="R700" t="s">
        <v>74</v>
      </c>
      <c r="S700" t="s">
        <v>74</v>
      </c>
      <c r="T700" t="s">
        <v>13809</v>
      </c>
      <c r="U700" t="s">
        <v>13810</v>
      </c>
      <c r="V700" t="s">
        <v>13811</v>
      </c>
      <c r="W700" t="s">
        <v>13812</v>
      </c>
      <c r="X700" t="s">
        <v>13813</v>
      </c>
      <c r="Y700" t="s">
        <v>13814</v>
      </c>
      <c r="Z700" t="s">
        <v>13815</v>
      </c>
      <c r="AA700" t="s">
        <v>13816</v>
      </c>
      <c r="AB700" t="s">
        <v>13817</v>
      </c>
      <c r="AC700" t="s">
        <v>13818</v>
      </c>
      <c r="AD700" t="s">
        <v>13819</v>
      </c>
      <c r="AE700" t="s">
        <v>13820</v>
      </c>
      <c r="AF700" t="s">
        <v>74</v>
      </c>
      <c r="AG700">
        <v>31</v>
      </c>
      <c r="AH700">
        <v>5</v>
      </c>
      <c r="AI700">
        <v>5</v>
      </c>
      <c r="AJ700">
        <v>4</v>
      </c>
      <c r="AK700">
        <v>13</v>
      </c>
      <c r="AL700" t="s">
        <v>13821</v>
      </c>
      <c r="AM700" t="s">
        <v>13822</v>
      </c>
      <c r="AN700" t="s">
        <v>13823</v>
      </c>
      <c r="AO700" t="s">
        <v>13824</v>
      </c>
      <c r="AP700" t="s">
        <v>13825</v>
      </c>
      <c r="AQ700" t="s">
        <v>74</v>
      </c>
      <c r="AR700" t="s">
        <v>13826</v>
      </c>
      <c r="AS700" t="s">
        <v>13827</v>
      </c>
      <c r="AT700" t="s">
        <v>338</v>
      </c>
      <c r="AU700">
        <v>2022</v>
      </c>
      <c r="AV700">
        <v>197</v>
      </c>
      <c r="AW700">
        <v>3</v>
      </c>
      <c r="AX700" t="s">
        <v>74</v>
      </c>
      <c r="AY700" t="s">
        <v>74</v>
      </c>
      <c r="AZ700" t="s">
        <v>74</v>
      </c>
      <c r="BA700" t="s">
        <v>74</v>
      </c>
      <c r="BB700">
        <v>419</v>
      </c>
      <c r="BC700">
        <v>434</v>
      </c>
      <c r="BD700" t="s">
        <v>74</v>
      </c>
      <c r="BE700" t="s">
        <v>13828</v>
      </c>
      <c r="BF700" t="str">
        <f>HYPERLINK("http://dx.doi.org/10.1007/s00605-021-01618-5","http://dx.doi.org/10.1007/s00605-021-01618-5")</f>
        <v>http://dx.doi.org/10.1007/s00605-021-01618-5</v>
      </c>
      <c r="BG700" t="s">
        <v>74</v>
      </c>
      <c r="BH700" t="s">
        <v>11189</v>
      </c>
      <c r="BI700">
        <v>16</v>
      </c>
      <c r="BJ700" t="s">
        <v>1469</v>
      </c>
      <c r="BK700" t="s">
        <v>101</v>
      </c>
      <c r="BL700" t="s">
        <v>1469</v>
      </c>
      <c r="BM700" t="s">
        <v>13829</v>
      </c>
      <c r="BN700" t="s">
        <v>74</v>
      </c>
      <c r="BO700" t="s">
        <v>74</v>
      </c>
      <c r="BP700" t="s">
        <v>74</v>
      </c>
      <c r="BQ700" t="s">
        <v>74</v>
      </c>
      <c r="BR700" t="s">
        <v>105</v>
      </c>
      <c r="BS700" t="s">
        <v>13830</v>
      </c>
      <c r="BT700" t="str">
        <f>HYPERLINK("https%3A%2F%2Fwww.webofscience.com%2Fwos%2Fwoscc%2Ffull-record%2FWOS:000693351000001","View Full Record in Web of Science")</f>
        <v>View Full Record in Web of Science</v>
      </c>
    </row>
    <row r="701" spans="1:72" x14ac:dyDescent="0.15">
      <c r="A701" t="s">
        <v>72</v>
      </c>
      <c r="B701" t="s">
        <v>13831</v>
      </c>
      <c r="C701" t="s">
        <v>74</v>
      </c>
      <c r="D701" t="s">
        <v>74</v>
      </c>
      <c r="E701" t="s">
        <v>74</v>
      </c>
      <c r="F701" t="s">
        <v>13832</v>
      </c>
      <c r="G701" t="s">
        <v>74</v>
      </c>
      <c r="H701" t="s">
        <v>74</v>
      </c>
      <c r="I701" t="s">
        <v>13833</v>
      </c>
      <c r="J701" t="s">
        <v>13834</v>
      </c>
      <c r="K701" t="s">
        <v>74</v>
      </c>
      <c r="L701" t="s">
        <v>74</v>
      </c>
      <c r="M701" t="s">
        <v>78</v>
      </c>
      <c r="N701" t="s">
        <v>79</v>
      </c>
      <c r="O701" t="s">
        <v>74</v>
      </c>
      <c r="P701" t="s">
        <v>74</v>
      </c>
      <c r="Q701" t="s">
        <v>74</v>
      </c>
      <c r="R701" t="s">
        <v>74</v>
      </c>
      <c r="S701" t="s">
        <v>74</v>
      </c>
      <c r="T701" t="s">
        <v>74</v>
      </c>
      <c r="U701" t="s">
        <v>13835</v>
      </c>
      <c r="V701" t="s">
        <v>13836</v>
      </c>
      <c r="W701" t="s">
        <v>13837</v>
      </c>
      <c r="X701" t="s">
        <v>13838</v>
      </c>
      <c r="Y701" t="s">
        <v>13839</v>
      </c>
      <c r="Z701" t="s">
        <v>13840</v>
      </c>
      <c r="AA701" t="s">
        <v>74</v>
      </c>
      <c r="AB701" t="s">
        <v>13841</v>
      </c>
      <c r="AC701" t="s">
        <v>13842</v>
      </c>
      <c r="AD701" t="s">
        <v>13843</v>
      </c>
      <c r="AE701" t="s">
        <v>13844</v>
      </c>
      <c r="AF701" t="s">
        <v>74</v>
      </c>
      <c r="AG701">
        <v>71</v>
      </c>
      <c r="AH701">
        <v>5</v>
      </c>
      <c r="AI701">
        <v>5</v>
      </c>
      <c r="AJ701">
        <v>1</v>
      </c>
      <c r="AK701">
        <v>23</v>
      </c>
      <c r="AL701" t="s">
        <v>1347</v>
      </c>
      <c r="AM701" t="s">
        <v>333</v>
      </c>
      <c r="AN701" t="s">
        <v>1348</v>
      </c>
      <c r="AO701" t="s">
        <v>13845</v>
      </c>
      <c r="AP701" t="s">
        <v>13846</v>
      </c>
      <c r="AQ701" t="s">
        <v>74</v>
      </c>
      <c r="AR701" t="s">
        <v>13847</v>
      </c>
      <c r="AS701" t="s">
        <v>13848</v>
      </c>
      <c r="AT701" t="s">
        <v>525</v>
      </c>
      <c r="AU701">
        <v>2022</v>
      </c>
      <c r="AV701">
        <v>16</v>
      </c>
      <c r="AW701">
        <v>2</v>
      </c>
      <c r="AX701" t="s">
        <v>74</v>
      </c>
      <c r="AY701" t="s">
        <v>74</v>
      </c>
      <c r="AZ701" t="s">
        <v>74</v>
      </c>
      <c r="BA701" t="s">
        <v>74</v>
      </c>
      <c r="BB701">
        <v>569</v>
      </c>
      <c r="BC701">
        <v>579</v>
      </c>
      <c r="BD701" t="s">
        <v>74</v>
      </c>
      <c r="BE701" t="s">
        <v>13849</v>
      </c>
      <c r="BF701" t="str">
        <f>HYPERLINK("http://dx.doi.org/10.1038/s41396-021-01084-9","http://dx.doi.org/10.1038/s41396-021-01084-9")</f>
        <v>http://dx.doi.org/10.1038/s41396-021-01084-9</v>
      </c>
      <c r="BG701" t="s">
        <v>74</v>
      </c>
      <c r="BH701" t="s">
        <v>11189</v>
      </c>
      <c r="BI701">
        <v>11</v>
      </c>
      <c r="BJ701" t="s">
        <v>13850</v>
      </c>
      <c r="BK701" t="s">
        <v>101</v>
      </c>
      <c r="BL701" t="s">
        <v>13851</v>
      </c>
      <c r="BM701" t="s">
        <v>13852</v>
      </c>
      <c r="BN701">
        <v>34482372</v>
      </c>
      <c r="BO701" t="s">
        <v>13853</v>
      </c>
      <c r="BP701" t="s">
        <v>74</v>
      </c>
      <c r="BQ701" t="s">
        <v>74</v>
      </c>
      <c r="BR701" t="s">
        <v>105</v>
      </c>
      <c r="BS701" t="s">
        <v>13854</v>
      </c>
      <c r="BT701" t="str">
        <f>HYPERLINK("https%3A%2F%2Fwww.webofscience.com%2Fwos%2Fwoscc%2Ffull-record%2FWOS:000693351100001","View Full Record in Web of Science")</f>
        <v>View Full Record in Web of Science</v>
      </c>
    </row>
    <row r="702" spans="1:72" x14ac:dyDescent="0.15">
      <c r="A702" t="s">
        <v>72</v>
      </c>
      <c r="B702" t="s">
        <v>13855</v>
      </c>
      <c r="C702" t="s">
        <v>74</v>
      </c>
      <c r="D702" t="s">
        <v>74</v>
      </c>
      <c r="E702" t="s">
        <v>74</v>
      </c>
      <c r="F702" t="s">
        <v>13856</v>
      </c>
      <c r="G702" t="s">
        <v>74</v>
      </c>
      <c r="H702" t="s">
        <v>74</v>
      </c>
      <c r="I702" t="s">
        <v>13857</v>
      </c>
      <c r="J702" t="s">
        <v>1099</v>
      </c>
      <c r="K702" t="s">
        <v>74</v>
      </c>
      <c r="L702" t="s">
        <v>74</v>
      </c>
      <c r="M702" t="s">
        <v>78</v>
      </c>
      <c r="N702" t="s">
        <v>79</v>
      </c>
      <c r="O702" t="s">
        <v>74</v>
      </c>
      <c r="P702" t="s">
        <v>74</v>
      </c>
      <c r="Q702" t="s">
        <v>74</v>
      </c>
      <c r="R702" t="s">
        <v>74</v>
      </c>
      <c r="S702" t="s">
        <v>74</v>
      </c>
      <c r="T702" t="s">
        <v>13858</v>
      </c>
      <c r="U702" t="s">
        <v>13859</v>
      </c>
      <c r="V702" t="s">
        <v>13860</v>
      </c>
      <c r="W702" t="s">
        <v>13861</v>
      </c>
      <c r="X702" t="s">
        <v>13862</v>
      </c>
      <c r="Y702" t="s">
        <v>13863</v>
      </c>
      <c r="Z702" t="s">
        <v>13864</v>
      </c>
      <c r="AA702" t="s">
        <v>13865</v>
      </c>
      <c r="AB702" t="s">
        <v>74</v>
      </c>
      <c r="AC702" t="s">
        <v>74</v>
      </c>
      <c r="AD702" t="s">
        <v>74</v>
      </c>
      <c r="AE702" t="s">
        <v>74</v>
      </c>
      <c r="AF702" t="s">
        <v>74</v>
      </c>
      <c r="AG702">
        <v>127</v>
      </c>
      <c r="AH702">
        <v>1</v>
      </c>
      <c r="AI702">
        <v>1</v>
      </c>
      <c r="AJ702">
        <v>5</v>
      </c>
      <c r="AK702">
        <v>17</v>
      </c>
      <c r="AL702" t="s">
        <v>383</v>
      </c>
      <c r="AM702" t="s">
        <v>384</v>
      </c>
      <c r="AN702" t="s">
        <v>385</v>
      </c>
      <c r="AO702" t="s">
        <v>74</v>
      </c>
      <c r="AP702" t="s">
        <v>1112</v>
      </c>
      <c r="AQ702" t="s">
        <v>74</v>
      </c>
      <c r="AR702" t="s">
        <v>1113</v>
      </c>
      <c r="AS702" t="s">
        <v>1114</v>
      </c>
      <c r="AT702" t="s">
        <v>13866</v>
      </c>
      <c r="AU702">
        <v>2021</v>
      </c>
      <c r="AV702">
        <v>9</v>
      </c>
      <c r="AW702" t="s">
        <v>74</v>
      </c>
      <c r="AX702" t="s">
        <v>74</v>
      </c>
      <c r="AY702" t="s">
        <v>74</v>
      </c>
      <c r="AZ702" t="s">
        <v>74</v>
      </c>
      <c r="BA702" t="s">
        <v>74</v>
      </c>
      <c r="BB702" t="s">
        <v>74</v>
      </c>
      <c r="BC702" t="s">
        <v>74</v>
      </c>
      <c r="BD702">
        <v>638069</v>
      </c>
      <c r="BE702" t="s">
        <v>13867</v>
      </c>
      <c r="BF702" t="str">
        <f>HYPERLINK("http://dx.doi.org/10.3389/feart.2021.638069","http://dx.doi.org/10.3389/feart.2021.638069")</f>
        <v>http://dx.doi.org/10.3389/feart.2021.638069</v>
      </c>
      <c r="BG702" t="s">
        <v>74</v>
      </c>
      <c r="BH702" t="s">
        <v>74</v>
      </c>
      <c r="BI702">
        <v>21</v>
      </c>
      <c r="BJ702" t="s">
        <v>236</v>
      </c>
      <c r="BK702" t="s">
        <v>101</v>
      </c>
      <c r="BL702" t="s">
        <v>237</v>
      </c>
      <c r="BM702" t="s">
        <v>13868</v>
      </c>
      <c r="BN702" t="s">
        <v>74</v>
      </c>
      <c r="BO702" t="s">
        <v>394</v>
      </c>
      <c r="BP702" t="s">
        <v>74</v>
      </c>
      <c r="BQ702" t="s">
        <v>74</v>
      </c>
      <c r="BR702" t="s">
        <v>105</v>
      </c>
      <c r="BS702" t="s">
        <v>13869</v>
      </c>
      <c r="BT702" t="str">
        <f>HYPERLINK("https%3A%2F%2Fwww.webofscience.com%2Fwos%2Fwoscc%2Ffull-record%2FWOS:000724305000001","View Full Record in Web of Science")</f>
        <v>View Full Record in Web of Science</v>
      </c>
    </row>
    <row r="703" spans="1:72" x14ac:dyDescent="0.15">
      <c r="A703" t="s">
        <v>72</v>
      </c>
      <c r="B703" t="s">
        <v>13870</v>
      </c>
      <c r="C703" t="s">
        <v>74</v>
      </c>
      <c r="D703" t="s">
        <v>74</v>
      </c>
      <c r="E703" t="s">
        <v>74</v>
      </c>
      <c r="F703" t="s">
        <v>13871</v>
      </c>
      <c r="G703" t="s">
        <v>74</v>
      </c>
      <c r="H703" t="s">
        <v>74</v>
      </c>
      <c r="I703" t="s">
        <v>13872</v>
      </c>
      <c r="J703" t="s">
        <v>863</v>
      </c>
      <c r="K703" t="s">
        <v>74</v>
      </c>
      <c r="L703" t="s">
        <v>74</v>
      </c>
      <c r="M703" t="s">
        <v>78</v>
      </c>
      <c r="N703" t="s">
        <v>79</v>
      </c>
      <c r="O703" t="s">
        <v>74</v>
      </c>
      <c r="P703" t="s">
        <v>74</v>
      </c>
      <c r="Q703" t="s">
        <v>74</v>
      </c>
      <c r="R703" t="s">
        <v>74</v>
      </c>
      <c r="S703" t="s">
        <v>74</v>
      </c>
      <c r="T703" t="s">
        <v>13873</v>
      </c>
      <c r="U703" t="s">
        <v>13874</v>
      </c>
      <c r="V703" t="s">
        <v>13875</v>
      </c>
      <c r="W703" t="s">
        <v>13876</v>
      </c>
      <c r="X703" t="s">
        <v>13877</v>
      </c>
      <c r="Y703" t="s">
        <v>13878</v>
      </c>
      <c r="Z703" t="s">
        <v>13879</v>
      </c>
      <c r="AA703" t="s">
        <v>13880</v>
      </c>
      <c r="AB703" t="s">
        <v>13881</v>
      </c>
      <c r="AC703" t="s">
        <v>13882</v>
      </c>
      <c r="AD703" t="s">
        <v>13883</v>
      </c>
      <c r="AE703" t="s">
        <v>13884</v>
      </c>
      <c r="AF703" t="s">
        <v>74</v>
      </c>
      <c r="AG703">
        <v>77</v>
      </c>
      <c r="AH703">
        <v>2</v>
      </c>
      <c r="AI703">
        <v>3</v>
      </c>
      <c r="AJ703">
        <v>2</v>
      </c>
      <c r="AK703">
        <v>28</v>
      </c>
      <c r="AL703" t="s">
        <v>255</v>
      </c>
      <c r="AM703" t="s">
        <v>256</v>
      </c>
      <c r="AN703" t="s">
        <v>257</v>
      </c>
      <c r="AO703" t="s">
        <v>876</v>
      </c>
      <c r="AP703" t="s">
        <v>877</v>
      </c>
      <c r="AQ703" t="s">
        <v>74</v>
      </c>
      <c r="AR703" t="s">
        <v>878</v>
      </c>
      <c r="AS703" t="s">
        <v>879</v>
      </c>
      <c r="AT703" t="s">
        <v>310</v>
      </c>
      <c r="AU703">
        <v>2021</v>
      </c>
      <c r="AV703">
        <v>177</v>
      </c>
      <c r="AW703" t="s">
        <v>74</v>
      </c>
      <c r="AX703" t="s">
        <v>74</v>
      </c>
      <c r="AY703" t="s">
        <v>74</v>
      </c>
      <c r="AZ703" t="s">
        <v>74</v>
      </c>
      <c r="BA703" t="s">
        <v>74</v>
      </c>
      <c r="BB703" t="s">
        <v>74</v>
      </c>
      <c r="BC703" t="s">
        <v>74</v>
      </c>
      <c r="BD703">
        <v>103625</v>
      </c>
      <c r="BE703" t="s">
        <v>13885</v>
      </c>
      <c r="BF703" t="str">
        <f>HYPERLINK("http://dx.doi.org/10.1016/j.dsr.2021.103625","http://dx.doi.org/10.1016/j.dsr.2021.103625")</f>
        <v>http://dx.doi.org/10.1016/j.dsr.2021.103625</v>
      </c>
      <c r="BG703" t="s">
        <v>74</v>
      </c>
      <c r="BH703" t="s">
        <v>11189</v>
      </c>
      <c r="BI703">
        <v>15</v>
      </c>
      <c r="BJ703" t="s">
        <v>264</v>
      </c>
      <c r="BK703" t="s">
        <v>101</v>
      </c>
      <c r="BL703" t="s">
        <v>264</v>
      </c>
      <c r="BM703" t="s">
        <v>13886</v>
      </c>
      <c r="BN703" t="s">
        <v>74</v>
      </c>
      <c r="BO703" t="s">
        <v>74</v>
      </c>
      <c r="BP703" t="s">
        <v>74</v>
      </c>
      <c r="BQ703" t="s">
        <v>74</v>
      </c>
      <c r="BR703" t="s">
        <v>105</v>
      </c>
      <c r="BS703" t="s">
        <v>13887</v>
      </c>
      <c r="BT703" t="str">
        <f>HYPERLINK("https%3A%2F%2Fwww.webofscience.com%2Fwos%2Fwoscc%2Ffull-record%2FWOS:000706856000001","View Full Record in Web of Science")</f>
        <v>View Full Record in Web of Science</v>
      </c>
    </row>
    <row r="704" spans="1:72" x14ac:dyDescent="0.15">
      <c r="A704" t="s">
        <v>72</v>
      </c>
      <c r="B704" t="s">
        <v>13888</v>
      </c>
      <c r="C704" t="s">
        <v>74</v>
      </c>
      <c r="D704" t="s">
        <v>74</v>
      </c>
      <c r="E704" t="s">
        <v>74</v>
      </c>
      <c r="F704" t="s">
        <v>13889</v>
      </c>
      <c r="G704" t="s">
        <v>74</v>
      </c>
      <c r="H704" t="s">
        <v>74</v>
      </c>
      <c r="I704" t="s">
        <v>13890</v>
      </c>
      <c r="J704" t="s">
        <v>5885</v>
      </c>
      <c r="K704" t="s">
        <v>74</v>
      </c>
      <c r="L704" t="s">
        <v>74</v>
      </c>
      <c r="M704" t="s">
        <v>78</v>
      </c>
      <c r="N704" t="s">
        <v>79</v>
      </c>
      <c r="O704" t="s">
        <v>74</v>
      </c>
      <c r="P704" t="s">
        <v>74</v>
      </c>
      <c r="Q704" t="s">
        <v>74</v>
      </c>
      <c r="R704" t="s">
        <v>74</v>
      </c>
      <c r="S704" t="s">
        <v>74</v>
      </c>
      <c r="T704" t="s">
        <v>13891</v>
      </c>
      <c r="U704" t="s">
        <v>13892</v>
      </c>
      <c r="V704" t="s">
        <v>13893</v>
      </c>
      <c r="W704" t="s">
        <v>13894</v>
      </c>
      <c r="X704" t="s">
        <v>13895</v>
      </c>
      <c r="Y704" t="s">
        <v>13896</v>
      </c>
      <c r="Z704" t="s">
        <v>13897</v>
      </c>
      <c r="AA704" t="s">
        <v>13898</v>
      </c>
      <c r="AB704" t="s">
        <v>13899</v>
      </c>
      <c r="AC704" t="s">
        <v>13900</v>
      </c>
      <c r="AD704" t="s">
        <v>13901</v>
      </c>
      <c r="AE704" t="s">
        <v>13902</v>
      </c>
      <c r="AF704" t="s">
        <v>74</v>
      </c>
      <c r="AG704">
        <v>76</v>
      </c>
      <c r="AH704">
        <v>14</v>
      </c>
      <c r="AI704">
        <v>14</v>
      </c>
      <c r="AJ704">
        <v>1</v>
      </c>
      <c r="AK704">
        <v>23</v>
      </c>
      <c r="AL704" t="s">
        <v>1326</v>
      </c>
      <c r="AM704" t="s">
        <v>256</v>
      </c>
      <c r="AN704" t="s">
        <v>1327</v>
      </c>
      <c r="AO704" t="s">
        <v>5896</v>
      </c>
      <c r="AP704" t="s">
        <v>5897</v>
      </c>
      <c r="AQ704" t="s">
        <v>74</v>
      </c>
      <c r="AR704" t="s">
        <v>5898</v>
      </c>
      <c r="AS704" t="s">
        <v>5899</v>
      </c>
      <c r="AT704" t="s">
        <v>204</v>
      </c>
      <c r="AU704">
        <v>2021</v>
      </c>
      <c r="AV704">
        <v>290</v>
      </c>
      <c r="AW704" t="s">
        <v>74</v>
      </c>
      <c r="AX704" t="s">
        <v>74</v>
      </c>
      <c r="AY704" t="s">
        <v>74</v>
      </c>
      <c r="AZ704" t="s">
        <v>74</v>
      </c>
      <c r="BA704" t="s">
        <v>74</v>
      </c>
      <c r="BB704" t="s">
        <v>74</v>
      </c>
      <c r="BC704" t="s">
        <v>74</v>
      </c>
      <c r="BD704">
        <v>118086</v>
      </c>
      <c r="BE704" t="s">
        <v>13903</v>
      </c>
      <c r="BF704" t="str">
        <f>HYPERLINK("http://dx.doi.org/10.1016/j.envpol.2021.118086","http://dx.doi.org/10.1016/j.envpol.2021.118086")</f>
        <v>http://dx.doi.org/10.1016/j.envpol.2021.118086</v>
      </c>
      <c r="BG704" t="s">
        <v>74</v>
      </c>
      <c r="BH704" t="s">
        <v>11189</v>
      </c>
      <c r="BI704">
        <v>9</v>
      </c>
      <c r="BJ704" t="s">
        <v>856</v>
      </c>
      <c r="BK704" t="s">
        <v>101</v>
      </c>
      <c r="BL704" t="s">
        <v>630</v>
      </c>
      <c r="BM704" t="s">
        <v>13904</v>
      </c>
      <c r="BN704">
        <v>34482247</v>
      </c>
      <c r="BO704" t="s">
        <v>314</v>
      </c>
      <c r="BP704" t="s">
        <v>74</v>
      </c>
      <c r="BQ704" t="s">
        <v>74</v>
      </c>
      <c r="BR704" t="s">
        <v>105</v>
      </c>
      <c r="BS704" t="s">
        <v>13905</v>
      </c>
      <c r="BT704" t="str">
        <f>HYPERLINK("https%3A%2F%2Fwww.webofscience.com%2Fwos%2Fwoscc%2Ffull-record%2FWOS:000696784600001","View Full Record in Web of Science")</f>
        <v>View Full Record in Web of Science</v>
      </c>
    </row>
    <row r="705" spans="1:72" x14ac:dyDescent="0.15">
      <c r="A705" t="s">
        <v>72</v>
      </c>
      <c r="B705" t="s">
        <v>13906</v>
      </c>
      <c r="C705" t="s">
        <v>74</v>
      </c>
      <c r="D705" t="s">
        <v>74</v>
      </c>
      <c r="E705" t="s">
        <v>74</v>
      </c>
      <c r="F705" t="s">
        <v>13907</v>
      </c>
      <c r="G705" t="s">
        <v>74</v>
      </c>
      <c r="H705" t="s">
        <v>74</v>
      </c>
      <c r="I705" t="s">
        <v>13908</v>
      </c>
      <c r="J705" t="s">
        <v>13909</v>
      </c>
      <c r="K705" t="s">
        <v>74</v>
      </c>
      <c r="L705" t="s">
        <v>74</v>
      </c>
      <c r="M705" t="s">
        <v>78</v>
      </c>
      <c r="N705" t="s">
        <v>373</v>
      </c>
      <c r="O705" t="s">
        <v>74</v>
      </c>
      <c r="P705" t="s">
        <v>74</v>
      </c>
      <c r="Q705" t="s">
        <v>74</v>
      </c>
      <c r="R705" t="s">
        <v>74</v>
      </c>
      <c r="S705" t="s">
        <v>74</v>
      </c>
      <c r="T705" t="s">
        <v>13910</v>
      </c>
      <c r="U705" t="s">
        <v>13911</v>
      </c>
      <c r="V705" t="s">
        <v>13912</v>
      </c>
      <c r="W705" t="s">
        <v>13913</v>
      </c>
      <c r="X705" t="s">
        <v>13914</v>
      </c>
      <c r="Y705" t="s">
        <v>13915</v>
      </c>
      <c r="Z705" t="s">
        <v>13916</v>
      </c>
      <c r="AA705" t="s">
        <v>74</v>
      </c>
      <c r="AB705" t="s">
        <v>74</v>
      </c>
      <c r="AC705" t="s">
        <v>13917</v>
      </c>
      <c r="AD705" t="s">
        <v>13918</v>
      </c>
      <c r="AE705" t="s">
        <v>13919</v>
      </c>
      <c r="AF705" t="s">
        <v>74</v>
      </c>
      <c r="AG705">
        <v>194</v>
      </c>
      <c r="AH705">
        <v>10</v>
      </c>
      <c r="AI705">
        <v>10</v>
      </c>
      <c r="AJ705">
        <v>3</v>
      </c>
      <c r="AK705">
        <v>23</v>
      </c>
      <c r="AL705" t="s">
        <v>169</v>
      </c>
      <c r="AM705" t="s">
        <v>170</v>
      </c>
      <c r="AN705" t="s">
        <v>171</v>
      </c>
      <c r="AO705" t="s">
        <v>13920</v>
      </c>
      <c r="AP705" t="s">
        <v>74</v>
      </c>
      <c r="AQ705" t="s">
        <v>74</v>
      </c>
      <c r="AR705" t="s">
        <v>13921</v>
      </c>
      <c r="AS705" t="s">
        <v>13922</v>
      </c>
      <c r="AT705" t="s">
        <v>13866</v>
      </c>
      <c r="AU705">
        <v>2021</v>
      </c>
      <c r="AV705">
        <v>8</v>
      </c>
      <c r="AW705">
        <v>1</v>
      </c>
      <c r="AX705" t="s">
        <v>74</v>
      </c>
      <c r="AY705" t="s">
        <v>74</v>
      </c>
      <c r="AZ705" t="s">
        <v>74</v>
      </c>
      <c r="BA705" t="s">
        <v>74</v>
      </c>
      <c r="BB705" t="s">
        <v>74</v>
      </c>
      <c r="BC705" t="s">
        <v>74</v>
      </c>
      <c r="BD705">
        <v>50</v>
      </c>
      <c r="BE705" t="s">
        <v>13923</v>
      </c>
      <c r="BF705" t="str">
        <f>HYPERLINK("http://dx.doi.org/10.1186/s40645-021-00439-2","http://dx.doi.org/10.1186/s40645-021-00439-2")</f>
        <v>http://dx.doi.org/10.1186/s40645-021-00439-2</v>
      </c>
      <c r="BG705" t="s">
        <v>74</v>
      </c>
      <c r="BH705" t="s">
        <v>74</v>
      </c>
      <c r="BI705">
        <v>38</v>
      </c>
      <c r="BJ705" t="s">
        <v>236</v>
      </c>
      <c r="BK705" t="s">
        <v>101</v>
      </c>
      <c r="BL705" t="s">
        <v>237</v>
      </c>
      <c r="BM705" t="s">
        <v>13924</v>
      </c>
      <c r="BN705" t="s">
        <v>74</v>
      </c>
      <c r="BO705" t="s">
        <v>1094</v>
      </c>
      <c r="BP705" t="s">
        <v>74</v>
      </c>
      <c r="BQ705" t="s">
        <v>74</v>
      </c>
      <c r="BR705" t="s">
        <v>105</v>
      </c>
      <c r="BS705" t="s">
        <v>13925</v>
      </c>
      <c r="BT705" t="str">
        <f>HYPERLINK("https%3A%2F%2Fwww.webofscience.com%2Fwos%2Fwoscc%2Ffull-record%2FWOS:000694245100001","View Full Record in Web of Science")</f>
        <v>View Full Record in Web of Science</v>
      </c>
    </row>
    <row r="706" spans="1:72" x14ac:dyDescent="0.15">
      <c r="A706" t="s">
        <v>72</v>
      </c>
      <c r="B706" t="s">
        <v>13926</v>
      </c>
      <c r="C706" t="s">
        <v>74</v>
      </c>
      <c r="D706" t="s">
        <v>74</v>
      </c>
      <c r="E706" t="s">
        <v>74</v>
      </c>
      <c r="F706" t="s">
        <v>13927</v>
      </c>
      <c r="G706" t="s">
        <v>74</v>
      </c>
      <c r="H706" t="s">
        <v>74</v>
      </c>
      <c r="I706" t="s">
        <v>13928</v>
      </c>
      <c r="J706" t="s">
        <v>1058</v>
      </c>
      <c r="K706" t="s">
        <v>74</v>
      </c>
      <c r="L706" t="s">
        <v>74</v>
      </c>
      <c r="M706" t="s">
        <v>78</v>
      </c>
      <c r="N706" t="s">
        <v>79</v>
      </c>
      <c r="O706" t="s">
        <v>74</v>
      </c>
      <c r="P706" t="s">
        <v>74</v>
      </c>
      <c r="Q706" t="s">
        <v>74</v>
      </c>
      <c r="R706" t="s">
        <v>74</v>
      </c>
      <c r="S706" t="s">
        <v>74</v>
      </c>
      <c r="T706" t="s">
        <v>74</v>
      </c>
      <c r="U706" t="s">
        <v>13929</v>
      </c>
      <c r="V706" t="s">
        <v>13930</v>
      </c>
      <c r="W706" t="s">
        <v>13931</v>
      </c>
      <c r="X706" t="s">
        <v>13932</v>
      </c>
      <c r="Y706" t="s">
        <v>13933</v>
      </c>
      <c r="Z706" t="s">
        <v>13934</v>
      </c>
      <c r="AA706" t="s">
        <v>13935</v>
      </c>
      <c r="AB706" t="s">
        <v>13936</v>
      </c>
      <c r="AC706" t="s">
        <v>13937</v>
      </c>
      <c r="AD706" t="s">
        <v>13938</v>
      </c>
      <c r="AE706" t="s">
        <v>13939</v>
      </c>
      <c r="AF706" t="s">
        <v>74</v>
      </c>
      <c r="AG706">
        <v>52</v>
      </c>
      <c r="AH706">
        <v>3</v>
      </c>
      <c r="AI706">
        <v>5</v>
      </c>
      <c r="AJ706">
        <v>1</v>
      </c>
      <c r="AK706">
        <v>12</v>
      </c>
      <c r="AL706" t="s">
        <v>227</v>
      </c>
      <c r="AM706" t="s">
        <v>228</v>
      </c>
      <c r="AN706" t="s">
        <v>229</v>
      </c>
      <c r="AO706" t="s">
        <v>1065</v>
      </c>
      <c r="AP706" t="s">
        <v>1066</v>
      </c>
      <c r="AQ706" t="s">
        <v>74</v>
      </c>
      <c r="AR706" t="s">
        <v>1058</v>
      </c>
      <c r="AS706" t="s">
        <v>1067</v>
      </c>
      <c r="AT706" t="s">
        <v>13866</v>
      </c>
      <c r="AU706">
        <v>2021</v>
      </c>
      <c r="AV706">
        <v>15</v>
      </c>
      <c r="AW706">
        <v>9</v>
      </c>
      <c r="AX706" t="s">
        <v>74</v>
      </c>
      <c r="AY706" t="s">
        <v>74</v>
      </c>
      <c r="AZ706" t="s">
        <v>74</v>
      </c>
      <c r="BA706" t="s">
        <v>74</v>
      </c>
      <c r="BB706">
        <v>4207</v>
      </c>
      <c r="BC706">
        <v>4220</v>
      </c>
      <c r="BD706" t="s">
        <v>74</v>
      </c>
      <c r="BE706" t="s">
        <v>13940</v>
      </c>
      <c r="BF706" t="str">
        <f>HYPERLINK("http://dx.doi.org/10.5194/tc-15-4207-2021","http://dx.doi.org/10.5194/tc-15-4207-2021")</f>
        <v>http://dx.doi.org/10.5194/tc-15-4207-2021</v>
      </c>
      <c r="BG706" t="s">
        <v>74</v>
      </c>
      <c r="BH706" t="s">
        <v>74</v>
      </c>
      <c r="BI706">
        <v>14</v>
      </c>
      <c r="BJ706" t="s">
        <v>340</v>
      </c>
      <c r="BK706" t="s">
        <v>101</v>
      </c>
      <c r="BL706" t="s">
        <v>341</v>
      </c>
      <c r="BM706" t="s">
        <v>13941</v>
      </c>
      <c r="BN706" t="s">
        <v>74</v>
      </c>
      <c r="BO706" t="s">
        <v>554</v>
      </c>
      <c r="BP706" t="s">
        <v>74</v>
      </c>
      <c r="BQ706" t="s">
        <v>74</v>
      </c>
      <c r="BR706" t="s">
        <v>105</v>
      </c>
      <c r="BS706" t="s">
        <v>13942</v>
      </c>
      <c r="BT706" t="str">
        <f>HYPERLINK("https%3A%2F%2Fwww.webofscience.com%2Fwos%2Fwoscc%2Ffull-record%2FWOS:000693108300001","View Full Record in Web of Science")</f>
        <v>View Full Record in Web of Science</v>
      </c>
    </row>
    <row r="707" spans="1:72" x14ac:dyDescent="0.15">
      <c r="A707" t="s">
        <v>72</v>
      </c>
      <c r="B707" t="s">
        <v>13943</v>
      </c>
      <c r="C707" t="s">
        <v>74</v>
      </c>
      <c r="D707" t="s">
        <v>74</v>
      </c>
      <c r="E707" t="s">
        <v>74</v>
      </c>
      <c r="F707" t="s">
        <v>13944</v>
      </c>
      <c r="G707" t="s">
        <v>74</v>
      </c>
      <c r="H707" t="s">
        <v>74</v>
      </c>
      <c r="I707" t="s">
        <v>13945</v>
      </c>
      <c r="J707" t="s">
        <v>8419</v>
      </c>
      <c r="K707" t="s">
        <v>74</v>
      </c>
      <c r="L707" t="s">
        <v>74</v>
      </c>
      <c r="M707" t="s">
        <v>78</v>
      </c>
      <c r="N707" t="s">
        <v>79</v>
      </c>
      <c r="O707" t="s">
        <v>74</v>
      </c>
      <c r="P707" t="s">
        <v>74</v>
      </c>
      <c r="Q707" t="s">
        <v>74</v>
      </c>
      <c r="R707" t="s">
        <v>74</v>
      </c>
      <c r="S707" t="s">
        <v>74</v>
      </c>
      <c r="T707" t="s">
        <v>13946</v>
      </c>
      <c r="U707" t="s">
        <v>13947</v>
      </c>
      <c r="V707" t="s">
        <v>13948</v>
      </c>
      <c r="W707" t="s">
        <v>13949</v>
      </c>
      <c r="X707" t="s">
        <v>13950</v>
      </c>
      <c r="Y707" t="s">
        <v>13951</v>
      </c>
      <c r="Z707" t="s">
        <v>13952</v>
      </c>
      <c r="AA707" t="s">
        <v>7133</v>
      </c>
      <c r="AB707" t="s">
        <v>13953</v>
      </c>
      <c r="AC707" t="s">
        <v>13954</v>
      </c>
      <c r="AD707" t="s">
        <v>13955</v>
      </c>
      <c r="AE707" t="s">
        <v>13956</v>
      </c>
      <c r="AF707" t="s">
        <v>74</v>
      </c>
      <c r="AG707">
        <v>85</v>
      </c>
      <c r="AH707">
        <v>8</v>
      </c>
      <c r="AI707">
        <v>9</v>
      </c>
      <c r="AJ707">
        <v>5</v>
      </c>
      <c r="AK707">
        <v>26</v>
      </c>
      <c r="AL707" t="s">
        <v>8432</v>
      </c>
      <c r="AM707" t="s">
        <v>8433</v>
      </c>
      <c r="AN707" t="s">
        <v>8434</v>
      </c>
      <c r="AO707" t="s">
        <v>8435</v>
      </c>
      <c r="AP707" t="s">
        <v>8436</v>
      </c>
      <c r="AQ707" t="s">
        <v>74</v>
      </c>
      <c r="AR707" t="s">
        <v>8419</v>
      </c>
      <c r="AS707" t="s">
        <v>8437</v>
      </c>
      <c r="AT707" t="s">
        <v>310</v>
      </c>
      <c r="AU707">
        <v>2021</v>
      </c>
      <c r="AV707">
        <v>25</v>
      </c>
      <c r="AW707" t="s">
        <v>928</v>
      </c>
      <c r="AX707" t="s">
        <v>74</v>
      </c>
      <c r="AY707" t="s">
        <v>74</v>
      </c>
      <c r="AZ707" t="s">
        <v>74</v>
      </c>
      <c r="BA707" t="s">
        <v>74</v>
      </c>
      <c r="BB707">
        <v>471</v>
      </c>
      <c r="BC707">
        <v>481</v>
      </c>
      <c r="BD707" t="s">
        <v>74</v>
      </c>
      <c r="BE707" t="s">
        <v>13957</v>
      </c>
      <c r="BF707" t="str">
        <f>HYPERLINK("http://dx.doi.org/10.1007/s00792-021-01240-1","http://dx.doi.org/10.1007/s00792-021-01240-1")</f>
        <v>http://dx.doi.org/10.1007/s00792-021-01240-1</v>
      </c>
      <c r="BG707" t="s">
        <v>74</v>
      </c>
      <c r="BH707" t="s">
        <v>11189</v>
      </c>
      <c r="BI707">
        <v>11</v>
      </c>
      <c r="BJ707" t="s">
        <v>8439</v>
      </c>
      <c r="BK707" t="s">
        <v>101</v>
      </c>
      <c r="BL707" t="s">
        <v>8439</v>
      </c>
      <c r="BM707" t="s">
        <v>8440</v>
      </c>
      <c r="BN707">
        <v>34480232</v>
      </c>
      <c r="BO707" t="s">
        <v>8343</v>
      </c>
      <c r="BP707" t="s">
        <v>74</v>
      </c>
      <c r="BQ707" t="s">
        <v>74</v>
      </c>
      <c r="BR707" t="s">
        <v>105</v>
      </c>
      <c r="BS707" t="s">
        <v>13958</v>
      </c>
      <c r="BT707" t="str">
        <f>HYPERLINK("https%3A%2F%2Fwww.webofscience.com%2Fwos%2Fwoscc%2Ffull-record%2FWOS:000692624100001","View Full Record in Web of Science")</f>
        <v>View Full Record in Web of Science</v>
      </c>
    </row>
    <row r="708" spans="1:72" x14ac:dyDescent="0.15">
      <c r="A708" t="s">
        <v>72</v>
      </c>
      <c r="B708" t="s">
        <v>13959</v>
      </c>
      <c r="C708" t="s">
        <v>74</v>
      </c>
      <c r="D708" t="s">
        <v>74</v>
      </c>
      <c r="E708" t="s">
        <v>74</v>
      </c>
      <c r="F708" t="s">
        <v>13960</v>
      </c>
      <c r="G708" t="s">
        <v>74</v>
      </c>
      <c r="H708" t="s">
        <v>74</v>
      </c>
      <c r="I708" t="s">
        <v>13961</v>
      </c>
      <c r="J708" t="s">
        <v>810</v>
      </c>
      <c r="K708" t="s">
        <v>74</v>
      </c>
      <c r="L708" t="s">
        <v>74</v>
      </c>
      <c r="M708" t="s">
        <v>78</v>
      </c>
      <c r="N708" t="s">
        <v>79</v>
      </c>
      <c r="O708" t="s">
        <v>74</v>
      </c>
      <c r="P708" t="s">
        <v>74</v>
      </c>
      <c r="Q708" t="s">
        <v>74</v>
      </c>
      <c r="R708" t="s">
        <v>74</v>
      </c>
      <c r="S708" t="s">
        <v>74</v>
      </c>
      <c r="T708" t="s">
        <v>13962</v>
      </c>
      <c r="U708" t="s">
        <v>13963</v>
      </c>
      <c r="V708" t="s">
        <v>13964</v>
      </c>
      <c r="W708" t="s">
        <v>13965</v>
      </c>
      <c r="X708" t="s">
        <v>13966</v>
      </c>
      <c r="Y708" t="s">
        <v>13967</v>
      </c>
      <c r="Z708" t="s">
        <v>13968</v>
      </c>
      <c r="AA708" t="s">
        <v>74</v>
      </c>
      <c r="AB708" t="s">
        <v>74</v>
      </c>
      <c r="AC708" t="s">
        <v>13969</v>
      </c>
      <c r="AD708" t="s">
        <v>13970</v>
      </c>
      <c r="AE708" t="s">
        <v>13971</v>
      </c>
      <c r="AF708" t="s">
        <v>74</v>
      </c>
      <c r="AG708">
        <v>76</v>
      </c>
      <c r="AH708">
        <v>20</v>
      </c>
      <c r="AI708">
        <v>21</v>
      </c>
      <c r="AJ708">
        <v>9</v>
      </c>
      <c r="AK708">
        <v>59</v>
      </c>
      <c r="AL708" t="s">
        <v>572</v>
      </c>
      <c r="AM708" t="s">
        <v>573</v>
      </c>
      <c r="AN708" t="s">
        <v>574</v>
      </c>
      <c r="AO708" t="s">
        <v>823</v>
      </c>
      <c r="AP708" t="s">
        <v>824</v>
      </c>
      <c r="AQ708" t="s">
        <v>74</v>
      </c>
      <c r="AR708" t="s">
        <v>825</v>
      </c>
      <c r="AS708" t="s">
        <v>826</v>
      </c>
      <c r="AT708" t="s">
        <v>12466</v>
      </c>
      <c r="AU708">
        <v>2022</v>
      </c>
      <c r="AV708">
        <v>42</v>
      </c>
      <c r="AW708">
        <v>3</v>
      </c>
      <c r="AX708" t="s">
        <v>74</v>
      </c>
      <c r="AY708" t="s">
        <v>74</v>
      </c>
      <c r="AZ708" t="s">
        <v>74</v>
      </c>
      <c r="BA708" t="s">
        <v>74</v>
      </c>
      <c r="BB708">
        <v>1854</v>
      </c>
      <c r="BC708">
        <v>1876</v>
      </c>
      <c r="BD708" t="s">
        <v>74</v>
      </c>
      <c r="BE708" t="s">
        <v>13972</v>
      </c>
      <c r="BF708" t="str">
        <f>HYPERLINK("http://dx.doi.org/10.1002/joc.7340","http://dx.doi.org/10.1002/joc.7340")</f>
        <v>http://dx.doi.org/10.1002/joc.7340</v>
      </c>
      <c r="BG708" t="s">
        <v>74</v>
      </c>
      <c r="BH708" t="s">
        <v>11189</v>
      </c>
      <c r="BI708">
        <v>23</v>
      </c>
      <c r="BJ708" t="s">
        <v>829</v>
      </c>
      <c r="BK708" t="s">
        <v>101</v>
      </c>
      <c r="BL708" t="s">
        <v>829</v>
      </c>
      <c r="BM708" t="s">
        <v>13973</v>
      </c>
      <c r="BN708" t="s">
        <v>74</v>
      </c>
      <c r="BO708" t="s">
        <v>74</v>
      </c>
      <c r="BP708" t="s">
        <v>74</v>
      </c>
      <c r="BQ708" t="s">
        <v>74</v>
      </c>
      <c r="BR708" t="s">
        <v>105</v>
      </c>
      <c r="BS708" t="s">
        <v>13974</v>
      </c>
      <c r="BT708" t="str">
        <f>HYPERLINK("https%3A%2F%2Fwww.webofscience.com%2Fwos%2Fwoscc%2Ffull-record%2FWOS:000692644400001","View Full Record in Web of Science")</f>
        <v>View Full Record in Web of Science</v>
      </c>
    </row>
    <row r="709" spans="1:72" x14ac:dyDescent="0.15">
      <c r="A709" t="s">
        <v>72</v>
      </c>
      <c r="B709" t="s">
        <v>13975</v>
      </c>
      <c r="C709" t="s">
        <v>74</v>
      </c>
      <c r="D709" t="s">
        <v>74</v>
      </c>
      <c r="E709" t="s">
        <v>74</v>
      </c>
      <c r="F709" t="s">
        <v>13976</v>
      </c>
      <c r="G709" t="s">
        <v>74</v>
      </c>
      <c r="H709" t="s">
        <v>74</v>
      </c>
      <c r="I709" t="s">
        <v>13977</v>
      </c>
      <c r="J709" t="s">
        <v>835</v>
      </c>
      <c r="K709" t="s">
        <v>74</v>
      </c>
      <c r="L709" t="s">
        <v>74</v>
      </c>
      <c r="M709" t="s">
        <v>78</v>
      </c>
      <c r="N709" t="s">
        <v>79</v>
      </c>
      <c r="O709" t="s">
        <v>74</v>
      </c>
      <c r="P709" t="s">
        <v>74</v>
      </c>
      <c r="Q709" t="s">
        <v>74</v>
      </c>
      <c r="R709" t="s">
        <v>74</v>
      </c>
      <c r="S709" t="s">
        <v>74</v>
      </c>
      <c r="T709" t="s">
        <v>13978</v>
      </c>
      <c r="U709" t="s">
        <v>13979</v>
      </c>
      <c r="V709" t="s">
        <v>13980</v>
      </c>
      <c r="W709" t="s">
        <v>13981</v>
      </c>
      <c r="X709" t="s">
        <v>13982</v>
      </c>
      <c r="Y709" t="s">
        <v>13983</v>
      </c>
      <c r="Z709" t="s">
        <v>13984</v>
      </c>
      <c r="AA709" t="s">
        <v>13985</v>
      </c>
      <c r="AB709" t="s">
        <v>13986</v>
      </c>
      <c r="AC709" t="s">
        <v>13987</v>
      </c>
      <c r="AD709" t="s">
        <v>13988</v>
      </c>
      <c r="AE709" t="s">
        <v>13989</v>
      </c>
      <c r="AF709" t="s">
        <v>74</v>
      </c>
      <c r="AG709">
        <v>86</v>
      </c>
      <c r="AH709">
        <v>10</v>
      </c>
      <c r="AI709">
        <v>10</v>
      </c>
      <c r="AJ709">
        <v>6</v>
      </c>
      <c r="AK709">
        <v>60</v>
      </c>
      <c r="AL709" t="s">
        <v>847</v>
      </c>
      <c r="AM709" t="s">
        <v>848</v>
      </c>
      <c r="AN709" t="s">
        <v>849</v>
      </c>
      <c r="AO709" t="s">
        <v>850</v>
      </c>
      <c r="AP709" t="s">
        <v>851</v>
      </c>
      <c r="AQ709" t="s">
        <v>74</v>
      </c>
      <c r="AR709" t="s">
        <v>852</v>
      </c>
      <c r="AS709" t="s">
        <v>853</v>
      </c>
      <c r="AT709" t="s">
        <v>13990</v>
      </c>
      <c r="AU709">
        <v>2022</v>
      </c>
      <c r="AV709">
        <v>803</v>
      </c>
      <c r="AW709" t="s">
        <v>74</v>
      </c>
      <c r="AX709" t="s">
        <v>74</v>
      </c>
      <c r="AY709" t="s">
        <v>74</v>
      </c>
      <c r="AZ709" t="s">
        <v>74</v>
      </c>
      <c r="BA709" t="s">
        <v>74</v>
      </c>
      <c r="BB709" t="s">
        <v>74</v>
      </c>
      <c r="BC709" t="s">
        <v>74</v>
      </c>
      <c r="BD709">
        <v>150002</v>
      </c>
      <c r="BE709" t="s">
        <v>13991</v>
      </c>
      <c r="BF709" t="str">
        <f>HYPERLINK("http://dx.doi.org/10.1016/j.scitotenv.2021.150002","http://dx.doi.org/10.1016/j.scitotenv.2021.150002")</f>
        <v>http://dx.doi.org/10.1016/j.scitotenv.2021.150002</v>
      </c>
      <c r="BG709" t="s">
        <v>74</v>
      </c>
      <c r="BH709" t="s">
        <v>11189</v>
      </c>
      <c r="BI709">
        <v>9</v>
      </c>
      <c r="BJ709" t="s">
        <v>856</v>
      </c>
      <c r="BK709" t="s">
        <v>101</v>
      </c>
      <c r="BL709" t="s">
        <v>630</v>
      </c>
      <c r="BM709" t="s">
        <v>13992</v>
      </c>
      <c r="BN709">
        <v>34482143</v>
      </c>
      <c r="BO709" t="s">
        <v>180</v>
      </c>
      <c r="BP709" t="s">
        <v>74</v>
      </c>
      <c r="BQ709" t="s">
        <v>74</v>
      </c>
      <c r="BR709" t="s">
        <v>105</v>
      </c>
      <c r="BS709" t="s">
        <v>13993</v>
      </c>
      <c r="BT709" t="str">
        <f>HYPERLINK("https%3A%2F%2Fwww.webofscience.com%2Fwos%2Fwoscc%2Ffull-record%2FWOS:000701805000007","View Full Record in Web of Science")</f>
        <v>View Full Record in Web of Science</v>
      </c>
    </row>
    <row r="710" spans="1:72" x14ac:dyDescent="0.15">
      <c r="A710" t="s">
        <v>72</v>
      </c>
      <c r="B710" t="s">
        <v>13994</v>
      </c>
      <c r="C710" t="s">
        <v>74</v>
      </c>
      <c r="D710" t="s">
        <v>74</v>
      </c>
      <c r="E710" t="s">
        <v>74</v>
      </c>
      <c r="F710" t="s">
        <v>13995</v>
      </c>
      <c r="G710" t="s">
        <v>74</v>
      </c>
      <c r="H710" t="s">
        <v>74</v>
      </c>
      <c r="I710" t="s">
        <v>13996</v>
      </c>
      <c r="J710" t="s">
        <v>13997</v>
      </c>
      <c r="K710" t="s">
        <v>74</v>
      </c>
      <c r="L710" t="s">
        <v>74</v>
      </c>
      <c r="M710" t="s">
        <v>78</v>
      </c>
      <c r="N710" t="s">
        <v>79</v>
      </c>
      <c r="O710" t="s">
        <v>74</v>
      </c>
      <c r="P710" t="s">
        <v>74</v>
      </c>
      <c r="Q710" t="s">
        <v>74</v>
      </c>
      <c r="R710" t="s">
        <v>74</v>
      </c>
      <c r="S710" t="s">
        <v>74</v>
      </c>
      <c r="T710" t="s">
        <v>13998</v>
      </c>
      <c r="U710" t="s">
        <v>13999</v>
      </c>
      <c r="V710" t="s">
        <v>14000</v>
      </c>
      <c r="W710" t="s">
        <v>14001</v>
      </c>
      <c r="X710" t="s">
        <v>2557</v>
      </c>
      <c r="Y710" t="s">
        <v>14002</v>
      </c>
      <c r="Z710" t="s">
        <v>2559</v>
      </c>
      <c r="AA710" t="s">
        <v>74</v>
      </c>
      <c r="AB710" t="s">
        <v>74</v>
      </c>
      <c r="AC710" t="s">
        <v>74</v>
      </c>
      <c r="AD710" t="s">
        <v>74</v>
      </c>
      <c r="AE710" t="s">
        <v>74</v>
      </c>
      <c r="AF710" t="s">
        <v>74</v>
      </c>
      <c r="AG710">
        <v>40</v>
      </c>
      <c r="AH710">
        <v>2</v>
      </c>
      <c r="AI710">
        <v>2</v>
      </c>
      <c r="AJ710">
        <v>0</v>
      </c>
      <c r="AK710">
        <v>2</v>
      </c>
      <c r="AL710" t="s">
        <v>198</v>
      </c>
      <c r="AM710" t="s">
        <v>199</v>
      </c>
      <c r="AN710" t="s">
        <v>200</v>
      </c>
      <c r="AO710" t="s">
        <v>14003</v>
      </c>
      <c r="AP710" t="s">
        <v>14004</v>
      </c>
      <c r="AQ710" t="s">
        <v>74</v>
      </c>
      <c r="AR710" t="s">
        <v>14005</v>
      </c>
      <c r="AS710" t="s">
        <v>14006</v>
      </c>
      <c r="AT710" t="s">
        <v>7421</v>
      </c>
      <c r="AU710">
        <v>2022</v>
      </c>
      <c r="AV710">
        <v>52</v>
      </c>
      <c r="AW710">
        <v>5</v>
      </c>
      <c r="AX710" t="s">
        <v>74</v>
      </c>
      <c r="AY710" t="s">
        <v>74</v>
      </c>
      <c r="AZ710" t="s">
        <v>74</v>
      </c>
      <c r="BA710" t="s">
        <v>74</v>
      </c>
      <c r="BB710">
        <v>599</v>
      </c>
      <c r="BC710">
        <v>605</v>
      </c>
      <c r="BD710" t="s">
        <v>74</v>
      </c>
      <c r="BE710" t="s">
        <v>14007</v>
      </c>
      <c r="BF710" t="str">
        <f>HYPERLINK("http://dx.doi.org/10.1080/03036758.2021.1973517","http://dx.doi.org/10.1080/03036758.2021.1973517")</f>
        <v>http://dx.doi.org/10.1080/03036758.2021.1973517</v>
      </c>
      <c r="BG710" t="s">
        <v>74</v>
      </c>
      <c r="BH710" t="s">
        <v>11189</v>
      </c>
      <c r="BI710">
        <v>7</v>
      </c>
      <c r="BJ710" t="s">
        <v>126</v>
      </c>
      <c r="BK710" t="s">
        <v>101</v>
      </c>
      <c r="BL710" t="s">
        <v>127</v>
      </c>
      <c r="BM710" t="s">
        <v>14008</v>
      </c>
      <c r="BN710" t="s">
        <v>74</v>
      </c>
      <c r="BO710" t="s">
        <v>74</v>
      </c>
      <c r="BP710" t="s">
        <v>74</v>
      </c>
      <c r="BQ710" t="s">
        <v>74</v>
      </c>
      <c r="BR710" t="s">
        <v>105</v>
      </c>
      <c r="BS710" t="s">
        <v>14009</v>
      </c>
      <c r="BT710" t="str">
        <f>HYPERLINK("https%3A%2F%2Fwww.webofscience.com%2Fwos%2Fwoscc%2Ffull-record%2FWOS:000695403400001","View Full Record in Web of Science")</f>
        <v>View Full Record in Web of Science</v>
      </c>
    </row>
    <row r="711" spans="1:72" x14ac:dyDescent="0.15">
      <c r="A711" t="s">
        <v>72</v>
      </c>
      <c r="B711" t="s">
        <v>14010</v>
      </c>
      <c r="C711" t="s">
        <v>74</v>
      </c>
      <c r="D711" t="s">
        <v>74</v>
      </c>
      <c r="E711" t="s">
        <v>74</v>
      </c>
      <c r="F711" t="s">
        <v>14011</v>
      </c>
      <c r="G711" t="s">
        <v>74</v>
      </c>
      <c r="H711" t="s">
        <v>74</v>
      </c>
      <c r="I711" t="s">
        <v>14012</v>
      </c>
      <c r="J711" t="s">
        <v>6339</v>
      </c>
      <c r="K711" t="s">
        <v>74</v>
      </c>
      <c r="L711" t="s">
        <v>74</v>
      </c>
      <c r="M711" t="s">
        <v>78</v>
      </c>
      <c r="N711" t="s">
        <v>79</v>
      </c>
      <c r="O711" t="s">
        <v>74</v>
      </c>
      <c r="P711" t="s">
        <v>74</v>
      </c>
      <c r="Q711" t="s">
        <v>74</v>
      </c>
      <c r="R711" t="s">
        <v>74</v>
      </c>
      <c r="S711" t="s">
        <v>74</v>
      </c>
      <c r="T711" t="s">
        <v>14013</v>
      </c>
      <c r="U711" t="s">
        <v>14014</v>
      </c>
      <c r="V711" t="s">
        <v>14015</v>
      </c>
      <c r="W711" t="s">
        <v>14016</v>
      </c>
      <c r="X711" t="s">
        <v>14017</v>
      </c>
      <c r="Y711" t="s">
        <v>14018</v>
      </c>
      <c r="Z711" t="s">
        <v>14019</v>
      </c>
      <c r="AA711" t="s">
        <v>74</v>
      </c>
      <c r="AB711" t="s">
        <v>14020</v>
      </c>
      <c r="AC711" t="s">
        <v>14021</v>
      </c>
      <c r="AD711" t="s">
        <v>14022</v>
      </c>
      <c r="AE711" t="s">
        <v>14023</v>
      </c>
      <c r="AF711" t="s">
        <v>74</v>
      </c>
      <c r="AG711">
        <v>59</v>
      </c>
      <c r="AH711">
        <v>20</v>
      </c>
      <c r="AI711">
        <v>24</v>
      </c>
      <c r="AJ711">
        <v>1</v>
      </c>
      <c r="AK711">
        <v>16</v>
      </c>
      <c r="AL711" t="s">
        <v>6350</v>
      </c>
      <c r="AM711" t="s">
        <v>6351</v>
      </c>
      <c r="AN711" t="s">
        <v>6352</v>
      </c>
      <c r="AO711" t="s">
        <v>6353</v>
      </c>
      <c r="AP711" t="s">
        <v>6354</v>
      </c>
      <c r="AQ711" t="s">
        <v>74</v>
      </c>
      <c r="AR711" t="s">
        <v>6355</v>
      </c>
      <c r="AS711" t="s">
        <v>6356</v>
      </c>
      <c r="AT711" t="s">
        <v>14024</v>
      </c>
      <c r="AU711">
        <v>2021</v>
      </c>
      <c r="AV711">
        <v>673</v>
      </c>
      <c r="AW711" t="s">
        <v>74</v>
      </c>
      <c r="AX711" t="s">
        <v>74</v>
      </c>
      <c r="AY711" t="s">
        <v>74</v>
      </c>
      <c r="AZ711" t="s">
        <v>74</v>
      </c>
      <c r="BA711" t="s">
        <v>74</v>
      </c>
      <c r="BB711">
        <v>193</v>
      </c>
      <c r="BC711">
        <v>210</v>
      </c>
      <c r="BD711" t="s">
        <v>74</v>
      </c>
      <c r="BE711" t="s">
        <v>14025</v>
      </c>
      <c r="BF711" t="str">
        <f>HYPERLINK("http://dx.doi.org/10.3354/meps13814","http://dx.doi.org/10.3354/meps13814")</f>
        <v>http://dx.doi.org/10.3354/meps13814</v>
      </c>
      <c r="BG711" t="s">
        <v>74</v>
      </c>
      <c r="BH711" t="s">
        <v>74</v>
      </c>
      <c r="BI711">
        <v>18</v>
      </c>
      <c r="BJ711" t="s">
        <v>6358</v>
      </c>
      <c r="BK711" t="s">
        <v>101</v>
      </c>
      <c r="BL711" t="s">
        <v>6359</v>
      </c>
      <c r="BM711" t="s">
        <v>14026</v>
      </c>
      <c r="BN711" t="s">
        <v>74</v>
      </c>
      <c r="BO711" t="s">
        <v>1471</v>
      </c>
      <c r="BP711" t="s">
        <v>74</v>
      </c>
      <c r="BQ711" t="s">
        <v>74</v>
      </c>
      <c r="BR711" t="s">
        <v>105</v>
      </c>
      <c r="BS711" t="s">
        <v>14027</v>
      </c>
      <c r="BT711" t="str">
        <f>HYPERLINK("https%3A%2F%2Fwww.webofscience.com%2Fwos%2Fwoscc%2Ffull-record%2FWOS:000693696300014","View Full Record in Web of Science")</f>
        <v>View Full Record in Web of Science</v>
      </c>
    </row>
    <row r="712" spans="1:72" x14ac:dyDescent="0.15">
      <c r="A712" t="s">
        <v>72</v>
      </c>
      <c r="B712" t="s">
        <v>14028</v>
      </c>
      <c r="C712" t="s">
        <v>74</v>
      </c>
      <c r="D712" t="s">
        <v>74</v>
      </c>
      <c r="E712" t="s">
        <v>74</v>
      </c>
      <c r="F712" t="s">
        <v>14029</v>
      </c>
      <c r="G712" t="s">
        <v>74</v>
      </c>
      <c r="H712" t="s">
        <v>74</v>
      </c>
      <c r="I712" t="s">
        <v>14030</v>
      </c>
      <c r="J712" t="s">
        <v>6339</v>
      </c>
      <c r="K712" t="s">
        <v>74</v>
      </c>
      <c r="L712" t="s">
        <v>74</v>
      </c>
      <c r="M712" t="s">
        <v>78</v>
      </c>
      <c r="N712" t="s">
        <v>79</v>
      </c>
      <c r="O712" t="s">
        <v>74</v>
      </c>
      <c r="P712" t="s">
        <v>74</v>
      </c>
      <c r="Q712" t="s">
        <v>74</v>
      </c>
      <c r="R712" t="s">
        <v>74</v>
      </c>
      <c r="S712" t="s">
        <v>74</v>
      </c>
      <c r="T712" t="s">
        <v>14031</v>
      </c>
      <c r="U712" t="s">
        <v>14032</v>
      </c>
      <c r="V712" t="s">
        <v>14033</v>
      </c>
      <c r="W712" t="s">
        <v>14034</v>
      </c>
      <c r="X712" t="s">
        <v>14035</v>
      </c>
      <c r="Y712" t="s">
        <v>14036</v>
      </c>
      <c r="Z712" t="s">
        <v>14037</v>
      </c>
      <c r="AA712" t="s">
        <v>14038</v>
      </c>
      <c r="AB712" t="s">
        <v>14039</v>
      </c>
      <c r="AC712" t="s">
        <v>14040</v>
      </c>
      <c r="AD712" t="s">
        <v>14041</v>
      </c>
      <c r="AE712" t="s">
        <v>14042</v>
      </c>
      <c r="AF712" t="s">
        <v>74</v>
      </c>
      <c r="AG712">
        <v>100</v>
      </c>
      <c r="AH712">
        <v>2</v>
      </c>
      <c r="AI712">
        <v>2</v>
      </c>
      <c r="AJ712">
        <v>4</v>
      </c>
      <c r="AK712">
        <v>36</v>
      </c>
      <c r="AL712" t="s">
        <v>6350</v>
      </c>
      <c r="AM712" t="s">
        <v>6351</v>
      </c>
      <c r="AN712" t="s">
        <v>6352</v>
      </c>
      <c r="AO712" t="s">
        <v>6353</v>
      </c>
      <c r="AP712" t="s">
        <v>6354</v>
      </c>
      <c r="AQ712" t="s">
        <v>74</v>
      </c>
      <c r="AR712" t="s">
        <v>6355</v>
      </c>
      <c r="AS712" t="s">
        <v>6356</v>
      </c>
      <c r="AT712" t="s">
        <v>14024</v>
      </c>
      <c r="AU712">
        <v>2021</v>
      </c>
      <c r="AV712">
        <v>673</v>
      </c>
      <c r="AW712" t="s">
        <v>74</v>
      </c>
      <c r="AX712" t="s">
        <v>74</v>
      </c>
      <c r="AY712" t="s">
        <v>74</v>
      </c>
      <c r="AZ712" t="s">
        <v>74</v>
      </c>
      <c r="BA712" t="s">
        <v>74</v>
      </c>
      <c r="BB712">
        <v>211</v>
      </c>
      <c r="BC712">
        <v>227</v>
      </c>
      <c r="BD712" t="s">
        <v>74</v>
      </c>
      <c r="BE712" t="s">
        <v>14043</v>
      </c>
      <c r="BF712" t="str">
        <f>HYPERLINK("http://dx.doi.org/10.3354/meps13787","http://dx.doi.org/10.3354/meps13787")</f>
        <v>http://dx.doi.org/10.3354/meps13787</v>
      </c>
      <c r="BG712" t="s">
        <v>74</v>
      </c>
      <c r="BH712" t="s">
        <v>74</v>
      </c>
      <c r="BI712">
        <v>17</v>
      </c>
      <c r="BJ712" t="s">
        <v>6358</v>
      </c>
      <c r="BK712" t="s">
        <v>101</v>
      </c>
      <c r="BL712" t="s">
        <v>6359</v>
      </c>
      <c r="BM712" t="s">
        <v>14026</v>
      </c>
      <c r="BN712" t="s">
        <v>74</v>
      </c>
      <c r="BO712" t="s">
        <v>419</v>
      </c>
      <c r="BP712" t="s">
        <v>74</v>
      </c>
      <c r="BQ712" t="s">
        <v>74</v>
      </c>
      <c r="BR712" t="s">
        <v>105</v>
      </c>
      <c r="BS712" t="s">
        <v>14044</v>
      </c>
      <c r="BT712" t="str">
        <f>HYPERLINK("https%3A%2F%2Fwww.webofscience.com%2Fwos%2Fwoscc%2Ffull-record%2FWOS:000693696300015","View Full Record in Web of Science")</f>
        <v>View Full Record in Web of Science</v>
      </c>
    </row>
    <row r="713" spans="1:72" x14ac:dyDescent="0.15">
      <c r="A713" t="s">
        <v>72</v>
      </c>
      <c r="B713" t="s">
        <v>14045</v>
      </c>
      <c r="C713" t="s">
        <v>74</v>
      </c>
      <c r="D713" t="s">
        <v>74</v>
      </c>
      <c r="E713" t="s">
        <v>74</v>
      </c>
      <c r="F713" t="s">
        <v>14046</v>
      </c>
      <c r="G713" t="s">
        <v>74</v>
      </c>
      <c r="H713" t="s">
        <v>74</v>
      </c>
      <c r="I713" t="s">
        <v>14047</v>
      </c>
      <c r="J713" t="s">
        <v>6339</v>
      </c>
      <c r="K713" t="s">
        <v>74</v>
      </c>
      <c r="L713" t="s">
        <v>74</v>
      </c>
      <c r="M713" t="s">
        <v>78</v>
      </c>
      <c r="N713" t="s">
        <v>79</v>
      </c>
      <c r="O713" t="s">
        <v>74</v>
      </c>
      <c r="P713" t="s">
        <v>74</v>
      </c>
      <c r="Q713" t="s">
        <v>74</v>
      </c>
      <c r="R713" t="s">
        <v>74</v>
      </c>
      <c r="S713" t="s">
        <v>74</v>
      </c>
      <c r="T713" t="s">
        <v>14048</v>
      </c>
      <c r="U713" t="s">
        <v>14049</v>
      </c>
      <c r="V713" t="s">
        <v>14050</v>
      </c>
      <c r="W713" t="s">
        <v>14051</v>
      </c>
      <c r="X713" t="s">
        <v>14052</v>
      </c>
      <c r="Y713" t="s">
        <v>14053</v>
      </c>
      <c r="Z713" t="s">
        <v>14054</v>
      </c>
      <c r="AA713" t="s">
        <v>14055</v>
      </c>
      <c r="AB713" t="s">
        <v>14056</v>
      </c>
      <c r="AC713" t="s">
        <v>14057</v>
      </c>
      <c r="AD713" t="s">
        <v>14058</v>
      </c>
      <c r="AE713" t="s">
        <v>14059</v>
      </c>
      <c r="AF713" t="s">
        <v>74</v>
      </c>
      <c r="AG713">
        <v>55</v>
      </c>
      <c r="AH713">
        <v>0</v>
      </c>
      <c r="AI713">
        <v>1</v>
      </c>
      <c r="AJ713">
        <v>0</v>
      </c>
      <c r="AK713">
        <v>8</v>
      </c>
      <c r="AL713" t="s">
        <v>6350</v>
      </c>
      <c r="AM713" t="s">
        <v>6351</v>
      </c>
      <c r="AN713" t="s">
        <v>6352</v>
      </c>
      <c r="AO713" t="s">
        <v>6353</v>
      </c>
      <c r="AP713" t="s">
        <v>6354</v>
      </c>
      <c r="AQ713" t="s">
        <v>74</v>
      </c>
      <c r="AR713" t="s">
        <v>6355</v>
      </c>
      <c r="AS713" t="s">
        <v>6356</v>
      </c>
      <c r="AT713" t="s">
        <v>14024</v>
      </c>
      <c r="AU713">
        <v>2021</v>
      </c>
      <c r="AV713">
        <v>673</v>
      </c>
      <c r="AW713" t="s">
        <v>74</v>
      </c>
      <c r="AX713" t="s">
        <v>74</v>
      </c>
      <c r="AY713" t="s">
        <v>74</v>
      </c>
      <c r="AZ713" t="s">
        <v>74</v>
      </c>
      <c r="BA713" t="s">
        <v>74</v>
      </c>
      <c r="BB713">
        <v>229</v>
      </c>
      <c r="BC713">
        <v>243</v>
      </c>
      <c r="BD713" t="s">
        <v>74</v>
      </c>
      <c r="BE713" t="s">
        <v>14060</v>
      </c>
      <c r="BF713" t="str">
        <f>HYPERLINK("http://dx.doi.org/10.3354/meps13772","http://dx.doi.org/10.3354/meps13772")</f>
        <v>http://dx.doi.org/10.3354/meps13772</v>
      </c>
      <c r="BG713" t="s">
        <v>74</v>
      </c>
      <c r="BH713" t="s">
        <v>74</v>
      </c>
      <c r="BI713">
        <v>15</v>
      </c>
      <c r="BJ713" t="s">
        <v>6358</v>
      </c>
      <c r="BK713" t="s">
        <v>101</v>
      </c>
      <c r="BL713" t="s">
        <v>6359</v>
      </c>
      <c r="BM713" t="s">
        <v>14026</v>
      </c>
      <c r="BN713" t="s">
        <v>74</v>
      </c>
      <c r="BO713" t="s">
        <v>74</v>
      </c>
      <c r="BP713" t="s">
        <v>74</v>
      </c>
      <c r="BQ713" t="s">
        <v>74</v>
      </c>
      <c r="BR713" t="s">
        <v>105</v>
      </c>
      <c r="BS713" t="s">
        <v>14061</v>
      </c>
      <c r="BT713" t="str">
        <f>HYPERLINK("https%3A%2F%2Fwww.webofscience.com%2Fwos%2Fwoscc%2Ffull-record%2FWOS:000693696300016","View Full Record in Web of Science")</f>
        <v>View Full Record in Web of Science</v>
      </c>
    </row>
    <row r="714" spans="1:72" x14ac:dyDescent="0.15">
      <c r="A714" t="s">
        <v>72</v>
      </c>
      <c r="B714" t="s">
        <v>14062</v>
      </c>
      <c r="C714" t="s">
        <v>74</v>
      </c>
      <c r="D714" t="s">
        <v>74</v>
      </c>
      <c r="E714" t="s">
        <v>74</v>
      </c>
      <c r="F714" t="s">
        <v>14063</v>
      </c>
      <c r="G714" t="s">
        <v>74</v>
      </c>
      <c r="H714" t="s">
        <v>74</v>
      </c>
      <c r="I714" t="s">
        <v>14064</v>
      </c>
      <c r="J714" t="s">
        <v>2533</v>
      </c>
      <c r="K714" t="s">
        <v>74</v>
      </c>
      <c r="L714" t="s">
        <v>74</v>
      </c>
      <c r="M714" t="s">
        <v>78</v>
      </c>
      <c r="N714" t="s">
        <v>79</v>
      </c>
      <c r="O714" t="s">
        <v>74</v>
      </c>
      <c r="P714" t="s">
        <v>74</v>
      </c>
      <c r="Q714" t="s">
        <v>74</v>
      </c>
      <c r="R714" t="s">
        <v>74</v>
      </c>
      <c r="S714" t="s">
        <v>74</v>
      </c>
      <c r="T714" t="s">
        <v>74</v>
      </c>
      <c r="U714" t="s">
        <v>14065</v>
      </c>
      <c r="V714" t="s">
        <v>14066</v>
      </c>
      <c r="W714" t="s">
        <v>14067</v>
      </c>
      <c r="X714" t="s">
        <v>14068</v>
      </c>
      <c r="Y714" t="s">
        <v>14069</v>
      </c>
      <c r="Z714" t="s">
        <v>14070</v>
      </c>
      <c r="AA714" t="s">
        <v>14071</v>
      </c>
      <c r="AB714" t="s">
        <v>14072</v>
      </c>
      <c r="AC714" t="s">
        <v>14073</v>
      </c>
      <c r="AD714" t="s">
        <v>14074</v>
      </c>
      <c r="AE714" t="s">
        <v>14075</v>
      </c>
      <c r="AF714" t="s">
        <v>74</v>
      </c>
      <c r="AG714">
        <v>109</v>
      </c>
      <c r="AH714">
        <v>6</v>
      </c>
      <c r="AI714">
        <v>6</v>
      </c>
      <c r="AJ714">
        <v>0</v>
      </c>
      <c r="AK714">
        <v>3</v>
      </c>
      <c r="AL714" t="s">
        <v>572</v>
      </c>
      <c r="AM714" t="s">
        <v>573</v>
      </c>
      <c r="AN714" t="s">
        <v>574</v>
      </c>
      <c r="AO714" t="s">
        <v>2544</v>
      </c>
      <c r="AP714" t="s">
        <v>2545</v>
      </c>
      <c r="AQ714" t="s">
        <v>74</v>
      </c>
      <c r="AR714" t="s">
        <v>2546</v>
      </c>
      <c r="AS714" t="s">
        <v>2547</v>
      </c>
      <c r="AT714" t="s">
        <v>627</v>
      </c>
      <c r="AU714">
        <v>2021</v>
      </c>
      <c r="AV714">
        <v>56</v>
      </c>
      <c r="AW714">
        <v>9</v>
      </c>
      <c r="AX714" t="s">
        <v>74</v>
      </c>
      <c r="AY714" t="s">
        <v>74</v>
      </c>
      <c r="AZ714" t="s">
        <v>74</v>
      </c>
      <c r="BA714" t="s">
        <v>74</v>
      </c>
      <c r="BB714">
        <v>1708</v>
      </c>
      <c r="BC714">
        <v>1728</v>
      </c>
      <c r="BD714" t="s">
        <v>74</v>
      </c>
      <c r="BE714" t="s">
        <v>14076</v>
      </c>
      <c r="BF714" t="str">
        <f>HYPERLINK("http://dx.doi.org/10.1111/maps.13734","http://dx.doi.org/10.1111/maps.13734")</f>
        <v>http://dx.doi.org/10.1111/maps.13734</v>
      </c>
      <c r="BG714" t="s">
        <v>74</v>
      </c>
      <c r="BH714" t="s">
        <v>11189</v>
      </c>
      <c r="BI714">
        <v>21</v>
      </c>
      <c r="BJ714" t="s">
        <v>365</v>
      </c>
      <c r="BK714" t="s">
        <v>101</v>
      </c>
      <c r="BL714" t="s">
        <v>365</v>
      </c>
      <c r="BM714" t="s">
        <v>14077</v>
      </c>
      <c r="BN714" t="s">
        <v>74</v>
      </c>
      <c r="BO714" t="s">
        <v>74</v>
      </c>
      <c r="BP714" t="s">
        <v>74</v>
      </c>
      <c r="BQ714" t="s">
        <v>74</v>
      </c>
      <c r="BR714" t="s">
        <v>105</v>
      </c>
      <c r="BS714" t="s">
        <v>14078</v>
      </c>
      <c r="BT714" t="str">
        <f>HYPERLINK("https%3A%2F%2Fwww.webofscience.com%2Fwos%2Fwoscc%2Ffull-record%2FWOS:000693307300001","View Full Record in Web of Science")</f>
        <v>View Full Record in Web of Science</v>
      </c>
    </row>
    <row r="715" spans="1:72" x14ac:dyDescent="0.15">
      <c r="A715" t="s">
        <v>72</v>
      </c>
      <c r="B715" t="s">
        <v>14079</v>
      </c>
      <c r="C715" t="s">
        <v>74</v>
      </c>
      <c r="D715" t="s">
        <v>74</v>
      </c>
      <c r="E715" t="s">
        <v>74</v>
      </c>
      <c r="F715" t="s">
        <v>14080</v>
      </c>
      <c r="G715" t="s">
        <v>74</v>
      </c>
      <c r="H715" t="s">
        <v>74</v>
      </c>
      <c r="I715" t="s">
        <v>14081</v>
      </c>
      <c r="J715" t="s">
        <v>1058</v>
      </c>
      <c r="K715" t="s">
        <v>74</v>
      </c>
      <c r="L715" t="s">
        <v>74</v>
      </c>
      <c r="M715" t="s">
        <v>78</v>
      </c>
      <c r="N715" t="s">
        <v>79</v>
      </c>
      <c r="O715" t="s">
        <v>74</v>
      </c>
      <c r="P715" t="s">
        <v>74</v>
      </c>
      <c r="Q715" t="s">
        <v>74</v>
      </c>
      <c r="R715" t="s">
        <v>74</v>
      </c>
      <c r="S715" t="s">
        <v>74</v>
      </c>
      <c r="T715" t="s">
        <v>74</v>
      </c>
      <c r="U715" t="s">
        <v>14082</v>
      </c>
      <c r="V715" t="s">
        <v>14083</v>
      </c>
      <c r="W715" t="s">
        <v>14084</v>
      </c>
      <c r="X715" t="s">
        <v>14085</v>
      </c>
      <c r="Y715" t="s">
        <v>14086</v>
      </c>
      <c r="Z715" t="s">
        <v>14087</v>
      </c>
      <c r="AA715" t="s">
        <v>14088</v>
      </c>
      <c r="AB715" t="s">
        <v>14089</v>
      </c>
      <c r="AC715" t="s">
        <v>14090</v>
      </c>
      <c r="AD715" t="s">
        <v>14091</v>
      </c>
      <c r="AE715" t="s">
        <v>14092</v>
      </c>
      <c r="AF715" t="s">
        <v>74</v>
      </c>
      <c r="AG715">
        <v>28</v>
      </c>
      <c r="AH715">
        <v>2</v>
      </c>
      <c r="AI715">
        <v>2</v>
      </c>
      <c r="AJ715">
        <v>0</v>
      </c>
      <c r="AK715">
        <v>12</v>
      </c>
      <c r="AL715" t="s">
        <v>227</v>
      </c>
      <c r="AM715" t="s">
        <v>228</v>
      </c>
      <c r="AN715" t="s">
        <v>229</v>
      </c>
      <c r="AO715" t="s">
        <v>1065</v>
      </c>
      <c r="AP715" t="s">
        <v>1066</v>
      </c>
      <c r="AQ715" t="s">
        <v>74</v>
      </c>
      <c r="AR715" t="s">
        <v>1058</v>
      </c>
      <c r="AS715" t="s">
        <v>1067</v>
      </c>
      <c r="AT715" t="s">
        <v>14024</v>
      </c>
      <c r="AU715">
        <v>2021</v>
      </c>
      <c r="AV715">
        <v>15</v>
      </c>
      <c r="AW715">
        <v>9</v>
      </c>
      <c r="AX715" t="s">
        <v>74</v>
      </c>
      <c r="AY715" t="s">
        <v>74</v>
      </c>
      <c r="AZ715" t="s">
        <v>74</v>
      </c>
      <c r="BA715" t="s">
        <v>74</v>
      </c>
      <c r="BB715">
        <v>4201</v>
      </c>
      <c r="BC715">
        <v>4206</v>
      </c>
      <c r="BD715" t="s">
        <v>74</v>
      </c>
      <c r="BE715" t="s">
        <v>14093</v>
      </c>
      <c r="BF715" t="str">
        <f>HYPERLINK("http://dx.doi.org/10.5194/tc-15-4201-2021","http://dx.doi.org/10.5194/tc-15-4201-2021")</f>
        <v>http://dx.doi.org/10.5194/tc-15-4201-2021</v>
      </c>
      <c r="BG715" t="s">
        <v>74</v>
      </c>
      <c r="BH715" t="s">
        <v>74</v>
      </c>
      <c r="BI715">
        <v>6</v>
      </c>
      <c r="BJ715" t="s">
        <v>340</v>
      </c>
      <c r="BK715" t="s">
        <v>101</v>
      </c>
      <c r="BL715" t="s">
        <v>341</v>
      </c>
      <c r="BM715" t="s">
        <v>14094</v>
      </c>
      <c r="BN715" t="s">
        <v>74</v>
      </c>
      <c r="BO715" t="s">
        <v>3985</v>
      </c>
      <c r="BP715" t="s">
        <v>74</v>
      </c>
      <c r="BQ715" t="s">
        <v>74</v>
      </c>
      <c r="BR715" t="s">
        <v>105</v>
      </c>
      <c r="BS715" t="s">
        <v>14095</v>
      </c>
      <c r="BT715" t="str">
        <f>HYPERLINK("https%3A%2F%2Fwww.webofscience.com%2Fwos%2Fwoscc%2Ffull-record%2FWOS:000692955000001","View Full Record in Web of Science")</f>
        <v>View Full Record in Web of Science</v>
      </c>
    </row>
    <row r="716" spans="1:72" x14ac:dyDescent="0.15">
      <c r="A716" t="s">
        <v>72</v>
      </c>
      <c r="B716" t="s">
        <v>14096</v>
      </c>
      <c r="C716" t="s">
        <v>74</v>
      </c>
      <c r="D716" t="s">
        <v>74</v>
      </c>
      <c r="E716" t="s">
        <v>74</v>
      </c>
      <c r="F716" t="s">
        <v>14097</v>
      </c>
      <c r="G716" t="s">
        <v>74</v>
      </c>
      <c r="H716" t="s">
        <v>74</v>
      </c>
      <c r="I716" t="s">
        <v>14098</v>
      </c>
      <c r="J716" t="s">
        <v>3142</v>
      </c>
      <c r="K716" t="s">
        <v>74</v>
      </c>
      <c r="L716" t="s">
        <v>74</v>
      </c>
      <c r="M716" t="s">
        <v>78</v>
      </c>
      <c r="N716" t="s">
        <v>79</v>
      </c>
      <c r="O716" t="s">
        <v>74</v>
      </c>
      <c r="P716" t="s">
        <v>74</v>
      </c>
      <c r="Q716" t="s">
        <v>74</v>
      </c>
      <c r="R716" t="s">
        <v>74</v>
      </c>
      <c r="S716" t="s">
        <v>74</v>
      </c>
      <c r="T716" t="s">
        <v>14099</v>
      </c>
      <c r="U716" t="s">
        <v>14100</v>
      </c>
      <c r="V716" t="s">
        <v>14101</v>
      </c>
      <c r="W716" t="s">
        <v>14102</v>
      </c>
      <c r="X716" t="s">
        <v>14103</v>
      </c>
      <c r="Y716" t="s">
        <v>14104</v>
      </c>
      <c r="Z716" t="s">
        <v>14105</v>
      </c>
      <c r="AA716" t="s">
        <v>74</v>
      </c>
      <c r="AB716" t="s">
        <v>74</v>
      </c>
      <c r="AC716" t="s">
        <v>14106</v>
      </c>
      <c r="AD716" t="s">
        <v>14107</v>
      </c>
      <c r="AE716" t="s">
        <v>14108</v>
      </c>
      <c r="AF716" t="s">
        <v>74</v>
      </c>
      <c r="AG716">
        <v>41</v>
      </c>
      <c r="AH716">
        <v>0</v>
      </c>
      <c r="AI716">
        <v>0</v>
      </c>
      <c r="AJ716">
        <v>0</v>
      </c>
      <c r="AK716">
        <v>0</v>
      </c>
      <c r="AL716" t="s">
        <v>572</v>
      </c>
      <c r="AM716" t="s">
        <v>573</v>
      </c>
      <c r="AN716" t="s">
        <v>574</v>
      </c>
      <c r="AO716" t="s">
        <v>3152</v>
      </c>
      <c r="AP716" t="s">
        <v>3153</v>
      </c>
      <c r="AQ716" t="s">
        <v>74</v>
      </c>
      <c r="AR716" t="s">
        <v>3142</v>
      </c>
      <c r="AS716" t="s">
        <v>3154</v>
      </c>
      <c r="AT716" t="s">
        <v>525</v>
      </c>
      <c r="AU716">
        <v>2022</v>
      </c>
      <c r="AV716">
        <v>33</v>
      </c>
      <c r="AW716">
        <v>1</v>
      </c>
      <c r="AX716" t="s">
        <v>74</v>
      </c>
      <c r="AY716" t="s">
        <v>74</v>
      </c>
      <c r="AZ716" t="s">
        <v>74</v>
      </c>
      <c r="BA716" t="s">
        <v>74</v>
      </c>
      <c r="BB716" t="s">
        <v>74</v>
      </c>
      <c r="BC716" t="s">
        <v>74</v>
      </c>
      <c r="BD716" t="s">
        <v>14109</v>
      </c>
      <c r="BE716" t="s">
        <v>14110</v>
      </c>
      <c r="BF716" t="str">
        <f>HYPERLINK("http://dx.doi.org/10.1002/env.2703","http://dx.doi.org/10.1002/env.2703")</f>
        <v>http://dx.doi.org/10.1002/env.2703</v>
      </c>
      <c r="BG716" t="s">
        <v>74</v>
      </c>
      <c r="BH716" t="s">
        <v>11189</v>
      </c>
      <c r="BI716">
        <v>19</v>
      </c>
      <c r="BJ716" t="s">
        <v>3157</v>
      </c>
      <c r="BK716" t="s">
        <v>101</v>
      </c>
      <c r="BL716" t="s">
        <v>3158</v>
      </c>
      <c r="BM716" t="s">
        <v>14111</v>
      </c>
      <c r="BN716" t="s">
        <v>74</v>
      </c>
      <c r="BO716" t="s">
        <v>74</v>
      </c>
      <c r="BP716" t="s">
        <v>74</v>
      </c>
      <c r="BQ716" t="s">
        <v>74</v>
      </c>
      <c r="BR716" t="s">
        <v>105</v>
      </c>
      <c r="BS716" t="s">
        <v>14112</v>
      </c>
      <c r="BT716" t="str">
        <f>HYPERLINK("https%3A%2F%2Fwww.webofscience.com%2Fwos%2Fwoscc%2Ffull-record%2FWOS:000692030200001","View Full Record in Web of Science")</f>
        <v>View Full Record in Web of Science</v>
      </c>
    </row>
    <row r="717" spans="1:72" x14ac:dyDescent="0.15">
      <c r="A717" t="s">
        <v>72</v>
      </c>
      <c r="B717" t="s">
        <v>14113</v>
      </c>
      <c r="C717" t="s">
        <v>74</v>
      </c>
      <c r="D717" t="s">
        <v>74</v>
      </c>
      <c r="E717" t="s">
        <v>74</v>
      </c>
      <c r="F717" t="s">
        <v>14114</v>
      </c>
      <c r="G717" t="s">
        <v>74</v>
      </c>
      <c r="H717" t="s">
        <v>74</v>
      </c>
      <c r="I717" t="s">
        <v>14115</v>
      </c>
      <c r="J717" t="s">
        <v>14116</v>
      </c>
      <c r="K717" t="s">
        <v>74</v>
      </c>
      <c r="L717" t="s">
        <v>74</v>
      </c>
      <c r="M717" t="s">
        <v>78</v>
      </c>
      <c r="N717" t="s">
        <v>79</v>
      </c>
      <c r="O717" t="s">
        <v>74</v>
      </c>
      <c r="P717" t="s">
        <v>74</v>
      </c>
      <c r="Q717" t="s">
        <v>74</v>
      </c>
      <c r="R717" t="s">
        <v>74</v>
      </c>
      <c r="S717" t="s">
        <v>74</v>
      </c>
      <c r="T717" t="s">
        <v>14117</v>
      </c>
      <c r="U717" t="s">
        <v>14118</v>
      </c>
      <c r="V717" t="s">
        <v>14119</v>
      </c>
      <c r="W717" t="s">
        <v>14120</v>
      </c>
      <c r="X717" t="s">
        <v>14121</v>
      </c>
      <c r="Y717" t="s">
        <v>14122</v>
      </c>
      <c r="Z717" t="s">
        <v>14123</v>
      </c>
      <c r="AA717" t="s">
        <v>14124</v>
      </c>
      <c r="AB717" t="s">
        <v>14125</v>
      </c>
      <c r="AC717" t="s">
        <v>14126</v>
      </c>
      <c r="AD717" t="s">
        <v>14127</v>
      </c>
      <c r="AE717" t="s">
        <v>14128</v>
      </c>
      <c r="AF717" t="s">
        <v>74</v>
      </c>
      <c r="AG717">
        <v>23</v>
      </c>
      <c r="AH717">
        <v>17</v>
      </c>
      <c r="AI717">
        <v>18</v>
      </c>
      <c r="AJ717">
        <v>0</v>
      </c>
      <c r="AK717">
        <v>2</v>
      </c>
      <c r="AL717" t="s">
        <v>666</v>
      </c>
      <c r="AM717" t="s">
        <v>994</v>
      </c>
      <c r="AN717" t="s">
        <v>995</v>
      </c>
      <c r="AO717" t="s">
        <v>14129</v>
      </c>
      <c r="AP717" t="s">
        <v>14130</v>
      </c>
      <c r="AQ717" t="s">
        <v>74</v>
      </c>
      <c r="AR717" t="s">
        <v>14131</v>
      </c>
      <c r="AS717" t="s">
        <v>14132</v>
      </c>
      <c r="AT717" t="s">
        <v>627</v>
      </c>
      <c r="AU717">
        <v>2021</v>
      </c>
      <c r="AV717">
        <v>62</v>
      </c>
      <c r="AW717" t="s">
        <v>14133</v>
      </c>
      <c r="AX717" t="s">
        <v>74</v>
      </c>
      <c r="AY717" t="s">
        <v>74</v>
      </c>
      <c r="AZ717" t="s">
        <v>74</v>
      </c>
      <c r="BA717" t="s">
        <v>74</v>
      </c>
      <c r="BB717">
        <v>203</v>
      </c>
      <c r="BC717">
        <v>211</v>
      </c>
      <c r="BD717" t="s">
        <v>74</v>
      </c>
      <c r="BE717" t="s">
        <v>14134</v>
      </c>
      <c r="BF717" t="str">
        <f>HYPERLINK("http://dx.doi.org/10.1017/aog.2020.82","http://dx.doi.org/10.1017/aog.2020.82")</f>
        <v>http://dx.doi.org/10.1017/aog.2020.82</v>
      </c>
      <c r="BG717" t="s">
        <v>74</v>
      </c>
      <c r="BH717" t="s">
        <v>74</v>
      </c>
      <c r="BI717">
        <v>9</v>
      </c>
      <c r="BJ717" t="s">
        <v>340</v>
      </c>
      <c r="BK717" t="s">
        <v>101</v>
      </c>
      <c r="BL717" t="s">
        <v>341</v>
      </c>
      <c r="BM717" t="s">
        <v>14135</v>
      </c>
      <c r="BN717" t="s">
        <v>74</v>
      </c>
      <c r="BO717" t="s">
        <v>7854</v>
      </c>
      <c r="BP717" t="s">
        <v>74</v>
      </c>
      <c r="BQ717" t="s">
        <v>74</v>
      </c>
      <c r="BR717" t="s">
        <v>105</v>
      </c>
      <c r="BS717" t="s">
        <v>14136</v>
      </c>
      <c r="BT717" t="str">
        <f>HYPERLINK("https%3A%2F%2Fwww.webofscience.com%2Fwos%2Fwoscc%2Ffull-record%2FWOS:000756851600003","View Full Record in Web of Science")</f>
        <v>View Full Record in Web of Science</v>
      </c>
    </row>
    <row r="718" spans="1:72" x14ac:dyDescent="0.15">
      <c r="A718" t="s">
        <v>72</v>
      </c>
      <c r="B718" t="s">
        <v>14137</v>
      </c>
      <c r="C718" t="s">
        <v>74</v>
      </c>
      <c r="D718" t="s">
        <v>74</v>
      </c>
      <c r="E718" t="s">
        <v>74</v>
      </c>
      <c r="F718" t="s">
        <v>14138</v>
      </c>
      <c r="G718" t="s">
        <v>74</v>
      </c>
      <c r="H718" t="s">
        <v>74</v>
      </c>
      <c r="I718" t="s">
        <v>14139</v>
      </c>
      <c r="J718" t="s">
        <v>14140</v>
      </c>
      <c r="K718" t="s">
        <v>74</v>
      </c>
      <c r="L718" t="s">
        <v>74</v>
      </c>
      <c r="M718" t="s">
        <v>78</v>
      </c>
      <c r="N718" t="s">
        <v>79</v>
      </c>
      <c r="O718" t="s">
        <v>74</v>
      </c>
      <c r="P718" t="s">
        <v>74</v>
      </c>
      <c r="Q718" t="s">
        <v>74</v>
      </c>
      <c r="R718" t="s">
        <v>74</v>
      </c>
      <c r="S718" t="s">
        <v>74</v>
      </c>
      <c r="T718" t="s">
        <v>14141</v>
      </c>
      <c r="U718" t="s">
        <v>74</v>
      </c>
      <c r="V718" t="s">
        <v>14142</v>
      </c>
      <c r="W718" t="s">
        <v>14143</v>
      </c>
      <c r="X718" t="s">
        <v>14144</v>
      </c>
      <c r="Y718" t="s">
        <v>14145</v>
      </c>
      <c r="Z718" t="s">
        <v>14146</v>
      </c>
      <c r="AA718" t="s">
        <v>74</v>
      </c>
      <c r="AB718" t="s">
        <v>74</v>
      </c>
      <c r="AC718" t="s">
        <v>74</v>
      </c>
      <c r="AD718" t="s">
        <v>74</v>
      </c>
      <c r="AE718" t="s">
        <v>74</v>
      </c>
      <c r="AF718" t="s">
        <v>74</v>
      </c>
      <c r="AG718">
        <v>18</v>
      </c>
      <c r="AH718">
        <v>2</v>
      </c>
      <c r="AI718">
        <v>2</v>
      </c>
      <c r="AJ718">
        <v>0</v>
      </c>
      <c r="AK718">
        <v>0</v>
      </c>
      <c r="AL718" t="s">
        <v>666</v>
      </c>
      <c r="AM718" t="s">
        <v>994</v>
      </c>
      <c r="AN718" t="s">
        <v>995</v>
      </c>
      <c r="AO718" t="s">
        <v>14147</v>
      </c>
      <c r="AP718" t="s">
        <v>14148</v>
      </c>
      <c r="AQ718" t="s">
        <v>74</v>
      </c>
      <c r="AR718" t="s">
        <v>14149</v>
      </c>
      <c r="AS718" t="s">
        <v>14150</v>
      </c>
      <c r="AT718" t="s">
        <v>627</v>
      </c>
      <c r="AU718">
        <v>2021</v>
      </c>
      <c r="AV718">
        <v>112</v>
      </c>
      <c r="AW718" t="s">
        <v>12340</v>
      </c>
      <c r="AX718" t="s">
        <v>74</v>
      </c>
      <c r="AY718" t="s">
        <v>74</v>
      </c>
      <c r="AZ718" t="s">
        <v>526</v>
      </c>
      <c r="BA718" t="s">
        <v>74</v>
      </c>
      <c r="BB718">
        <v>245</v>
      </c>
      <c r="BC718">
        <v>252</v>
      </c>
      <c r="BD718" t="s">
        <v>14151</v>
      </c>
      <c r="BE718" t="s">
        <v>14152</v>
      </c>
      <c r="BF718" t="str">
        <f>HYPERLINK("http://dx.doi.org/10.1017/S1755691021000050","http://dx.doi.org/10.1017/S1755691021000050")</f>
        <v>http://dx.doi.org/10.1017/S1755691021000050</v>
      </c>
      <c r="BG718" t="s">
        <v>74</v>
      </c>
      <c r="BH718" t="s">
        <v>74</v>
      </c>
      <c r="BI718">
        <v>8</v>
      </c>
      <c r="BJ718" t="s">
        <v>14153</v>
      </c>
      <c r="BK718" t="s">
        <v>101</v>
      </c>
      <c r="BL718" t="s">
        <v>14154</v>
      </c>
      <c r="BM718" t="s">
        <v>14155</v>
      </c>
      <c r="BN718" t="s">
        <v>74</v>
      </c>
      <c r="BO718" t="s">
        <v>74</v>
      </c>
      <c r="BP718" t="s">
        <v>74</v>
      </c>
      <c r="BQ718" t="s">
        <v>74</v>
      </c>
      <c r="BR718" t="s">
        <v>105</v>
      </c>
      <c r="BS718" t="s">
        <v>14156</v>
      </c>
      <c r="BT718" t="str">
        <f>HYPERLINK("https%3A%2F%2Fwww.webofscience.com%2Fwos%2Fwoscc%2Ffull-record%2FWOS:000796288500011","View Full Record in Web of Science")</f>
        <v>View Full Record in Web of Science</v>
      </c>
    </row>
    <row r="719" spans="1:72" x14ac:dyDescent="0.15">
      <c r="A719" t="s">
        <v>72</v>
      </c>
      <c r="B719" t="s">
        <v>14157</v>
      </c>
      <c r="C719" t="s">
        <v>74</v>
      </c>
      <c r="D719" t="s">
        <v>74</v>
      </c>
      <c r="E719" t="s">
        <v>74</v>
      </c>
      <c r="F719" t="s">
        <v>14158</v>
      </c>
      <c r="G719" t="s">
        <v>74</v>
      </c>
      <c r="H719" t="s">
        <v>74</v>
      </c>
      <c r="I719" t="s">
        <v>14159</v>
      </c>
      <c r="J719" t="s">
        <v>14140</v>
      </c>
      <c r="K719" t="s">
        <v>74</v>
      </c>
      <c r="L719" t="s">
        <v>74</v>
      </c>
      <c r="M719" t="s">
        <v>78</v>
      </c>
      <c r="N719" t="s">
        <v>79</v>
      </c>
      <c r="O719" t="s">
        <v>74</v>
      </c>
      <c r="P719" t="s">
        <v>74</v>
      </c>
      <c r="Q719" t="s">
        <v>74</v>
      </c>
      <c r="R719" t="s">
        <v>74</v>
      </c>
      <c r="S719" t="s">
        <v>74</v>
      </c>
      <c r="T719" t="s">
        <v>14160</v>
      </c>
      <c r="U719" t="s">
        <v>14161</v>
      </c>
      <c r="V719" t="s">
        <v>14162</v>
      </c>
      <c r="W719" t="s">
        <v>14163</v>
      </c>
      <c r="X719" t="s">
        <v>14164</v>
      </c>
      <c r="Y719" t="s">
        <v>14165</v>
      </c>
      <c r="Z719" t="s">
        <v>14166</v>
      </c>
      <c r="AA719" t="s">
        <v>14167</v>
      </c>
      <c r="AB719" t="s">
        <v>14168</v>
      </c>
      <c r="AC719" t="s">
        <v>74</v>
      </c>
      <c r="AD719" t="s">
        <v>74</v>
      </c>
      <c r="AE719" t="s">
        <v>74</v>
      </c>
      <c r="AF719" t="s">
        <v>74</v>
      </c>
      <c r="AG719">
        <v>130</v>
      </c>
      <c r="AH719">
        <v>1</v>
      </c>
      <c r="AI719">
        <v>1</v>
      </c>
      <c r="AJ719">
        <v>1</v>
      </c>
      <c r="AK719">
        <v>11</v>
      </c>
      <c r="AL719" t="s">
        <v>666</v>
      </c>
      <c r="AM719" t="s">
        <v>994</v>
      </c>
      <c r="AN719" t="s">
        <v>995</v>
      </c>
      <c r="AO719" t="s">
        <v>14147</v>
      </c>
      <c r="AP719" t="s">
        <v>14148</v>
      </c>
      <c r="AQ719" t="s">
        <v>74</v>
      </c>
      <c r="AR719" t="s">
        <v>14149</v>
      </c>
      <c r="AS719" t="s">
        <v>14150</v>
      </c>
      <c r="AT719" t="s">
        <v>627</v>
      </c>
      <c r="AU719">
        <v>2021</v>
      </c>
      <c r="AV719">
        <v>112</v>
      </c>
      <c r="AW719" t="s">
        <v>12340</v>
      </c>
      <c r="AX719" t="s">
        <v>74</v>
      </c>
      <c r="AY719" t="s">
        <v>74</v>
      </c>
      <c r="AZ719" t="s">
        <v>526</v>
      </c>
      <c r="BA719" t="s">
        <v>74</v>
      </c>
      <c r="BB719">
        <v>275</v>
      </c>
      <c r="BC719">
        <v>286</v>
      </c>
      <c r="BD719" t="s">
        <v>74</v>
      </c>
      <c r="BE719" t="s">
        <v>14169</v>
      </c>
      <c r="BF719" t="str">
        <f>HYPERLINK("http://dx.doi.org/10.1017/S1755691021000177","http://dx.doi.org/10.1017/S1755691021000177")</f>
        <v>http://dx.doi.org/10.1017/S1755691021000177</v>
      </c>
      <c r="BG719" t="s">
        <v>74</v>
      </c>
      <c r="BH719" t="s">
        <v>74</v>
      </c>
      <c r="BI719">
        <v>12</v>
      </c>
      <c r="BJ719" t="s">
        <v>14153</v>
      </c>
      <c r="BK719" t="s">
        <v>101</v>
      </c>
      <c r="BL719" t="s">
        <v>14154</v>
      </c>
      <c r="BM719" t="s">
        <v>14155</v>
      </c>
      <c r="BN719" t="s">
        <v>74</v>
      </c>
      <c r="BO719" t="s">
        <v>419</v>
      </c>
      <c r="BP719" t="s">
        <v>74</v>
      </c>
      <c r="BQ719" t="s">
        <v>74</v>
      </c>
      <c r="BR719" t="s">
        <v>105</v>
      </c>
      <c r="BS719" t="s">
        <v>14170</v>
      </c>
      <c r="BT719" t="str">
        <f>HYPERLINK("https%3A%2F%2Fwww.webofscience.com%2Fwos%2Fwoscc%2Ffull-record%2FWOS:000796288500014","View Full Record in Web of Science")</f>
        <v>View Full Record in Web of Science</v>
      </c>
    </row>
    <row r="720" spans="1:72" x14ac:dyDescent="0.15">
      <c r="A720" t="s">
        <v>72</v>
      </c>
      <c r="B720" t="s">
        <v>14171</v>
      </c>
      <c r="C720" t="s">
        <v>74</v>
      </c>
      <c r="D720" t="s">
        <v>74</v>
      </c>
      <c r="E720" t="s">
        <v>74</v>
      </c>
      <c r="F720" t="s">
        <v>14172</v>
      </c>
      <c r="G720" t="s">
        <v>74</v>
      </c>
      <c r="H720" t="s">
        <v>74</v>
      </c>
      <c r="I720" t="s">
        <v>14173</v>
      </c>
      <c r="J720" t="s">
        <v>14174</v>
      </c>
      <c r="K720" t="s">
        <v>74</v>
      </c>
      <c r="L720" t="s">
        <v>74</v>
      </c>
      <c r="M720" t="s">
        <v>78</v>
      </c>
      <c r="N720" t="s">
        <v>79</v>
      </c>
      <c r="O720" t="s">
        <v>74</v>
      </c>
      <c r="P720" t="s">
        <v>74</v>
      </c>
      <c r="Q720" t="s">
        <v>74</v>
      </c>
      <c r="R720" t="s">
        <v>74</v>
      </c>
      <c r="S720" t="s">
        <v>74</v>
      </c>
      <c r="T720" t="s">
        <v>74</v>
      </c>
      <c r="U720" t="s">
        <v>14175</v>
      </c>
      <c r="V720" t="s">
        <v>14176</v>
      </c>
      <c r="W720" t="s">
        <v>14177</v>
      </c>
      <c r="X720" t="s">
        <v>14178</v>
      </c>
      <c r="Y720" t="s">
        <v>14179</v>
      </c>
      <c r="Z720" t="s">
        <v>14180</v>
      </c>
      <c r="AA720" t="s">
        <v>14181</v>
      </c>
      <c r="AB720" t="s">
        <v>14182</v>
      </c>
      <c r="AC720" t="s">
        <v>14183</v>
      </c>
      <c r="AD720" t="s">
        <v>74</v>
      </c>
      <c r="AE720" t="s">
        <v>14184</v>
      </c>
      <c r="AF720" t="s">
        <v>74</v>
      </c>
      <c r="AG720">
        <v>44</v>
      </c>
      <c r="AH720">
        <v>0</v>
      </c>
      <c r="AI720">
        <v>0</v>
      </c>
      <c r="AJ720">
        <v>0</v>
      </c>
      <c r="AK720">
        <v>1</v>
      </c>
      <c r="AL720" t="s">
        <v>1714</v>
      </c>
      <c r="AM720" t="s">
        <v>256</v>
      </c>
      <c r="AN720" t="s">
        <v>1715</v>
      </c>
      <c r="AO720" t="s">
        <v>14185</v>
      </c>
      <c r="AP720" t="s">
        <v>14186</v>
      </c>
      <c r="AQ720" t="s">
        <v>74</v>
      </c>
      <c r="AR720" t="s">
        <v>14187</v>
      </c>
      <c r="AS720" t="s">
        <v>14188</v>
      </c>
      <c r="AT720" t="s">
        <v>627</v>
      </c>
      <c r="AU720">
        <v>2021</v>
      </c>
      <c r="AV720">
        <v>87</v>
      </c>
      <c r="AW720" t="s">
        <v>74</v>
      </c>
      <c r="AX720">
        <v>3</v>
      </c>
      <c r="AY720" t="s">
        <v>74</v>
      </c>
      <c r="AZ720" t="s">
        <v>74</v>
      </c>
      <c r="BA720" t="s">
        <v>74</v>
      </c>
      <c r="BB720" t="s">
        <v>74</v>
      </c>
      <c r="BC720" t="s">
        <v>74</v>
      </c>
      <c r="BD720" t="s">
        <v>14189</v>
      </c>
      <c r="BE720" t="s">
        <v>14190</v>
      </c>
      <c r="BF720" t="str">
        <f>HYPERLINK("http://dx.doi.org/10.1093/mollus/eyab027","http://dx.doi.org/10.1093/mollus/eyab027")</f>
        <v>http://dx.doi.org/10.1093/mollus/eyab027</v>
      </c>
      <c r="BG720" t="s">
        <v>74</v>
      </c>
      <c r="BH720" t="s">
        <v>74</v>
      </c>
      <c r="BI720">
        <v>8</v>
      </c>
      <c r="BJ720" t="s">
        <v>10594</v>
      </c>
      <c r="BK720" t="s">
        <v>101</v>
      </c>
      <c r="BL720" t="s">
        <v>10594</v>
      </c>
      <c r="BM720" t="s">
        <v>14191</v>
      </c>
      <c r="BN720" t="s">
        <v>74</v>
      </c>
      <c r="BO720" t="s">
        <v>74</v>
      </c>
      <c r="BP720" t="s">
        <v>74</v>
      </c>
      <c r="BQ720" t="s">
        <v>74</v>
      </c>
      <c r="BR720" t="s">
        <v>105</v>
      </c>
      <c r="BS720" t="s">
        <v>14192</v>
      </c>
      <c r="BT720" t="str">
        <f>HYPERLINK("https%3A%2F%2Fwww.webofscience.com%2Fwos%2Fwoscc%2Ffull-record%2FWOS:000784095900001","View Full Record in Web of Science")</f>
        <v>View Full Record in Web of Science</v>
      </c>
    </row>
    <row r="721" spans="1:72" x14ac:dyDescent="0.15">
      <c r="A721" t="s">
        <v>72</v>
      </c>
      <c r="B721" t="s">
        <v>14193</v>
      </c>
      <c r="C721" t="s">
        <v>74</v>
      </c>
      <c r="D721" t="s">
        <v>74</v>
      </c>
      <c r="E721" t="s">
        <v>74</v>
      </c>
      <c r="F721" t="s">
        <v>14194</v>
      </c>
      <c r="G721" t="s">
        <v>74</v>
      </c>
      <c r="H721" t="s">
        <v>74</v>
      </c>
      <c r="I721" t="s">
        <v>14195</v>
      </c>
      <c r="J721" t="s">
        <v>14116</v>
      </c>
      <c r="K721" t="s">
        <v>74</v>
      </c>
      <c r="L721" t="s">
        <v>74</v>
      </c>
      <c r="M721" t="s">
        <v>78</v>
      </c>
      <c r="N721" t="s">
        <v>79</v>
      </c>
      <c r="O721" t="s">
        <v>74</v>
      </c>
      <c r="P721" t="s">
        <v>74</v>
      </c>
      <c r="Q721" t="s">
        <v>74</v>
      </c>
      <c r="R721" t="s">
        <v>74</v>
      </c>
      <c r="S721" t="s">
        <v>74</v>
      </c>
      <c r="T721" t="s">
        <v>14196</v>
      </c>
      <c r="U721" t="s">
        <v>74</v>
      </c>
      <c r="V721" t="s">
        <v>14197</v>
      </c>
      <c r="W721" t="s">
        <v>14198</v>
      </c>
      <c r="X721" t="s">
        <v>940</v>
      </c>
      <c r="Y721" t="s">
        <v>14199</v>
      </c>
      <c r="Z721" t="s">
        <v>14200</v>
      </c>
      <c r="AA721" t="s">
        <v>14201</v>
      </c>
      <c r="AB721" t="s">
        <v>14202</v>
      </c>
      <c r="AC721" t="s">
        <v>14203</v>
      </c>
      <c r="AD721" t="s">
        <v>14204</v>
      </c>
      <c r="AE721" t="s">
        <v>14205</v>
      </c>
      <c r="AF721" t="s">
        <v>74</v>
      </c>
      <c r="AG721">
        <v>10</v>
      </c>
      <c r="AH721">
        <v>3</v>
      </c>
      <c r="AI721">
        <v>3</v>
      </c>
      <c r="AJ721">
        <v>2</v>
      </c>
      <c r="AK721">
        <v>7</v>
      </c>
      <c r="AL721" t="s">
        <v>666</v>
      </c>
      <c r="AM721" t="s">
        <v>994</v>
      </c>
      <c r="AN721" t="s">
        <v>995</v>
      </c>
      <c r="AO721" t="s">
        <v>14129</v>
      </c>
      <c r="AP721" t="s">
        <v>14130</v>
      </c>
      <c r="AQ721" t="s">
        <v>74</v>
      </c>
      <c r="AR721" t="s">
        <v>14131</v>
      </c>
      <c r="AS721" t="s">
        <v>14132</v>
      </c>
      <c r="AT721" t="s">
        <v>627</v>
      </c>
      <c r="AU721">
        <v>2021</v>
      </c>
      <c r="AV721">
        <v>62</v>
      </c>
      <c r="AW721" t="s">
        <v>14133</v>
      </c>
      <c r="AX721" t="s">
        <v>74</v>
      </c>
      <c r="AY721" t="s">
        <v>74</v>
      </c>
      <c r="AZ721" t="s">
        <v>74</v>
      </c>
      <c r="BA721" t="s">
        <v>74</v>
      </c>
      <c r="BB721">
        <v>223</v>
      </c>
      <c r="BC721">
        <v>232</v>
      </c>
      <c r="BD721" t="s">
        <v>74</v>
      </c>
      <c r="BE721" t="s">
        <v>14206</v>
      </c>
      <c r="BF721" t="str">
        <f>HYPERLINK("http://dx.doi.org/10.1017/aog.2020.85","http://dx.doi.org/10.1017/aog.2020.85")</f>
        <v>http://dx.doi.org/10.1017/aog.2020.85</v>
      </c>
      <c r="BG721" t="s">
        <v>74</v>
      </c>
      <c r="BH721" t="s">
        <v>74</v>
      </c>
      <c r="BI721">
        <v>10</v>
      </c>
      <c r="BJ721" t="s">
        <v>340</v>
      </c>
      <c r="BK721" t="s">
        <v>101</v>
      </c>
      <c r="BL721" t="s">
        <v>341</v>
      </c>
      <c r="BM721" t="s">
        <v>14135</v>
      </c>
      <c r="BN721" t="s">
        <v>74</v>
      </c>
      <c r="BO721" t="s">
        <v>1117</v>
      </c>
      <c r="BP721" t="s">
        <v>74</v>
      </c>
      <c r="BQ721" t="s">
        <v>74</v>
      </c>
      <c r="BR721" t="s">
        <v>105</v>
      </c>
      <c r="BS721" t="s">
        <v>14207</v>
      </c>
      <c r="BT721" t="str">
        <f>HYPERLINK("https%3A%2F%2Fwww.webofscience.com%2Fwos%2Fwoscc%2Ffull-record%2FWOS:000756851600005","View Full Record in Web of Science")</f>
        <v>View Full Record in Web of Science</v>
      </c>
    </row>
    <row r="722" spans="1:72" x14ac:dyDescent="0.15">
      <c r="A722" t="s">
        <v>72</v>
      </c>
      <c r="B722" t="s">
        <v>14208</v>
      </c>
      <c r="C722" t="s">
        <v>74</v>
      </c>
      <c r="D722" t="s">
        <v>74</v>
      </c>
      <c r="E722" t="s">
        <v>74</v>
      </c>
      <c r="F722" t="s">
        <v>14209</v>
      </c>
      <c r="G722" t="s">
        <v>74</v>
      </c>
      <c r="H722" t="s">
        <v>74</v>
      </c>
      <c r="I722" t="s">
        <v>14210</v>
      </c>
      <c r="J722" t="s">
        <v>14116</v>
      </c>
      <c r="K722" t="s">
        <v>74</v>
      </c>
      <c r="L722" t="s">
        <v>74</v>
      </c>
      <c r="M722" t="s">
        <v>78</v>
      </c>
      <c r="N722" t="s">
        <v>79</v>
      </c>
      <c r="O722" t="s">
        <v>74</v>
      </c>
      <c r="P722" t="s">
        <v>74</v>
      </c>
      <c r="Q722" t="s">
        <v>74</v>
      </c>
      <c r="R722" t="s">
        <v>74</v>
      </c>
      <c r="S722" t="s">
        <v>74</v>
      </c>
      <c r="T722" t="s">
        <v>14211</v>
      </c>
      <c r="U722" t="s">
        <v>14212</v>
      </c>
      <c r="V722" t="s">
        <v>14213</v>
      </c>
      <c r="W722" t="s">
        <v>14214</v>
      </c>
      <c r="X722" t="s">
        <v>940</v>
      </c>
      <c r="Y722" t="s">
        <v>14215</v>
      </c>
      <c r="Z722" t="s">
        <v>14216</v>
      </c>
      <c r="AA722" t="s">
        <v>14217</v>
      </c>
      <c r="AB722" t="s">
        <v>14218</v>
      </c>
      <c r="AC722" t="s">
        <v>14219</v>
      </c>
      <c r="AD722" t="s">
        <v>14220</v>
      </c>
      <c r="AE722" t="s">
        <v>14221</v>
      </c>
      <c r="AF722" t="s">
        <v>74</v>
      </c>
      <c r="AG722">
        <v>24</v>
      </c>
      <c r="AH722">
        <v>8</v>
      </c>
      <c r="AI722">
        <v>8</v>
      </c>
      <c r="AJ722">
        <v>0</v>
      </c>
      <c r="AK722">
        <v>12</v>
      </c>
      <c r="AL722" t="s">
        <v>666</v>
      </c>
      <c r="AM722" t="s">
        <v>994</v>
      </c>
      <c r="AN722" t="s">
        <v>995</v>
      </c>
      <c r="AO722" t="s">
        <v>14129</v>
      </c>
      <c r="AP722" t="s">
        <v>14130</v>
      </c>
      <c r="AQ722" t="s">
        <v>74</v>
      </c>
      <c r="AR722" t="s">
        <v>14131</v>
      </c>
      <c r="AS722" t="s">
        <v>14132</v>
      </c>
      <c r="AT722" t="s">
        <v>627</v>
      </c>
      <c r="AU722">
        <v>2021</v>
      </c>
      <c r="AV722">
        <v>62</v>
      </c>
      <c r="AW722" t="s">
        <v>14133</v>
      </c>
      <c r="AX722" t="s">
        <v>74</v>
      </c>
      <c r="AY722" t="s">
        <v>74</v>
      </c>
      <c r="AZ722" t="s">
        <v>74</v>
      </c>
      <c r="BA722" t="s">
        <v>74</v>
      </c>
      <c r="BB722">
        <v>233</v>
      </c>
      <c r="BC722">
        <v>249</v>
      </c>
      <c r="BD722" t="s">
        <v>74</v>
      </c>
      <c r="BE722" t="s">
        <v>14222</v>
      </c>
      <c r="BF722" t="str">
        <f>HYPERLINK("http://dx.doi.org/10.1017/aog.2020.86","http://dx.doi.org/10.1017/aog.2020.86")</f>
        <v>http://dx.doi.org/10.1017/aog.2020.86</v>
      </c>
      <c r="BG722" t="s">
        <v>74</v>
      </c>
      <c r="BH722" t="s">
        <v>74</v>
      </c>
      <c r="BI722">
        <v>17</v>
      </c>
      <c r="BJ722" t="s">
        <v>340</v>
      </c>
      <c r="BK722" t="s">
        <v>101</v>
      </c>
      <c r="BL722" t="s">
        <v>341</v>
      </c>
      <c r="BM722" t="s">
        <v>14135</v>
      </c>
      <c r="BN722" t="s">
        <v>74</v>
      </c>
      <c r="BO722" t="s">
        <v>1117</v>
      </c>
      <c r="BP722" t="s">
        <v>74</v>
      </c>
      <c r="BQ722" t="s">
        <v>74</v>
      </c>
      <c r="BR722" t="s">
        <v>105</v>
      </c>
      <c r="BS722" t="s">
        <v>14223</v>
      </c>
      <c r="BT722" t="str">
        <f>HYPERLINK("https%3A%2F%2Fwww.webofscience.com%2Fwos%2Fwoscc%2Ffull-record%2FWOS:000756851600006","View Full Record in Web of Science")</f>
        <v>View Full Record in Web of Science</v>
      </c>
    </row>
    <row r="723" spans="1:72" x14ac:dyDescent="0.15">
      <c r="A723" t="s">
        <v>72</v>
      </c>
      <c r="B723" t="s">
        <v>14224</v>
      </c>
      <c r="C723" t="s">
        <v>74</v>
      </c>
      <c r="D723" t="s">
        <v>74</v>
      </c>
      <c r="E723" t="s">
        <v>74</v>
      </c>
      <c r="F723" t="s">
        <v>14225</v>
      </c>
      <c r="G723" t="s">
        <v>74</v>
      </c>
      <c r="H723" t="s">
        <v>74</v>
      </c>
      <c r="I723" t="s">
        <v>14226</v>
      </c>
      <c r="J723" t="s">
        <v>14116</v>
      </c>
      <c r="K723" t="s">
        <v>74</v>
      </c>
      <c r="L723" t="s">
        <v>74</v>
      </c>
      <c r="M723" t="s">
        <v>78</v>
      </c>
      <c r="N723" t="s">
        <v>79</v>
      </c>
      <c r="O723" t="s">
        <v>74</v>
      </c>
      <c r="P723" t="s">
        <v>74</v>
      </c>
      <c r="Q723" t="s">
        <v>74</v>
      </c>
      <c r="R723" t="s">
        <v>74</v>
      </c>
      <c r="S723" t="s">
        <v>74</v>
      </c>
      <c r="T723" t="s">
        <v>14227</v>
      </c>
      <c r="U723" t="s">
        <v>14228</v>
      </c>
      <c r="V723" t="s">
        <v>14229</v>
      </c>
      <c r="W723" t="s">
        <v>14230</v>
      </c>
      <c r="X723" t="s">
        <v>940</v>
      </c>
      <c r="Y723" t="s">
        <v>14231</v>
      </c>
      <c r="Z723" t="s">
        <v>14232</v>
      </c>
      <c r="AA723" t="s">
        <v>14217</v>
      </c>
      <c r="AB723" t="s">
        <v>14233</v>
      </c>
      <c r="AC723" t="s">
        <v>14234</v>
      </c>
      <c r="AD723" t="s">
        <v>14235</v>
      </c>
      <c r="AE723" t="s">
        <v>14236</v>
      </c>
      <c r="AF723" t="s">
        <v>74</v>
      </c>
      <c r="AG723">
        <v>40</v>
      </c>
      <c r="AH723">
        <v>11</v>
      </c>
      <c r="AI723">
        <v>11</v>
      </c>
      <c r="AJ723">
        <v>3</v>
      </c>
      <c r="AK723">
        <v>17</v>
      </c>
      <c r="AL723" t="s">
        <v>666</v>
      </c>
      <c r="AM723" t="s">
        <v>994</v>
      </c>
      <c r="AN723" t="s">
        <v>995</v>
      </c>
      <c r="AO723" t="s">
        <v>14129</v>
      </c>
      <c r="AP723" t="s">
        <v>14130</v>
      </c>
      <c r="AQ723" t="s">
        <v>74</v>
      </c>
      <c r="AR723" t="s">
        <v>14131</v>
      </c>
      <c r="AS723" t="s">
        <v>14132</v>
      </c>
      <c r="AT723" t="s">
        <v>627</v>
      </c>
      <c r="AU723">
        <v>2021</v>
      </c>
      <c r="AV723">
        <v>62</v>
      </c>
      <c r="AW723" t="s">
        <v>14133</v>
      </c>
      <c r="AX723" t="s">
        <v>74</v>
      </c>
      <c r="AY723" t="s">
        <v>74</v>
      </c>
      <c r="AZ723" t="s">
        <v>74</v>
      </c>
      <c r="BA723" t="s">
        <v>74</v>
      </c>
      <c r="BB723">
        <v>250</v>
      </c>
      <c r="BC723">
        <v>262</v>
      </c>
      <c r="BD723" t="s">
        <v>74</v>
      </c>
      <c r="BE723" t="s">
        <v>14237</v>
      </c>
      <c r="BF723" t="str">
        <f>HYPERLINK("http://dx.doi.org/10.1017/aog.2020.88","http://dx.doi.org/10.1017/aog.2020.88")</f>
        <v>http://dx.doi.org/10.1017/aog.2020.88</v>
      </c>
      <c r="BG723" t="s">
        <v>74</v>
      </c>
      <c r="BH723" t="s">
        <v>74</v>
      </c>
      <c r="BI723">
        <v>13</v>
      </c>
      <c r="BJ723" t="s">
        <v>340</v>
      </c>
      <c r="BK723" t="s">
        <v>101</v>
      </c>
      <c r="BL723" t="s">
        <v>341</v>
      </c>
      <c r="BM723" t="s">
        <v>14135</v>
      </c>
      <c r="BN723" t="s">
        <v>74</v>
      </c>
      <c r="BO723" t="s">
        <v>1117</v>
      </c>
      <c r="BP723" t="s">
        <v>74</v>
      </c>
      <c r="BQ723" t="s">
        <v>74</v>
      </c>
      <c r="BR723" t="s">
        <v>105</v>
      </c>
      <c r="BS723" t="s">
        <v>14238</v>
      </c>
      <c r="BT723" t="str">
        <f>HYPERLINK("https%3A%2F%2Fwww.webofscience.com%2Fwos%2Fwoscc%2Ffull-record%2FWOS:000756851600007","View Full Record in Web of Science")</f>
        <v>View Full Record in Web of Science</v>
      </c>
    </row>
    <row r="724" spans="1:72" x14ac:dyDescent="0.15">
      <c r="A724" t="s">
        <v>72</v>
      </c>
      <c r="B724" t="s">
        <v>14239</v>
      </c>
      <c r="C724" t="s">
        <v>74</v>
      </c>
      <c r="D724" t="s">
        <v>74</v>
      </c>
      <c r="E724" t="s">
        <v>74</v>
      </c>
      <c r="F724" t="s">
        <v>14240</v>
      </c>
      <c r="G724" t="s">
        <v>74</v>
      </c>
      <c r="H724" t="s">
        <v>74</v>
      </c>
      <c r="I724" t="s">
        <v>14241</v>
      </c>
      <c r="J724" t="s">
        <v>14116</v>
      </c>
      <c r="K724" t="s">
        <v>74</v>
      </c>
      <c r="L724" t="s">
        <v>74</v>
      </c>
      <c r="M724" t="s">
        <v>78</v>
      </c>
      <c r="N724" t="s">
        <v>79</v>
      </c>
      <c r="O724" t="s">
        <v>74</v>
      </c>
      <c r="P724" t="s">
        <v>74</v>
      </c>
      <c r="Q724" t="s">
        <v>74</v>
      </c>
      <c r="R724" t="s">
        <v>74</v>
      </c>
      <c r="S724" t="s">
        <v>74</v>
      </c>
      <c r="T724" t="s">
        <v>14242</v>
      </c>
      <c r="U724" t="s">
        <v>74</v>
      </c>
      <c r="V724" t="s">
        <v>14243</v>
      </c>
      <c r="W724" t="s">
        <v>14244</v>
      </c>
      <c r="X724" t="s">
        <v>14245</v>
      </c>
      <c r="Y724" t="s">
        <v>14246</v>
      </c>
      <c r="Z724" t="s">
        <v>14247</v>
      </c>
      <c r="AA724" t="s">
        <v>14248</v>
      </c>
      <c r="AB724" t="s">
        <v>14249</v>
      </c>
      <c r="AC724" t="s">
        <v>14250</v>
      </c>
      <c r="AD724" t="s">
        <v>14251</v>
      </c>
      <c r="AE724" t="s">
        <v>14252</v>
      </c>
      <c r="AF724" t="s">
        <v>74</v>
      </c>
      <c r="AG724">
        <v>19</v>
      </c>
      <c r="AH724">
        <v>1</v>
      </c>
      <c r="AI724">
        <v>1</v>
      </c>
      <c r="AJ724">
        <v>1</v>
      </c>
      <c r="AK724">
        <v>11</v>
      </c>
      <c r="AL724" t="s">
        <v>666</v>
      </c>
      <c r="AM724" t="s">
        <v>994</v>
      </c>
      <c r="AN724" t="s">
        <v>995</v>
      </c>
      <c r="AO724" t="s">
        <v>14129</v>
      </c>
      <c r="AP724" t="s">
        <v>14130</v>
      </c>
      <c r="AQ724" t="s">
        <v>74</v>
      </c>
      <c r="AR724" t="s">
        <v>14131</v>
      </c>
      <c r="AS724" t="s">
        <v>14132</v>
      </c>
      <c r="AT724" t="s">
        <v>627</v>
      </c>
      <c r="AU724">
        <v>2021</v>
      </c>
      <c r="AV724">
        <v>62</v>
      </c>
      <c r="AW724" t="s">
        <v>14133</v>
      </c>
      <c r="AX724" t="s">
        <v>74</v>
      </c>
      <c r="AY724" t="s">
        <v>74</v>
      </c>
      <c r="AZ724" t="s">
        <v>74</v>
      </c>
      <c r="BA724" t="s">
        <v>74</v>
      </c>
      <c r="BB724">
        <v>280</v>
      </c>
      <c r="BC724">
        <v>292</v>
      </c>
      <c r="BD724" t="s">
        <v>74</v>
      </c>
      <c r="BE724" t="s">
        <v>14253</v>
      </c>
      <c r="BF724" t="str">
        <f>HYPERLINK("http://dx.doi.org/10.1017/aog.2021.5","http://dx.doi.org/10.1017/aog.2021.5")</f>
        <v>http://dx.doi.org/10.1017/aog.2021.5</v>
      </c>
      <c r="BG724" t="s">
        <v>74</v>
      </c>
      <c r="BH724" t="s">
        <v>74</v>
      </c>
      <c r="BI724">
        <v>13</v>
      </c>
      <c r="BJ724" t="s">
        <v>340</v>
      </c>
      <c r="BK724" t="s">
        <v>101</v>
      </c>
      <c r="BL724" t="s">
        <v>341</v>
      </c>
      <c r="BM724" t="s">
        <v>14135</v>
      </c>
      <c r="BN724" t="s">
        <v>74</v>
      </c>
      <c r="BO724" t="s">
        <v>210</v>
      </c>
      <c r="BP724" t="s">
        <v>74</v>
      </c>
      <c r="BQ724" t="s">
        <v>74</v>
      </c>
      <c r="BR724" t="s">
        <v>105</v>
      </c>
      <c r="BS724" t="s">
        <v>14254</v>
      </c>
      <c r="BT724" t="str">
        <f>HYPERLINK("https%3A%2F%2Fwww.webofscience.com%2Fwos%2Fwoscc%2Ffull-record%2FWOS:000756851600009","View Full Record in Web of Science")</f>
        <v>View Full Record in Web of Science</v>
      </c>
    </row>
    <row r="725" spans="1:72" x14ac:dyDescent="0.15">
      <c r="A725" t="s">
        <v>72</v>
      </c>
      <c r="B725" t="s">
        <v>14255</v>
      </c>
      <c r="C725" t="s">
        <v>74</v>
      </c>
      <c r="D725" t="s">
        <v>74</v>
      </c>
      <c r="E725" t="s">
        <v>74</v>
      </c>
      <c r="F725" t="s">
        <v>14256</v>
      </c>
      <c r="G725" t="s">
        <v>74</v>
      </c>
      <c r="H725" t="s">
        <v>74</v>
      </c>
      <c r="I725" t="s">
        <v>14257</v>
      </c>
      <c r="J725" t="s">
        <v>14116</v>
      </c>
      <c r="K725" t="s">
        <v>74</v>
      </c>
      <c r="L725" t="s">
        <v>74</v>
      </c>
      <c r="M725" t="s">
        <v>78</v>
      </c>
      <c r="N725" t="s">
        <v>79</v>
      </c>
      <c r="O725" t="s">
        <v>74</v>
      </c>
      <c r="P725" t="s">
        <v>74</v>
      </c>
      <c r="Q725" t="s">
        <v>74</v>
      </c>
      <c r="R725" t="s">
        <v>74</v>
      </c>
      <c r="S725" t="s">
        <v>74</v>
      </c>
      <c r="T725" t="s">
        <v>14258</v>
      </c>
      <c r="U725" t="s">
        <v>14259</v>
      </c>
      <c r="V725" t="s">
        <v>14260</v>
      </c>
      <c r="W725" t="s">
        <v>14261</v>
      </c>
      <c r="X725" t="s">
        <v>14262</v>
      </c>
      <c r="Y725" t="s">
        <v>14263</v>
      </c>
      <c r="Z725" t="s">
        <v>14264</v>
      </c>
      <c r="AA725" t="s">
        <v>14265</v>
      </c>
      <c r="AB725" t="s">
        <v>14266</v>
      </c>
      <c r="AC725" t="s">
        <v>14267</v>
      </c>
      <c r="AD725" t="s">
        <v>14268</v>
      </c>
      <c r="AE725" t="s">
        <v>14269</v>
      </c>
      <c r="AF725" t="s">
        <v>74</v>
      </c>
      <c r="AG725">
        <v>20</v>
      </c>
      <c r="AH725">
        <v>3</v>
      </c>
      <c r="AI725">
        <v>3</v>
      </c>
      <c r="AJ725">
        <v>3</v>
      </c>
      <c r="AK725">
        <v>23</v>
      </c>
      <c r="AL725" t="s">
        <v>666</v>
      </c>
      <c r="AM725" t="s">
        <v>994</v>
      </c>
      <c r="AN725" t="s">
        <v>995</v>
      </c>
      <c r="AO725" t="s">
        <v>14129</v>
      </c>
      <c r="AP725" t="s">
        <v>14130</v>
      </c>
      <c r="AQ725" t="s">
        <v>74</v>
      </c>
      <c r="AR725" t="s">
        <v>14131</v>
      </c>
      <c r="AS725" t="s">
        <v>14132</v>
      </c>
      <c r="AT725" t="s">
        <v>627</v>
      </c>
      <c r="AU725">
        <v>2021</v>
      </c>
      <c r="AV725">
        <v>62</v>
      </c>
      <c r="AW725" t="s">
        <v>14133</v>
      </c>
      <c r="AX725" t="s">
        <v>74</v>
      </c>
      <c r="AY725" t="s">
        <v>74</v>
      </c>
      <c r="AZ725" t="s">
        <v>74</v>
      </c>
      <c r="BA725" t="s">
        <v>74</v>
      </c>
      <c r="BB725">
        <v>293</v>
      </c>
      <c r="BC725">
        <v>304</v>
      </c>
      <c r="BD725" t="s">
        <v>74</v>
      </c>
      <c r="BE725" t="s">
        <v>14270</v>
      </c>
      <c r="BF725" t="str">
        <f>HYPERLINK("http://dx.doi.org/10.1017/aog.2021.2","http://dx.doi.org/10.1017/aog.2021.2")</f>
        <v>http://dx.doi.org/10.1017/aog.2021.2</v>
      </c>
      <c r="BG725" t="s">
        <v>74</v>
      </c>
      <c r="BH725" t="s">
        <v>74</v>
      </c>
      <c r="BI725">
        <v>12</v>
      </c>
      <c r="BJ725" t="s">
        <v>340</v>
      </c>
      <c r="BK725" t="s">
        <v>101</v>
      </c>
      <c r="BL725" t="s">
        <v>341</v>
      </c>
      <c r="BM725" t="s">
        <v>14135</v>
      </c>
      <c r="BN725" t="s">
        <v>74</v>
      </c>
      <c r="BO725" t="s">
        <v>210</v>
      </c>
      <c r="BP725" t="s">
        <v>74</v>
      </c>
      <c r="BQ725" t="s">
        <v>74</v>
      </c>
      <c r="BR725" t="s">
        <v>105</v>
      </c>
      <c r="BS725" t="s">
        <v>14271</v>
      </c>
      <c r="BT725" t="str">
        <f>HYPERLINK("https%3A%2F%2Fwww.webofscience.com%2Fwos%2Fwoscc%2Ffull-record%2FWOS:000756851600010","View Full Record in Web of Science")</f>
        <v>View Full Record in Web of Science</v>
      </c>
    </row>
    <row r="726" spans="1:72" x14ac:dyDescent="0.15">
      <c r="A726" t="s">
        <v>72</v>
      </c>
      <c r="B726" t="s">
        <v>14272</v>
      </c>
      <c r="C726" t="s">
        <v>74</v>
      </c>
      <c r="D726" t="s">
        <v>74</v>
      </c>
      <c r="E726" t="s">
        <v>74</v>
      </c>
      <c r="F726" t="s">
        <v>14273</v>
      </c>
      <c r="G726" t="s">
        <v>74</v>
      </c>
      <c r="H726" t="s">
        <v>74</v>
      </c>
      <c r="I726" t="s">
        <v>14274</v>
      </c>
      <c r="J726" t="s">
        <v>14116</v>
      </c>
      <c r="K726" t="s">
        <v>74</v>
      </c>
      <c r="L726" t="s">
        <v>74</v>
      </c>
      <c r="M726" t="s">
        <v>78</v>
      </c>
      <c r="N726" t="s">
        <v>79</v>
      </c>
      <c r="O726" t="s">
        <v>74</v>
      </c>
      <c r="P726" t="s">
        <v>74</v>
      </c>
      <c r="Q726" t="s">
        <v>74</v>
      </c>
      <c r="R726" t="s">
        <v>74</v>
      </c>
      <c r="S726" t="s">
        <v>74</v>
      </c>
      <c r="T726" t="s">
        <v>14275</v>
      </c>
      <c r="U726" t="s">
        <v>74</v>
      </c>
      <c r="V726" t="s">
        <v>14276</v>
      </c>
      <c r="W726" t="s">
        <v>14277</v>
      </c>
      <c r="X726" t="s">
        <v>14278</v>
      </c>
      <c r="Y726" t="s">
        <v>14279</v>
      </c>
      <c r="Z726" t="s">
        <v>14280</v>
      </c>
      <c r="AA726" t="s">
        <v>14281</v>
      </c>
      <c r="AB726" t="s">
        <v>14282</v>
      </c>
      <c r="AC726" t="s">
        <v>14283</v>
      </c>
      <c r="AD726" t="s">
        <v>14284</v>
      </c>
      <c r="AE726" t="s">
        <v>14285</v>
      </c>
      <c r="AF726" t="s">
        <v>74</v>
      </c>
      <c r="AG726">
        <v>14</v>
      </c>
      <c r="AH726">
        <v>2</v>
      </c>
      <c r="AI726">
        <v>2</v>
      </c>
      <c r="AJ726">
        <v>0</v>
      </c>
      <c r="AK726">
        <v>2</v>
      </c>
      <c r="AL726" t="s">
        <v>666</v>
      </c>
      <c r="AM726" t="s">
        <v>994</v>
      </c>
      <c r="AN726" t="s">
        <v>995</v>
      </c>
      <c r="AO726" t="s">
        <v>14129</v>
      </c>
      <c r="AP726" t="s">
        <v>14130</v>
      </c>
      <c r="AQ726" t="s">
        <v>74</v>
      </c>
      <c r="AR726" t="s">
        <v>14131</v>
      </c>
      <c r="AS726" t="s">
        <v>14132</v>
      </c>
      <c r="AT726" t="s">
        <v>627</v>
      </c>
      <c r="AU726">
        <v>2021</v>
      </c>
      <c r="AV726">
        <v>62</v>
      </c>
      <c r="AW726" t="s">
        <v>14133</v>
      </c>
      <c r="AX726" t="s">
        <v>74</v>
      </c>
      <c r="AY726" t="s">
        <v>74</v>
      </c>
      <c r="AZ726" t="s">
        <v>74</v>
      </c>
      <c r="BA726" t="s">
        <v>74</v>
      </c>
      <c r="BB726">
        <v>305</v>
      </c>
      <c r="BC726">
        <v>310</v>
      </c>
      <c r="BD726" t="s">
        <v>74</v>
      </c>
      <c r="BE726" t="s">
        <v>14286</v>
      </c>
      <c r="BF726" t="str">
        <f>HYPERLINK("http://dx.doi.org/10.1017/aog.2021.4","http://dx.doi.org/10.1017/aog.2021.4")</f>
        <v>http://dx.doi.org/10.1017/aog.2021.4</v>
      </c>
      <c r="BG726" t="s">
        <v>74</v>
      </c>
      <c r="BH726" t="s">
        <v>74</v>
      </c>
      <c r="BI726">
        <v>6</v>
      </c>
      <c r="BJ726" t="s">
        <v>340</v>
      </c>
      <c r="BK726" t="s">
        <v>101</v>
      </c>
      <c r="BL726" t="s">
        <v>341</v>
      </c>
      <c r="BM726" t="s">
        <v>14135</v>
      </c>
      <c r="BN726" t="s">
        <v>74</v>
      </c>
      <c r="BO726" t="s">
        <v>210</v>
      </c>
      <c r="BP726" t="s">
        <v>74</v>
      </c>
      <c r="BQ726" t="s">
        <v>74</v>
      </c>
      <c r="BR726" t="s">
        <v>105</v>
      </c>
      <c r="BS726" t="s">
        <v>14287</v>
      </c>
      <c r="BT726" t="str">
        <f>HYPERLINK("https%3A%2F%2Fwww.webofscience.com%2Fwos%2Fwoscc%2Ffull-record%2FWOS:000756851600011","View Full Record in Web of Science")</f>
        <v>View Full Record in Web of Science</v>
      </c>
    </row>
    <row r="727" spans="1:72" x14ac:dyDescent="0.15">
      <c r="A727" t="s">
        <v>72</v>
      </c>
      <c r="B727" t="s">
        <v>14288</v>
      </c>
      <c r="C727" t="s">
        <v>74</v>
      </c>
      <c r="D727" t="s">
        <v>74</v>
      </c>
      <c r="E727" t="s">
        <v>74</v>
      </c>
      <c r="F727" t="s">
        <v>14289</v>
      </c>
      <c r="G727" t="s">
        <v>74</v>
      </c>
      <c r="H727" t="s">
        <v>74</v>
      </c>
      <c r="I727" t="s">
        <v>14290</v>
      </c>
      <c r="J727" t="s">
        <v>14116</v>
      </c>
      <c r="K727" t="s">
        <v>74</v>
      </c>
      <c r="L727" t="s">
        <v>74</v>
      </c>
      <c r="M727" t="s">
        <v>78</v>
      </c>
      <c r="N727" t="s">
        <v>79</v>
      </c>
      <c r="O727" t="s">
        <v>74</v>
      </c>
      <c r="P727" t="s">
        <v>74</v>
      </c>
      <c r="Q727" t="s">
        <v>74</v>
      </c>
      <c r="R727" t="s">
        <v>74</v>
      </c>
      <c r="S727" t="s">
        <v>74</v>
      </c>
      <c r="T727" t="s">
        <v>14291</v>
      </c>
      <c r="U727" t="s">
        <v>14292</v>
      </c>
      <c r="V727" t="s">
        <v>14293</v>
      </c>
      <c r="W727" t="s">
        <v>14294</v>
      </c>
      <c r="X727" t="s">
        <v>14295</v>
      </c>
      <c r="Y727" t="s">
        <v>14296</v>
      </c>
      <c r="Z727" t="s">
        <v>14297</v>
      </c>
      <c r="AA727" t="s">
        <v>14298</v>
      </c>
      <c r="AB727" t="s">
        <v>14299</v>
      </c>
      <c r="AC727" t="s">
        <v>14300</v>
      </c>
      <c r="AD727" t="s">
        <v>14301</v>
      </c>
      <c r="AE727" t="s">
        <v>14302</v>
      </c>
      <c r="AF727" t="s">
        <v>74</v>
      </c>
      <c r="AG727">
        <v>27</v>
      </c>
      <c r="AH727">
        <v>15</v>
      </c>
      <c r="AI727">
        <v>15</v>
      </c>
      <c r="AJ727">
        <v>0</v>
      </c>
      <c r="AK727">
        <v>6</v>
      </c>
      <c r="AL727" t="s">
        <v>666</v>
      </c>
      <c r="AM727" t="s">
        <v>994</v>
      </c>
      <c r="AN727" t="s">
        <v>995</v>
      </c>
      <c r="AO727" t="s">
        <v>14129</v>
      </c>
      <c r="AP727" t="s">
        <v>14130</v>
      </c>
      <c r="AQ727" t="s">
        <v>74</v>
      </c>
      <c r="AR727" t="s">
        <v>14131</v>
      </c>
      <c r="AS727" t="s">
        <v>14132</v>
      </c>
      <c r="AT727" t="s">
        <v>627</v>
      </c>
      <c r="AU727">
        <v>2021</v>
      </c>
      <c r="AV727">
        <v>62</v>
      </c>
      <c r="AW727" t="s">
        <v>14133</v>
      </c>
      <c r="AX727" t="s">
        <v>74</v>
      </c>
      <c r="AY727" t="s">
        <v>74</v>
      </c>
      <c r="AZ727" t="s">
        <v>74</v>
      </c>
      <c r="BA727" t="s">
        <v>74</v>
      </c>
      <c r="BB727">
        <v>311</v>
      </c>
      <c r="BC727">
        <v>323</v>
      </c>
      <c r="BD727" t="s">
        <v>74</v>
      </c>
      <c r="BE727" t="s">
        <v>14303</v>
      </c>
      <c r="BF727" t="str">
        <f>HYPERLINK("http://dx.doi.org/10.1017/aog.2021.7","http://dx.doi.org/10.1017/aog.2021.7")</f>
        <v>http://dx.doi.org/10.1017/aog.2021.7</v>
      </c>
      <c r="BG727" t="s">
        <v>74</v>
      </c>
      <c r="BH727" t="s">
        <v>74</v>
      </c>
      <c r="BI727">
        <v>13</v>
      </c>
      <c r="BJ727" t="s">
        <v>340</v>
      </c>
      <c r="BK727" t="s">
        <v>101</v>
      </c>
      <c r="BL727" t="s">
        <v>341</v>
      </c>
      <c r="BM727" t="s">
        <v>14135</v>
      </c>
      <c r="BN727" t="s">
        <v>74</v>
      </c>
      <c r="BO727" t="s">
        <v>14304</v>
      </c>
      <c r="BP727" t="s">
        <v>74</v>
      </c>
      <c r="BQ727" t="s">
        <v>74</v>
      </c>
      <c r="BR727" t="s">
        <v>105</v>
      </c>
      <c r="BS727" t="s">
        <v>14305</v>
      </c>
      <c r="BT727" t="str">
        <f>HYPERLINK("https%3A%2F%2Fwww.webofscience.com%2Fwos%2Fwoscc%2Ffull-record%2FWOS:000756851600012","View Full Record in Web of Science")</f>
        <v>View Full Record in Web of Science</v>
      </c>
    </row>
    <row r="728" spans="1:72" x14ac:dyDescent="0.15">
      <c r="A728" t="s">
        <v>72</v>
      </c>
      <c r="B728" t="s">
        <v>14306</v>
      </c>
      <c r="C728" t="s">
        <v>74</v>
      </c>
      <c r="D728" t="s">
        <v>74</v>
      </c>
      <c r="E728" t="s">
        <v>74</v>
      </c>
      <c r="F728" t="s">
        <v>14307</v>
      </c>
      <c r="G728" t="s">
        <v>74</v>
      </c>
      <c r="H728" t="s">
        <v>74</v>
      </c>
      <c r="I728" t="s">
        <v>14308</v>
      </c>
      <c r="J728" t="s">
        <v>14116</v>
      </c>
      <c r="K728" t="s">
        <v>74</v>
      </c>
      <c r="L728" t="s">
        <v>74</v>
      </c>
      <c r="M728" t="s">
        <v>78</v>
      </c>
      <c r="N728" t="s">
        <v>79</v>
      </c>
      <c r="O728" t="s">
        <v>74</v>
      </c>
      <c r="P728" t="s">
        <v>74</v>
      </c>
      <c r="Q728" t="s">
        <v>74</v>
      </c>
      <c r="R728" t="s">
        <v>74</v>
      </c>
      <c r="S728" t="s">
        <v>74</v>
      </c>
      <c r="T728" t="s">
        <v>14309</v>
      </c>
      <c r="U728" t="s">
        <v>14310</v>
      </c>
      <c r="V728" t="s">
        <v>14311</v>
      </c>
      <c r="W728" t="s">
        <v>14312</v>
      </c>
      <c r="X728" t="s">
        <v>14313</v>
      </c>
      <c r="Y728" t="s">
        <v>14314</v>
      </c>
      <c r="Z728" t="s">
        <v>14315</v>
      </c>
      <c r="AA728" t="s">
        <v>14316</v>
      </c>
      <c r="AB728" t="s">
        <v>14317</v>
      </c>
      <c r="AC728" t="s">
        <v>14318</v>
      </c>
      <c r="AD728" t="s">
        <v>14319</v>
      </c>
      <c r="AE728" t="s">
        <v>14320</v>
      </c>
      <c r="AF728" t="s">
        <v>74</v>
      </c>
      <c r="AG728">
        <v>23</v>
      </c>
      <c r="AH728">
        <v>9</v>
      </c>
      <c r="AI728">
        <v>9</v>
      </c>
      <c r="AJ728">
        <v>1</v>
      </c>
      <c r="AK728">
        <v>8</v>
      </c>
      <c r="AL728" t="s">
        <v>666</v>
      </c>
      <c r="AM728" t="s">
        <v>994</v>
      </c>
      <c r="AN728" t="s">
        <v>995</v>
      </c>
      <c r="AO728" t="s">
        <v>14129</v>
      </c>
      <c r="AP728" t="s">
        <v>14130</v>
      </c>
      <c r="AQ728" t="s">
        <v>74</v>
      </c>
      <c r="AR728" t="s">
        <v>14131</v>
      </c>
      <c r="AS728" t="s">
        <v>14132</v>
      </c>
      <c r="AT728" t="s">
        <v>627</v>
      </c>
      <c r="AU728">
        <v>2021</v>
      </c>
      <c r="AV728">
        <v>62</v>
      </c>
      <c r="AW728" t="s">
        <v>14133</v>
      </c>
      <c r="AX728" t="s">
        <v>74</v>
      </c>
      <c r="AY728" t="s">
        <v>74</v>
      </c>
      <c r="AZ728" t="s">
        <v>74</v>
      </c>
      <c r="BA728" t="s">
        <v>74</v>
      </c>
      <c r="BB728">
        <v>324</v>
      </c>
      <c r="BC728">
        <v>339</v>
      </c>
      <c r="BD728" t="s">
        <v>74</v>
      </c>
      <c r="BE728" t="s">
        <v>14321</v>
      </c>
      <c r="BF728" t="str">
        <f>HYPERLINK("http://dx.doi.org/10.1017/aog.2021.13","http://dx.doi.org/10.1017/aog.2021.13")</f>
        <v>http://dx.doi.org/10.1017/aog.2021.13</v>
      </c>
      <c r="BG728" t="s">
        <v>74</v>
      </c>
      <c r="BH728" t="s">
        <v>74</v>
      </c>
      <c r="BI728">
        <v>16</v>
      </c>
      <c r="BJ728" t="s">
        <v>340</v>
      </c>
      <c r="BK728" t="s">
        <v>101</v>
      </c>
      <c r="BL728" t="s">
        <v>341</v>
      </c>
      <c r="BM728" t="s">
        <v>14135</v>
      </c>
      <c r="BN728" t="s">
        <v>74</v>
      </c>
      <c r="BO728" t="s">
        <v>1094</v>
      </c>
      <c r="BP728" t="s">
        <v>74</v>
      </c>
      <c r="BQ728" t="s">
        <v>74</v>
      </c>
      <c r="BR728" t="s">
        <v>105</v>
      </c>
      <c r="BS728" t="s">
        <v>14322</v>
      </c>
      <c r="BT728" t="str">
        <f>HYPERLINK("https%3A%2F%2Fwww.webofscience.com%2Fwos%2Fwoscc%2Ffull-record%2FWOS:000756851600013","View Full Record in Web of Science")</f>
        <v>View Full Record in Web of Science</v>
      </c>
    </row>
    <row r="729" spans="1:72" x14ac:dyDescent="0.15">
      <c r="A729" t="s">
        <v>72</v>
      </c>
      <c r="B729" t="s">
        <v>14323</v>
      </c>
      <c r="C729" t="s">
        <v>74</v>
      </c>
      <c r="D729" t="s">
        <v>74</v>
      </c>
      <c r="E729" t="s">
        <v>74</v>
      </c>
      <c r="F729" t="s">
        <v>14324</v>
      </c>
      <c r="G729" t="s">
        <v>74</v>
      </c>
      <c r="H729" t="s">
        <v>11040</v>
      </c>
      <c r="I729" t="s">
        <v>14325</v>
      </c>
      <c r="J729" t="s">
        <v>14116</v>
      </c>
      <c r="K729" t="s">
        <v>74</v>
      </c>
      <c r="L729" t="s">
        <v>74</v>
      </c>
      <c r="M729" t="s">
        <v>78</v>
      </c>
      <c r="N729" t="s">
        <v>79</v>
      </c>
      <c r="O729" t="s">
        <v>74</v>
      </c>
      <c r="P729" t="s">
        <v>74</v>
      </c>
      <c r="Q729" t="s">
        <v>74</v>
      </c>
      <c r="R729" t="s">
        <v>74</v>
      </c>
      <c r="S729" t="s">
        <v>74</v>
      </c>
      <c r="T729" t="s">
        <v>14326</v>
      </c>
      <c r="U729" t="s">
        <v>14327</v>
      </c>
      <c r="V729" t="s">
        <v>14328</v>
      </c>
      <c r="W729" t="s">
        <v>14329</v>
      </c>
      <c r="X729" t="s">
        <v>14330</v>
      </c>
      <c r="Y729" t="s">
        <v>14331</v>
      </c>
      <c r="Z729" t="s">
        <v>14332</v>
      </c>
      <c r="AA729" t="s">
        <v>14333</v>
      </c>
      <c r="AB729" t="s">
        <v>14334</v>
      </c>
      <c r="AC729" t="s">
        <v>14335</v>
      </c>
      <c r="AD729" t="s">
        <v>14336</v>
      </c>
      <c r="AE729" t="s">
        <v>14337</v>
      </c>
      <c r="AF729" t="s">
        <v>74</v>
      </c>
      <c r="AG729">
        <v>50</v>
      </c>
      <c r="AH729">
        <v>25</v>
      </c>
      <c r="AI729">
        <v>26</v>
      </c>
      <c r="AJ729">
        <v>4</v>
      </c>
      <c r="AK729">
        <v>22</v>
      </c>
      <c r="AL729" t="s">
        <v>666</v>
      </c>
      <c r="AM729" t="s">
        <v>994</v>
      </c>
      <c r="AN729" t="s">
        <v>995</v>
      </c>
      <c r="AO729" t="s">
        <v>14129</v>
      </c>
      <c r="AP729" t="s">
        <v>14130</v>
      </c>
      <c r="AQ729" t="s">
        <v>74</v>
      </c>
      <c r="AR729" t="s">
        <v>14131</v>
      </c>
      <c r="AS729" t="s">
        <v>14132</v>
      </c>
      <c r="AT729" t="s">
        <v>627</v>
      </c>
      <c r="AU729">
        <v>2021</v>
      </c>
      <c r="AV729">
        <v>62</v>
      </c>
      <c r="AW729" t="s">
        <v>14133</v>
      </c>
      <c r="AX729" t="s">
        <v>74</v>
      </c>
      <c r="AY729" t="s">
        <v>74</v>
      </c>
      <c r="AZ729" t="s">
        <v>74</v>
      </c>
      <c r="BA729" t="s">
        <v>74</v>
      </c>
      <c r="BB729">
        <v>340</v>
      </c>
      <c r="BC729">
        <v>352</v>
      </c>
      <c r="BD729" t="s">
        <v>74</v>
      </c>
      <c r="BE729" t="s">
        <v>14338</v>
      </c>
      <c r="BF729" t="str">
        <f>HYPERLINK("http://dx.doi.org/10.1017/aog.2021.10","http://dx.doi.org/10.1017/aog.2021.10")</f>
        <v>http://dx.doi.org/10.1017/aog.2021.10</v>
      </c>
      <c r="BG729" t="s">
        <v>74</v>
      </c>
      <c r="BH729" t="s">
        <v>74</v>
      </c>
      <c r="BI729">
        <v>13</v>
      </c>
      <c r="BJ729" t="s">
        <v>340</v>
      </c>
      <c r="BK729" t="s">
        <v>101</v>
      </c>
      <c r="BL729" t="s">
        <v>341</v>
      </c>
      <c r="BM729" t="s">
        <v>14135</v>
      </c>
      <c r="BN729" t="s">
        <v>74</v>
      </c>
      <c r="BO729" t="s">
        <v>1094</v>
      </c>
      <c r="BP729" t="s">
        <v>74</v>
      </c>
      <c r="BQ729" t="s">
        <v>74</v>
      </c>
      <c r="BR729" t="s">
        <v>105</v>
      </c>
      <c r="BS729" t="s">
        <v>14339</v>
      </c>
      <c r="BT729" t="str">
        <f>HYPERLINK("https%3A%2F%2Fwww.webofscience.com%2Fwos%2Fwoscc%2Ffull-record%2FWOS:000756851600014","View Full Record in Web of Science")</f>
        <v>View Full Record in Web of Science</v>
      </c>
    </row>
    <row r="730" spans="1:72" x14ac:dyDescent="0.15">
      <c r="A730" t="s">
        <v>72</v>
      </c>
      <c r="B730" t="s">
        <v>14340</v>
      </c>
      <c r="C730" t="s">
        <v>74</v>
      </c>
      <c r="D730" t="s">
        <v>74</v>
      </c>
      <c r="E730" t="s">
        <v>74</v>
      </c>
      <c r="F730" t="s">
        <v>14341</v>
      </c>
      <c r="G730" t="s">
        <v>74</v>
      </c>
      <c r="H730" t="s">
        <v>74</v>
      </c>
      <c r="I730" t="s">
        <v>14342</v>
      </c>
      <c r="J730" t="s">
        <v>14116</v>
      </c>
      <c r="K730" t="s">
        <v>74</v>
      </c>
      <c r="L730" t="s">
        <v>74</v>
      </c>
      <c r="M730" t="s">
        <v>78</v>
      </c>
      <c r="N730" t="s">
        <v>79</v>
      </c>
      <c r="O730" t="s">
        <v>74</v>
      </c>
      <c r="P730" t="s">
        <v>74</v>
      </c>
      <c r="Q730" t="s">
        <v>74</v>
      </c>
      <c r="R730" t="s">
        <v>74</v>
      </c>
      <c r="S730" t="s">
        <v>74</v>
      </c>
      <c r="T730" t="s">
        <v>14343</v>
      </c>
      <c r="U730" t="s">
        <v>14344</v>
      </c>
      <c r="V730" t="s">
        <v>14345</v>
      </c>
      <c r="W730" t="s">
        <v>14346</v>
      </c>
      <c r="X730" t="s">
        <v>14347</v>
      </c>
      <c r="Y730" t="s">
        <v>14348</v>
      </c>
      <c r="Z730" t="s">
        <v>14349</v>
      </c>
      <c r="AA730" t="s">
        <v>14265</v>
      </c>
      <c r="AB730" t="s">
        <v>14350</v>
      </c>
      <c r="AC730" t="s">
        <v>74</v>
      </c>
      <c r="AD730" t="s">
        <v>74</v>
      </c>
      <c r="AE730" t="s">
        <v>74</v>
      </c>
      <c r="AF730" t="s">
        <v>74</v>
      </c>
      <c r="AG730">
        <v>18</v>
      </c>
      <c r="AH730">
        <v>0</v>
      </c>
      <c r="AI730">
        <v>0</v>
      </c>
      <c r="AJ730">
        <v>0</v>
      </c>
      <c r="AK730">
        <v>11</v>
      </c>
      <c r="AL730" t="s">
        <v>666</v>
      </c>
      <c r="AM730" t="s">
        <v>994</v>
      </c>
      <c r="AN730" t="s">
        <v>995</v>
      </c>
      <c r="AO730" t="s">
        <v>14129</v>
      </c>
      <c r="AP730" t="s">
        <v>14130</v>
      </c>
      <c r="AQ730" t="s">
        <v>74</v>
      </c>
      <c r="AR730" t="s">
        <v>14131</v>
      </c>
      <c r="AS730" t="s">
        <v>14132</v>
      </c>
      <c r="AT730" t="s">
        <v>627</v>
      </c>
      <c r="AU730">
        <v>2021</v>
      </c>
      <c r="AV730">
        <v>62</v>
      </c>
      <c r="AW730" t="s">
        <v>14133</v>
      </c>
      <c r="AX730" t="s">
        <v>74</v>
      </c>
      <c r="AY730" t="s">
        <v>74</v>
      </c>
      <c r="AZ730" t="s">
        <v>74</v>
      </c>
      <c r="BA730" t="s">
        <v>74</v>
      </c>
      <c r="BB730">
        <v>374</v>
      </c>
      <c r="BC730">
        <v>384</v>
      </c>
      <c r="BD730" t="s">
        <v>74</v>
      </c>
      <c r="BE730" t="s">
        <v>14351</v>
      </c>
      <c r="BF730" t="str">
        <f>HYPERLINK("http://dx.doi.org/10.1017/aog.2021.17","http://dx.doi.org/10.1017/aog.2021.17")</f>
        <v>http://dx.doi.org/10.1017/aog.2021.17</v>
      </c>
      <c r="BG730" t="s">
        <v>74</v>
      </c>
      <c r="BH730" t="s">
        <v>74</v>
      </c>
      <c r="BI730">
        <v>11</v>
      </c>
      <c r="BJ730" t="s">
        <v>340</v>
      </c>
      <c r="BK730" t="s">
        <v>101</v>
      </c>
      <c r="BL730" t="s">
        <v>341</v>
      </c>
      <c r="BM730" t="s">
        <v>14135</v>
      </c>
      <c r="BN730" t="s">
        <v>74</v>
      </c>
      <c r="BO730" t="s">
        <v>210</v>
      </c>
      <c r="BP730" t="s">
        <v>74</v>
      </c>
      <c r="BQ730" t="s">
        <v>74</v>
      </c>
      <c r="BR730" t="s">
        <v>105</v>
      </c>
      <c r="BS730" t="s">
        <v>14352</v>
      </c>
      <c r="BT730" t="str">
        <f>HYPERLINK("https%3A%2F%2Fwww.webofscience.com%2Fwos%2Fwoscc%2Ffull-record%2FWOS:000756851600017","View Full Record in Web of Science")</f>
        <v>View Full Record in Web of Science</v>
      </c>
    </row>
    <row r="731" spans="1:72" x14ac:dyDescent="0.15">
      <c r="A731" t="s">
        <v>72</v>
      </c>
      <c r="B731" t="s">
        <v>14353</v>
      </c>
      <c r="C731" t="s">
        <v>74</v>
      </c>
      <c r="D731" t="s">
        <v>74</v>
      </c>
      <c r="E731" t="s">
        <v>74</v>
      </c>
      <c r="F731" t="s">
        <v>14354</v>
      </c>
      <c r="G731" t="s">
        <v>74</v>
      </c>
      <c r="H731" t="s">
        <v>74</v>
      </c>
      <c r="I731" t="s">
        <v>14355</v>
      </c>
      <c r="J731" t="s">
        <v>14116</v>
      </c>
      <c r="K731" t="s">
        <v>74</v>
      </c>
      <c r="L731" t="s">
        <v>74</v>
      </c>
      <c r="M731" t="s">
        <v>78</v>
      </c>
      <c r="N731" t="s">
        <v>79</v>
      </c>
      <c r="O731" t="s">
        <v>74</v>
      </c>
      <c r="P731" t="s">
        <v>74</v>
      </c>
      <c r="Q731" t="s">
        <v>74</v>
      </c>
      <c r="R731" t="s">
        <v>74</v>
      </c>
      <c r="S731" t="s">
        <v>74</v>
      </c>
      <c r="T731" t="s">
        <v>14356</v>
      </c>
      <c r="U731" t="s">
        <v>14357</v>
      </c>
      <c r="V731" t="s">
        <v>14358</v>
      </c>
      <c r="W731" t="s">
        <v>14359</v>
      </c>
      <c r="X731" t="s">
        <v>940</v>
      </c>
      <c r="Y731" t="s">
        <v>14231</v>
      </c>
      <c r="Z731" t="s">
        <v>14232</v>
      </c>
      <c r="AA731" t="s">
        <v>14217</v>
      </c>
      <c r="AB731" t="s">
        <v>14218</v>
      </c>
      <c r="AC731" t="s">
        <v>14360</v>
      </c>
      <c r="AD731" t="s">
        <v>14361</v>
      </c>
      <c r="AE731" t="s">
        <v>14362</v>
      </c>
      <c r="AF731" t="s">
        <v>74</v>
      </c>
      <c r="AG731">
        <v>12</v>
      </c>
      <c r="AH731">
        <v>3</v>
      </c>
      <c r="AI731">
        <v>4</v>
      </c>
      <c r="AJ731">
        <v>3</v>
      </c>
      <c r="AK731">
        <v>10</v>
      </c>
      <c r="AL731" t="s">
        <v>666</v>
      </c>
      <c r="AM731" t="s">
        <v>994</v>
      </c>
      <c r="AN731" t="s">
        <v>995</v>
      </c>
      <c r="AO731" t="s">
        <v>14129</v>
      </c>
      <c r="AP731" t="s">
        <v>14130</v>
      </c>
      <c r="AQ731" t="s">
        <v>74</v>
      </c>
      <c r="AR731" t="s">
        <v>14131</v>
      </c>
      <c r="AS731" t="s">
        <v>14132</v>
      </c>
      <c r="AT731" t="s">
        <v>627</v>
      </c>
      <c r="AU731">
        <v>2021</v>
      </c>
      <c r="AV731">
        <v>62</v>
      </c>
      <c r="AW731" t="s">
        <v>14133</v>
      </c>
      <c r="AX731" t="s">
        <v>74</v>
      </c>
      <c r="AY731" t="s">
        <v>74</v>
      </c>
      <c r="AZ731" t="s">
        <v>74</v>
      </c>
      <c r="BA731" t="s">
        <v>74</v>
      </c>
      <c r="BB731">
        <v>385</v>
      </c>
      <c r="BC731">
        <v>389</v>
      </c>
      <c r="BD731" t="s">
        <v>74</v>
      </c>
      <c r="BE731" t="s">
        <v>14363</v>
      </c>
      <c r="BF731" t="str">
        <f>HYPERLINK("http://dx.doi.org/10.1017/aog.2020.83","http://dx.doi.org/10.1017/aog.2020.83")</f>
        <v>http://dx.doi.org/10.1017/aog.2020.83</v>
      </c>
      <c r="BG731" t="s">
        <v>74</v>
      </c>
      <c r="BH731" t="s">
        <v>74</v>
      </c>
      <c r="BI731">
        <v>5</v>
      </c>
      <c r="BJ731" t="s">
        <v>340</v>
      </c>
      <c r="BK731" t="s">
        <v>101</v>
      </c>
      <c r="BL731" t="s">
        <v>341</v>
      </c>
      <c r="BM731" t="s">
        <v>14135</v>
      </c>
      <c r="BN731" t="s">
        <v>74</v>
      </c>
      <c r="BO731" t="s">
        <v>1117</v>
      </c>
      <c r="BP731" t="s">
        <v>74</v>
      </c>
      <c r="BQ731" t="s">
        <v>74</v>
      </c>
      <c r="BR731" t="s">
        <v>105</v>
      </c>
      <c r="BS731" t="s">
        <v>14364</v>
      </c>
      <c r="BT731" t="str">
        <f>HYPERLINK("https%3A%2F%2Fwww.webofscience.com%2Fwos%2Fwoscc%2Ffull-record%2FWOS:000756851600018","View Full Record in Web of Science")</f>
        <v>View Full Record in Web of Science</v>
      </c>
    </row>
    <row r="732" spans="1:72" x14ac:dyDescent="0.15">
      <c r="A732" t="s">
        <v>72</v>
      </c>
      <c r="B732" t="s">
        <v>14365</v>
      </c>
      <c r="C732" t="s">
        <v>74</v>
      </c>
      <c r="D732" t="s">
        <v>74</v>
      </c>
      <c r="E732" t="s">
        <v>74</v>
      </c>
      <c r="F732" t="s">
        <v>14366</v>
      </c>
      <c r="G732" t="s">
        <v>74</v>
      </c>
      <c r="H732" t="s">
        <v>74</v>
      </c>
      <c r="I732" t="s">
        <v>14367</v>
      </c>
      <c r="J732" t="s">
        <v>14116</v>
      </c>
      <c r="K732" t="s">
        <v>74</v>
      </c>
      <c r="L732" t="s">
        <v>74</v>
      </c>
      <c r="M732" t="s">
        <v>78</v>
      </c>
      <c r="N732" t="s">
        <v>111</v>
      </c>
      <c r="O732" t="s">
        <v>74</v>
      </c>
      <c r="P732" t="s">
        <v>74</v>
      </c>
      <c r="Q732" t="s">
        <v>74</v>
      </c>
      <c r="R732" t="s">
        <v>74</v>
      </c>
      <c r="S732" t="s">
        <v>74</v>
      </c>
      <c r="T732" t="s">
        <v>74</v>
      </c>
      <c r="U732" t="s">
        <v>74</v>
      </c>
      <c r="V732" t="s">
        <v>74</v>
      </c>
      <c r="W732" t="s">
        <v>14368</v>
      </c>
      <c r="X732" t="s">
        <v>14369</v>
      </c>
      <c r="Y732" t="s">
        <v>14370</v>
      </c>
      <c r="Z732" t="s">
        <v>74</v>
      </c>
      <c r="AA732" t="s">
        <v>14371</v>
      </c>
      <c r="AB732" t="s">
        <v>74</v>
      </c>
      <c r="AC732" t="s">
        <v>74</v>
      </c>
      <c r="AD732" t="s">
        <v>74</v>
      </c>
      <c r="AE732" t="s">
        <v>74</v>
      </c>
      <c r="AF732" t="s">
        <v>74</v>
      </c>
      <c r="AG732">
        <v>1</v>
      </c>
      <c r="AH732">
        <v>0</v>
      </c>
      <c r="AI732">
        <v>0</v>
      </c>
      <c r="AJ732">
        <v>0</v>
      </c>
      <c r="AK732">
        <v>1</v>
      </c>
      <c r="AL732" t="s">
        <v>666</v>
      </c>
      <c r="AM732" t="s">
        <v>994</v>
      </c>
      <c r="AN732" t="s">
        <v>995</v>
      </c>
      <c r="AO732" t="s">
        <v>14129</v>
      </c>
      <c r="AP732" t="s">
        <v>14130</v>
      </c>
      <c r="AQ732" t="s">
        <v>74</v>
      </c>
      <c r="AR732" t="s">
        <v>14131</v>
      </c>
      <c r="AS732" t="s">
        <v>14132</v>
      </c>
      <c r="AT732" t="s">
        <v>627</v>
      </c>
      <c r="AU732">
        <v>2021</v>
      </c>
      <c r="AV732">
        <v>62</v>
      </c>
      <c r="AW732" t="s">
        <v>14133</v>
      </c>
      <c r="AX732" t="s">
        <v>74</v>
      </c>
      <c r="AY732" t="s">
        <v>74</v>
      </c>
      <c r="AZ732" t="s">
        <v>74</v>
      </c>
      <c r="BA732" t="s">
        <v>74</v>
      </c>
      <c r="BB732">
        <v>391</v>
      </c>
      <c r="BC732">
        <v>391</v>
      </c>
      <c r="BD732" t="s">
        <v>74</v>
      </c>
      <c r="BE732" t="s">
        <v>14372</v>
      </c>
      <c r="BF732" t="str">
        <f>HYPERLINK("http://dx.doi.org/10.1017/aog.2021.18","http://dx.doi.org/10.1017/aog.2021.18")</f>
        <v>http://dx.doi.org/10.1017/aog.2021.18</v>
      </c>
      <c r="BG732" t="s">
        <v>74</v>
      </c>
      <c r="BH732" t="s">
        <v>74</v>
      </c>
      <c r="BI732">
        <v>1</v>
      </c>
      <c r="BJ732" t="s">
        <v>340</v>
      </c>
      <c r="BK732" t="s">
        <v>101</v>
      </c>
      <c r="BL732" t="s">
        <v>341</v>
      </c>
      <c r="BM732" t="s">
        <v>14135</v>
      </c>
      <c r="BN732" t="s">
        <v>74</v>
      </c>
      <c r="BO732" t="s">
        <v>210</v>
      </c>
      <c r="BP732" t="s">
        <v>74</v>
      </c>
      <c r="BQ732" t="s">
        <v>74</v>
      </c>
      <c r="BR732" t="s">
        <v>105</v>
      </c>
      <c r="BS732" t="s">
        <v>14373</v>
      </c>
      <c r="BT732" t="str">
        <f>HYPERLINK("https%3A%2F%2Fwww.webofscience.com%2Fwos%2Fwoscc%2Ffull-record%2FWOS:000756851600020","View Full Record in Web of Science")</f>
        <v>View Full Record in Web of Science</v>
      </c>
    </row>
    <row r="733" spans="1:72" x14ac:dyDescent="0.15">
      <c r="A733" t="s">
        <v>72</v>
      </c>
      <c r="B733" t="s">
        <v>14374</v>
      </c>
      <c r="C733" t="s">
        <v>74</v>
      </c>
      <c r="D733" t="s">
        <v>74</v>
      </c>
      <c r="E733" t="s">
        <v>74</v>
      </c>
      <c r="F733" t="s">
        <v>14375</v>
      </c>
      <c r="G733" t="s">
        <v>74</v>
      </c>
      <c r="H733" t="s">
        <v>74</v>
      </c>
      <c r="I733" t="s">
        <v>14376</v>
      </c>
      <c r="J733" t="s">
        <v>4347</v>
      </c>
      <c r="K733" t="s">
        <v>74</v>
      </c>
      <c r="L733" t="s">
        <v>74</v>
      </c>
      <c r="M733" t="s">
        <v>78</v>
      </c>
      <c r="N733" t="s">
        <v>79</v>
      </c>
      <c r="O733" t="s">
        <v>74</v>
      </c>
      <c r="P733" t="s">
        <v>74</v>
      </c>
      <c r="Q733" t="s">
        <v>74</v>
      </c>
      <c r="R733" t="s">
        <v>74</v>
      </c>
      <c r="S733" t="s">
        <v>74</v>
      </c>
      <c r="T733" t="s">
        <v>14377</v>
      </c>
      <c r="U733" t="s">
        <v>14378</v>
      </c>
      <c r="V733" t="s">
        <v>14379</v>
      </c>
      <c r="W733" t="s">
        <v>14380</v>
      </c>
      <c r="X733" t="s">
        <v>14381</v>
      </c>
      <c r="Y733" t="s">
        <v>14382</v>
      </c>
      <c r="Z733" t="s">
        <v>14383</v>
      </c>
      <c r="AA733" t="s">
        <v>74</v>
      </c>
      <c r="AB733" t="s">
        <v>74</v>
      </c>
      <c r="AC733" t="s">
        <v>14384</v>
      </c>
      <c r="AD733" t="s">
        <v>14385</v>
      </c>
      <c r="AE733" t="s">
        <v>14386</v>
      </c>
      <c r="AF733" t="s">
        <v>74</v>
      </c>
      <c r="AG733">
        <v>64</v>
      </c>
      <c r="AH733">
        <v>0</v>
      </c>
      <c r="AI733">
        <v>0</v>
      </c>
      <c r="AJ733">
        <v>1</v>
      </c>
      <c r="AK733">
        <v>8</v>
      </c>
      <c r="AL733" t="s">
        <v>4312</v>
      </c>
      <c r="AM733" t="s">
        <v>4313</v>
      </c>
      <c r="AN733" t="s">
        <v>4314</v>
      </c>
      <c r="AO733" t="s">
        <v>4360</v>
      </c>
      <c r="AP733" t="s">
        <v>4361</v>
      </c>
      <c r="AQ733" t="s">
        <v>74</v>
      </c>
      <c r="AR733" t="s">
        <v>4362</v>
      </c>
      <c r="AS733" t="s">
        <v>4363</v>
      </c>
      <c r="AT733" t="s">
        <v>627</v>
      </c>
      <c r="AU733">
        <v>2021</v>
      </c>
      <c r="AV733">
        <v>34</v>
      </c>
      <c r="AW733">
        <v>18</v>
      </c>
      <c r="AX733" t="s">
        <v>74</v>
      </c>
      <c r="AY733" t="s">
        <v>74</v>
      </c>
      <c r="AZ733" t="s">
        <v>74</v>
      </c>
      <c r="BA733" t="s">
        <v>74</v>
      </c>
      <c r="BB733">
        <v>7461</v>
      </c>
      <c r="BC733">
        <v>7473</v>
      </c>
      <c r="BD733" t="s">
        <v>74</v>
      </c>
      <c r="BE733" t="s">
        <v>14387</v>
      </c>
      <c r="BF733" t="str">
        <f>HYPERLINK("http://dx.doi.org/10.1175/JCLI-D-20-0902.1","http://dx.doi.org/10.1175/JCLI-D-20-0902.1")</f>
        <v>http://dx.doi.org/10.1175/JCLI-D-20-0902.1</v>
      </c>
      <c r="BG733" t="s">
        <v>74</v>
      </c>
      <c r="BH733" t="s">
        <v>74</v>
      </c>
      <c r="BI733">
        <v>13</v>
      </c>
      <c r="BJ733" t="s">
        <v>829</v>
      </c>
      <c r="BK733" t="s">
        <v>101</v>
      </c>
      <c r="BL733" t="s">
        <v>829</v>
      </c>
      <c r="BM733" t="s">
        <v>14388</v>
      </c>
      <c r="BN733" t="s">
        <v>74</v>
      </c>
      <c r="BO733" t="s">
        <v>74</v>
      </c>
      <c r="BP733" t="s">
        <v>74</v>
      </c>
      <c r="BQ733" t="s">
        <v>74</v>
      </c>
      <c r="BR733" t="s">
        <v>105</v>
      </c>
      <c r="BS733" t="s">
        <v>14389</v>
      </c>
      <c r="BT733" t="str">
        <f>HYPERLINK("https%3A%2F%2Fwww.webofscience.com%2Fwos%2Fwoscc%2Ffull-record%2FWOS:000752626900009","View Full Record in Web of Science")</f>
        <v>View Full Record in Web of Science</v>
      </c>
    </row>
    <row r="734" spans="1:72" x14ac:dyDescent="0.15">
      <c r="A734" t="s">
        <v>72</v>
      </c>
      <c r="B734" t="s">
        <v>14390</v>
      </c>
      <c r="C734" t="s">
        <v>74</v>
      </c>
      <c r="D734" t="s">
        <v>74</v>
      </c>
      <c r="E734" t="s">
        <v>74</v>
      </c>
      <c r="F734" t="s">
        <v>14391</v>
      </c>
      <c r="G734" t="s">
        <v>74</v>
      </c>
      <c r="H734" t="s">
        <v>74</v>
      </c>
      <c r="I734" t="s">
        <v>14392</v>
      </c>
      <c r="J734" t="s">
        <v>4347</v>
      </c>
      <c r="K734" t="s">
        <v>74</v>
      </c>
      <c r="L734" t="s">
        <v>74</v>
      </c>
      <c r="M734" t="s">
        <v>78</v>
      </c>
      <c r="N734" t="s">
        <v>79</v>
      </c>
      <c r="O734" t="s">
        <v>74</v>
      </c>
      <c r="P734" t="s">
        <v>74</v>
      </c>
      <c r="Q734" t="s">
        <v>74</v>
      </c>
      <c r="R734" t="s">
        <v>74</v>
      </c>
      <c r="S734" t="s">
        <v>74</v>
      </c>
      <c r="T734" t="s">
        <v>14393</v>
      </c>
      <c r="U734" t="s">
        <v>14394</v>
      </c>
      <c r="V734" t="s">
        <v>14395</v>
      </c>
      <c r="W734" t="s">
        <v>14396</v>
      </c>
      <c r="X734" t="s">
        <v>14397</v>
      </c>
      <c r="Y734" t="s">
        <v>14398</v>
      </c>
      <c r="Z734" t="s">
        <v>14399</v>
      </c>
      <c r="AA734" t="s">
        <v>14400</v>
      </c>
      <c r="AB734" t="s">
        <v>14401</v>
      </c>
      <c r="AC734" t="s">
        <v>14402</v>
      </c>
      <c r="AD734" t="s">
        <v>14403</v>
      </c>
      <c r="AE734" t="s">
        <v>14404</v>
      </c>
      <c r="AF734" t="s">
        <v>74</v>
      </c>
      <c r="AG734">
        <v>70</v>
      </c>
      <c r="AH734">
        <v>6</v>
      </c>
      <c r="AI734">
        <v>7</v>
      </c>
      <c r="AJ734">
        <v>2</v>
      </c>
      <c r="AK734">
        <v>5</v>
      </c>
      <c r="AL734" t="s">
        <v>4312</v>
      </c>
      <c r="AM734" t="s">
        <v>4313</v>
      </c>
      <c r="AN734" t="s">
        <v>4314</v>
      </c>
      <c r="AO734" t="s">
        <v>4360</v>
      </c>
      <c r="AP734" t="s">
        <v>4361</v>
      </c>
      <c r="AQ734" t="s">
        <v>74</v>
      </c>
      <c r="AR734" t="s">
        <v>4362</v>
      </c>
      <c r="AS734" t="s">
        <v>4363</v>
      </c>
      <c r="AT734" t="s">
        <v>627</v>
      </c>
      <c r="AU734">
        <v>2021</v>
      </c>
      <c r="AV734">
        <v>34</v>
      </c>
      <c r="AW734">
        <v>18</v>
      </c>
      <c r="AX734" t="s">
        <v>74</v>
      </c>
      <c r="AY734" t="s">
        <v>74</v>
      </c>
      <c r="AZ734" t="s">
        <v>74</v>
      </c>
      <c r="BA734" t="s">
        <v>74</v>
      </c>
      <c r="BB734">
        <v>7555</v>
      </c>
      <c r="BC734">
        <v>7570</v>
      </c>
      <c r="BD734" t="s">
        <v>74</v>
      </c>
      <c r="BE734" t="s">
        <v>14405</v>
      </c>
      <c r="BF734" t="str">
        <f>HYPERLINK("http://dx.doi.org/10.1175/JCLI-D-21-0125.1","http://dx.doi.org/10.1175/JCLI-D-21-0125.1")</f>
        <v>http://dx.doi.org/10.1175/JCLI-D-21-0125.1</v>
      </c>
      <c r="BG734" t="s">
        <v>74</v>
      </c>
      <c r="BH734" t="s">
        <v>74</v>
      </c>
      <c r="BI734">
        <v>16</v>
      </c>
      <c r="BJ734" t="s">
        <v>829</v>
      </c>
      <c r="BK734" t="s">
        <v>101</v>
      </c>
      <c r="BL734" t="s">
        <v>829</v>
      </c>
      <c r="BM734" t="s">
        <v>14388</v>
      </c>
      <c r="BN734" t="s">
        <v>74</v>
      </c>
      <c r="BO734" t="s">
        <v>2217</v>
      </c>
      <c r="BP734" t="s">
        <v>74</v>
      </c>
      <c r="BQ734" t="s">
        <v>74</v>
      </c>
      <c r="BR734" t="s">
        <v>105</v>
      </c>
      <c r="BS734" t="s">
        <v>14406</v>
      </c>
      <c r="BT734" t="str">
        <f>HYPERLINK("https%3A%2F%2Fwww.webofscience.com%2Fwos%2Fwoscc%2Ffull-record%2FWOS:000752626900014","View Full Record in Web of Science")</f>
        <v>View Full Record in Web of Science</v>
      </c>
    </row>
    <row r="735" spans="1:72" x14ac:dyDescent="0.15">
      <c r="A735" t="s">
        <v>72</v>
      </c>
      <c r="B735" t="s">
        <v>14407</v>
      </c>
      <c r="C735" t="s">
        <v>74</v>
      </c>
      <c r="D735" t="s">
        <v>74</v>
      </c>
      <c r="E735" t="s">
        <v>74</v>
      </c>
      <c r="F735" t="s">
        <v>14408</v>
      </c>
      <c r="G735" t="s">
        <v>74</v>
      </c>
      <c r="H735" t="s">
        <v>74</v>
      </c>
      <c r="I735" t="s">
        <v>14409</v>
      </c>
      <c r="J735" t="s">
        <v>4347</v>
      </c>
      <c r="K735" t="s">
        <v>74</v>
      </c>
      <c r="L735" t="s">
        <v>74</v>
      </c>
      <c r="M735" t="s">
        <v>78</v>
      </c>
      <c r="N735" t="s">
        <v>79</v>
      </c>
      <c r="O735" t="s">
        <v>74</v>
      </c>
      <c r="P735" t="s">
        <v>74</v>
      </c>
      <c r="Q735" t="s">
        <v>74</v>
      </c>
      <c r="R735" t="s">
        <v>74</v>
      </c>
      <c r="S735" t="s">
        <v>74</v>
      </c>
      <c r="T735" t="s">
        <v>14410</v>
      </c>
      <c r="U735" t="s">
        <v>14411</v>
      </c>
      <c r="V735" t="s">
        <v>14412</v>
      </c>
      <c r="W735" t="s">
        <v>14413</v>
      </c>
      <c r="X735" t="s">
        <v>14414</v>
      </c>
      <c r="Y735" t="s">
        <v>14415</v>
      </c>
      <c r="Z735" t="s">
        <v>14416</v>
      </c>
      <c r="AA735" t="s">
        <v>14417</v>
      </c>
      <c r="AB735" t="s">
        <v>14418</v>
      </c>
      <c r="AC735" t="s">
        <v>14419</v>
      </c>
      <c r="AD735" t="s">
        <v>14420</v>
      </c>
      <c r="AE735" t="s">
        <v>14421</v>
      </c>
      <c r="AF735" t="s">
        <v>74</v>
      </c>
      <c r="AG735">
        <v>61</v>
      </c>
      <c r="AH735">
        <v>1</v>
      </c>
      <c r="AI735">
        <v>1</v>
      </c>
      <c r="AJ735">
        <v>1</v>
      </c>
      <c r="AK735">
        <v>5</v>
      </c>
      <c r="AL735" t="s">
        <v>4312</v>
      </c>
      <c r="AM735" t="s">
        <v>4313</v>
      </c>
      <c r="AN735" t="s">
        <v>4383</v>
      </c>
      <c r="AO735" t="s">
        <v>4360</v>
      </c>
      <c r="AP735" t="s">
        <v>4361</v>
      </c>
      <c r="AQ735" t="s">
        <v>74</v>
      </c>
      <c r="AR735" t="s">
        <v>4362</v>
      </c>
      <c r="AS735" t="s">
        <v>4363</v>
      </c>
      <c r="AT735" t="s">
        <v>627</v>
      </c>
      <c r="AU735">
        <v>2021</v>
      </c>
      <c r="AV735">
        <v>34</v>
      </c>
      <c r="AW735">
        <v>18</v>
      </c>
      <c r="AX735" t="s">
        <v>74</v>
      </c>
      <c r="AY735" t="s">
        <v>74</v>
      </c>
      <c r="AZ735" t="s">
        <v>74</v>
      </c>
      <c r="BA735" t="s">
        <v>74</v>
      </c>
      <c r="BB735">
        <v>7677</v>
      </c>
      <c r="BC735">
        <v>7696</v>
      </c>
      <c r="BD735" t="s">
        <v>74</v>
      </c>
      <c r="BE735" t="s">
        <v>14422</v>
      </c>
      <c r="BF735" t="str">
        <f>HYPERLINK("http://dx.doi.org/10.1175/JCLI-D-20-0831.1","http://dx.doi.org/10.1175/JCLI-D-20-0831.1")</f>
        <v>http://dx.doi.org/10.1175/JCLI-D-20-0831.1</v>
      </c>
      <c r="BG735" t="s">
        <v>74</v>
      </c>
      <c r="BH735" t="s">
        <v>74</v>
      </c>
      <c r="BI735">
        <v>20</v>
      </c>
      <c r="BJ735" t="s">
        <v>829</v>
      </c>
      <c r="BK735" t="s">
        <v>101</v>
      </c>
      <c r="BL735" t="s">
        <v>829</v>
      </c>
      <c r="BM735" t="s">
        <v>14388</v>
      </c>
      <c r="BN735" t="s">
        <v>74</v>
      </c>
      <c r="BO735" t="s">
        <v>314</v>
      </c>
      <c r="BP735" t="s">
        <v>74</v>
      </c>
      <c r="BQ735" t="s">
        <v>74</v>
      </c>
      <c r="BR735" t="s">
        <v>105</v>
      </c>
      <c r="BS735" t="s">
        <v>14423</v>
      </c>
      <c r="BT735" t="str">
        <f>HYPERLINK("https%3A%2F%2Fwww.webofscience.com%2Fwos%2Fwoscc%2Ffull-record%2FWOS:000752626900021","View Full Record in Web of Science")</f>
        <v>View Full Record in Web of Science</v>
      </c>
    </row>
    <row r="736" spans="1:72" x14ac:dyDescent="0.15">
      <c r="A736" t="s">
        <v>72</v>
      </c>
      <c r="B736" t="s">
        <v>14424</v>
      </c>
      <c r="C736" t="s">
        <v>74</v>
      </c>
      <c r="D736" t="s">
        <v>74</v>
      </c>
      <c r="E736" t="s">
        <v>74</v>
      </c>
      <c r="F736" t="s">
        <v>14425</v>
      </c>
      <c r="G736" t="s">
        <v>74</v>
      </c>
      <c r="H736" t="s">
        <v>74</v>
      </c>
      <c r="I736" t="s">
        <v>14426</v>
      </c>
      <c r="J736" t="s">
        <v>4347</v>
      </c>
      <c r="K736" t="s">
        <v>74</v>
      </c>
      <c r="L736" t="s">
        <v>74</v>
      </c>
      <c r="M736" t="s">
        <v>78</v>
      </c>
      <c r="N736" t="s">
        <v>79</v>
      </c>
      <c r="O736" t="s">
        <v>74</v>
      </c>
      <c r="P736" t="s">
        <v>74</v>
      </c>
      <c r="Q736" t="s">
        <v>74</v>
      </c>
      <c r="R736" t="s">
        <v>74</v>
      </c>
      <c r="S736" t="s">
        <v>74</v>
      </c>
      <c r="T736" t="s">
        <v>14427</v>
      </c>
      <c r="U736" t="s">
        <v>14428</v>
      </c>
      <c r="V736" t="s">
        <v>14429</v>
      </c>
      <c r="W736" t="s">
        <v>14430</v>
      </c>
      <c r="X736" t="s">
        <v>14431</v>
      </c>
      <c r="Y736" t="s">
        <v>14432</v>
      </c>
      <c r="Z736" t="s">
        <v>14433</v>
      </c>
      <c r="AA736" t="s">
        <v>14434</v>
      </c>
      <c r="AB736" t="s">
        <v>14435</v>
      </c>
      <c r="AC736" t="s">
        <v>14436</v>
      </c>
      <c r="AD736" t="s">
        <v>14437</v>
      </c>
      <c r="AE736" t="s">
        <v>14438</v>
      </c>
      <c r="AF736" t="s">
        <v>74</v>
      </c>
      <c r="AG736">
        <v>90</v>
      </c>
      <c r="AH736">
        <v>3</v>
      </c>
      <c r="AI736">
        <v>3</v>
      </c>
      <c r="AJ736">
        <v>6</v>
      </c>
      <c r="AK736">
        <v>29</v>
      </c>
      <c r="AL736" t="s">
        <v>4312</v>
      </c>
      <c r="AM736" t="s">
        <v>4313</v>
      </c>
      <c r="AN736" t="s">
        <v>4314</v>
      </c>
      <c r="AO736" t="s">
        <v>4360</v>
      </c>
      <c r="AP736" t="s">
        <v>4361</v>
      </c>
      <c r="AQ736" t="s">
        <v>74</v>
      </c>
      <c r="AR736" t="s">
        <v>4362</v>
      </c>
      <c r="AS736" t="s">
        <v>4363</v>
      </c>
      <c r="AT736" t="s">
        <v>627</v>
      </c>
      <c r="AU736">
        <v>2021</v>
      </c>
      <c r="AV736">
        <v>34</v>
      </c>
      <c r="AW736">
        <v>18</v>
      </c>
      <c r="AX736" t="s">
        <v>74</v>
      </c>
      <c r="AY736" t="s">
        <v>74</v>
      </c>
      <c r="AZ736" t="s">
        <v>74</v>
      </c>
      <c r="BA736" t="s">
        <v>74</v>
      </c>
      <c r="BB736">
        <v>7697</v>
      </c>
      <c r="BC736">
        <v>7716</v>
      </c>
      <c r="BD736" t="s">
        <v>74</v>
      </c>
      <c r="BE736" t="s">
        <v>14439</v>
      </c>
      <c r="BF736" t="str">
        <f>HYPERLINK("http://dx.doi.org/10.1175/JCLI-D-21-0119.1","http://dx.doi.org/10.1175/JCLI-D-21-0119.1")</f>
        <v>http://dx.doi.org/10.1175/JCLI-D-21-0119.1</v>
      </c>
      <c r="BG736" t="s">
        <v>74</v>
      </c>
      <c r="BH736" t="s">
        <v>74</v>
      </c>
      <c r="BI736">
        <v>20</v>
      </c>
      <c r="BJ736" t="s">
        <v>829</v>
      </c>
      <c r="BK736" t="s">
        <v>101</v>
      </c>
      <c r="BL736" t="s">
        <v>829</v>
      </c>
      <c r="BM736" t="s">
        <v>14388</v>
      </c>
      <c r="BN736" t="s">
        <v>74</v>
      </c>
      <c r="BO736" t="s">
        <v>14440</v>
      </c>
      <c r="BP736" t="s">
        <v>74</v>
      </c>
      <c r="BQ736" t="s">
        <v>74</v>
      </c>
      <c r="BR736" t="s">
        <v>105</v>
      </c>
      <c r="BS736" t="s">
        <v>14441</v>
      </c>
      <c r="BT736" t="str">
        <f>HYPERLINK("https%3A%2F%2Fwww.webofscience.com%2Fwos%2Fwoscc%2Ffull-record%2FWOS:000752626900022","View Full Record in Web of Science")</f>
        <v>View Full Record in Web of Science</v>
      </c>
    </row>
    <row r="737" spans="1:72" x14ac:dyDescent="0.15">
      <c r="A737" t="s">
        <v>72</v>
      </c>
      <c r="B737" t="s">
        <v>14442</v>
      </c>
      <c r="C737" t="s">
        <v>74</v>
      </c>
      <c r="D737" t="s">
        <v>74</v>
      </c>
      <c r="E737" t="s">
        <v>74</v>
      </c>
      <c r="F737" t="s">
        <v>14443</v>
      </c>
      <c r="G737" t="s">
        <v>74</v>
      </c>
      <c r="H737" t="s">
        <v>74</v>
      </c>
      <c r="I737" t="s">
        <v>14444</v>
      </c>
      <c r="J737" t="s">
        <v>14445</v>
      </c>
      <c r="K737" t="s">
        <v>74</v>
      </c>
      <c r="L737" t="s">
        <v>74</v>
      </c>
      <c r="M737" t="s">
        <v>78</v>
      </c>
      <c r="N737" t="s">
        <v>79</v>
      </c>
      <c r="O737" t="s">
        <v>74</v>
      </c>
      <c r="P737" t="s">
        <v>74</v>
      </c>
      <c r="Q737" t="s">
        <v>74</v>
      </c>
      <c r="R737" t="s">
        <v>74</v>
      </c>
      <c r="S737" t="s">
        <v>74</v>
      </c>
      <c r="T737" t="s">
        <v>14446</v>
      </c>
      <c r="U737" t="s">
        <v>14447</v>
      </c>
      <c r="V737" t="s">
        <v>14448</v>
      </c>
      <c r="W737" t="s">
        <v>14449</v>
      </c>
      <c r="X737" t="s">
        <v>4463</v>
      </c>
      <c r="Y737" t="s">
        <v>14450</v>
      </c>
      <c r="Z737" t="s">
        <v>14451</v>
      </c>
      <c r="AA737" t="s">
        <v>14452</v>
      </c>
      <c r="AB737" t="s">
        <v>14453</v>
      </c>
      <c r="AC737" t="s">
        <v>14454</v>
      </c>
      <c r="AD737" t="s">
        <v>14455</v>
      </c>
      <c r="AE737" t="s">
        <v>14456</v>
      </c>
      <c r="AF737" t="s">
        <v>74</v>
      </c>
      <c r="AG737">
        <v>55</v>
      </c>
      <c r="AH737">
        <v>0</v>
      </c>
      <c r="AI737">
        <v>0</v>
      </c>
      <c r="AJ737">
        <v>1</v>
      </c>
      <c r="AK737">
        <v>5</v>
      </c>
      <c r="AL737" t="s">
        <v>14457</v>
      </c>
      <c r="AM737" t="s">
        <v>14458</v>
      </c>
      <c r="AN737" t="s">
        <v>14459</v>
      </c>
      <c r="AO737" t="s">
        <v>14460</v>
      </c>
      <c r="AP737" t="s">
        <v>74</v>
      </c>
      <c r="AQ737" t="s">
        <v>74</v>
      </c>
      <c r="AR737" t="s">
        <v>14461</v>
      </c>
      <c r="AS737" t="s">
        <v>14462</v>
      </c>
      <c r="AT737" t="s">
        <v>14463</v>
      </c>
      <c r="AU737">
        <v>2021</v>
      </c>
      <c r="AV737">
        <v>21</v>
      </c>
      <c r="AW737">
        <v>5</v>
      </c>
      <c r="AX737" t="s">
        <v>74</v>
      </c>
      <c r="AY737" t="s">
        <v>74</v>
      </c>
      <c r="AZ737" t="s">
        <v>74</v>
      </c>
      <c r="BA737" t="s">
        <v>74</v>
      </c>
      <c r="BB737" t="s">
        <v>74</v>
      </c>
      <c r="BC737" t="s">
        <v>74</v>
      </c>
      <c r="BD737" t="s">
        <v>14464</v>
      </c>
      <c r="BE737" t="s">
        <v>14465</v>
      </c>
      <c r="BF737" t="str">
        <f>HYPERLINK("http://dx.doi.org/10.2205/2021ES000777","http://dx.doi.org/10.2205/2021ES000777")</f>
        <v>http://dx.doi.org/10.2205/2021ES000777</v>
      </c>
      <c r="BG737" t="s">
        <v>74</v>
      </c>
      <c r="BH737" t="s">
        <v>74</v>
      </c>
      <c r="BI737">
        <v>16</v>
      </c>
      <c r="BJ737" t="s">
        <v>236</v>
      </c>
      <c r="BK737" t="s">
        <v>1629</v>
      </c>
      <c r="BL737" t="s">
        <v>237</v>
      </c>
      <c r="BM737" t="s">
        <v>14466</v>
      </c>
      <c r="BN737" t="s">
        <v>74</v>
      </c>
      <c r="BO737" t="s">
        <v>2217</v>
      </c>
      <c r="BP737" t="s">
        <v>74</v>
      </c>
      <c r="BQ737" t="s">
        <v>74</v>
      </c>
      <c r="BR737" t="s">
        <v>105</v>
      </c>
      <c r="BS737" t="s">
        <v>14467</v>
      </c>
      <c r="BT737" t="str">
        <f>HYPERLINK("https%3A%2F%2Fwww.webofscience.com%2Fwos%2Fwoscc%2Ffull-record%2FWOS:000755096900005","View Full Record in Web of Science")</f>
        <v>View Full Record in Web of Science</v>
      </c>
    </row>
    <row r="738" spans="1:72" x14ac:dyDescent="0.15">
      <c r="A738" t="s">
        <v>72</v>
      </c>
      <c r="B738" t="s">
        <v>14468</v>
      </c>
      <c r="C738" t="s">
        <v>74</v>
      </c>
      <c r="D738" t="s">
        <v>74</v>
      </c>
      <c r="E738" t="s">
        <v>74</v>
      </c>
      <c r="F738" t="s">
        <v>14469</v>
      </c>
      <c r="G738" t="s">
        <v>74</v>
      </c>
      <c r="H738" t="s">
        <v>74</v>
      </c>
      <c r="I738" t="s">
        <v>14470</v>
      </c>
      <c r="J738" t="s">
        <v>4347</v>
      </c>
      <c r="K738" t="s">
        <v>74</v>
      </c>
      <c r="L738" t="s">
        <v>74</v>
      </c>
      <c r="M738" t="s">
        <v>78</v>
      </c>
      <c r="N738" t="s">
        <v>79</v>
      </c>
      <c r="O738" t="s">
        <v>74</v>
      </c>
      <c r="P738" t="s">
        <v>74</v>
      </c>
      <c r="Q738" t="s">
        <v>74</v>
      </c>
      <c r="R738" t="s">
        <v>74</v>
      </c>
      <c r="S738" t="s">
        <v>74</v>
      </c>
      <c r="T738" t="s">
        <v>14471</v>
      </c>
      <c r="U738" t="s">
        <v>14472</v>
      </c>
      <c r="V738" t="s">
        <v>14473</v>
      </c>
      <c r="W738" t="s">
        <v>14474</v>
      </c>
      <c r="X738" t="s">
        <v>14475</v>
      </c>
      <c r="Y738" t="s">
        <v>14476</v>
      </c>
      <c r="Z738" t="s">
        <v>14477</v>
      </c>
      <c r="AA738" t="s">
        <v>74</v>
      </c>
      <c r="AB738" t="s">
        <v>74</v>
      </c>
      <c r="AC738" t="s">
        <v>14478</v>
      </c>
      <c r="AD738" t="s">
        <v>14479</v>
      </c>
      <c r="AE738" t="s">
        <v>14480</v>
      </c>
      <c r="AF738" t="s">
        <v>74</v>
      </c>
      <c r="AG738">
        <v>34</v>
      </c>
      <c r="AH738">
        <v>11</v>
      </c>
      <c r="AI738">
        <v>11</v>
      </c>
      <c r="AJ738">
        <v>1</v>
      </c>
      <c r="AK738">
        <v>4</v>
      </c>
      <c r="AL738" t="s">
        <v>4312</v>
      </c>
      <c r="AM738" t="s">
        <v>4313</v>
      </c>
      <c r="AN738" t="s">
        <v>4383</v>
      </c>
      <c r="AO738" t="s">
        <v>4360</v>
      </c>
      <c r="AP738" t="s">
        <v>4361</v>
      </c>
      <c r="AQ738" t="s">
        <v>74</v>
      </c>
      <c r="AR738" t="s">
        <v>4362</v>
      </c>
      <c r="AS738" t="s">
        <v>4363</v>
      </c>
      <c r="AT738" t="s">
        <v>627</v>
      </c>
      <c r="AU738">
        <v>2021</v>
      </c>
      <c r="AV738">
        <v>34</v>
      </c>
      <c r="AW738">
        <v>17</v>
      </c>
      <c r="AX738" t="s">
        <v>74</v>
      </c>
      <c r="AY738" t="s">
        <v>74</v>
      </c>
      <c r="AZ738" t="s">
        <v>74</v>
      </c>
      <c r="BA738" t="s">
        <v>74</v>
      </c>
      <c r="BB738">
        <v>6989</v>
      </c>
      <c r="BC738">
        <v>7004</v>
      </c>
      <c r="BD738" t="s">
        <v>74</v>
      </c>
      <c r="BE738" t="s">
        <v>14481</v>
      </c>
      <c r="BF738" t="str">
        <f>HYPERLINK("http://dx.doi.org/10.1175/JCLI-D-20-0593.1","http://dx.doi.org/10.1175/JCLI-D-20-0593.1")</f>
        <v>http://dx.doi.org/10.1175/JCLI-D-20-0593.1</v>
      </c>
      <c r="BG738" t="s">
        <v>74</v>
      </c>
      <c r="BH738" t="s">
        <v>74</v>
      </c>
      <c r="BI738">
        <v>16</v>
      </c>
      <c r="BJ738" t="s">
        <v>829</v>
      </c>
      <c r="BK738" t="s">
        <v>101</v>
      </c>
      <c r="BL738" t="s">
        <v>829</v>
      </c>
      <c r="BM738" t="s">
        <v>14482</v>
      </c>
      <c r="BN738" t="s">
        <v>74</v>
      </c>
      <c r="BO738" t="s">
        <v>314</v>
      </c>
      <c r="BP738" t="s">
        <v>74</v>
      </c>
      <c r="BQ738" t="s">
        <v>74</v>
      </c>
      <c r="BR738" t="s">
        <v>105</v>
      </c>
      <c r="BS738" t="s">
        <v>14483</v>
      </c>
      <c r="BT738" t="str">
        <f>HYPERLINK("https%3A%2F%2Fwww.webofscience.com%2Fwos%2Fwoscc%2Ffull-record%2FWOS:000752587000003","View Full Record in Web of Science")</f>
        <v>View Full Record in Web of Science</v>
      </c>
    </row>
    <row r="739" spans="1:72" x14ac:dyDescent="0.15">
      <c r="A739" t="s">
        <v>72</v>
      </c>
      <c r="B739" t="s">
        <v>14484</v>
      </c>
      <c r="C739" t="s">
        <v>74</v>
      </c>
      <c r="D739" t="s">
        <v>74</v>
      </c>
      <c r="E739" t="s">
        <v>74</v>
      </c>
      <c r="F739" t="s">
        <v>14485</v>
      </c>
      <c r="G739" t="s">
        <v>74</v>
      </c>
      <c r="H739" t="s">
        <v>74</v>
      </c>
      <c r="I739" t="s">
        <v>14486</v>
      </c>
      <c r="J739" t="s">
        <v>4347</v>
      </c>
      <c r="K739" t="s">
        <v>74</v>
      </c>
      <c r="L739" t="s">
        <v>74</v>
      </c>
      <c r="M739" t="s">
        <v>78</v>
      </c>
      <c r="N739" t="s">
        <v>79</v>
      </c>
      <c r="O739" t="s">
        <v>74</v>
      </c>
      <c r="P739" t="s">
        <v>74</v>
      </c>
      <c r="Q739" t="s">
        <v>74</v>
      </c>
      <c r="R739" t="s">
        <v>74</v>
      </c>
      <c r="S739" t="s">
        <v>74</v>
      </c>
      <c r="T739" t="s">
        <v>14487</v>
      </c>
      <c r="U739" t="s">
        <v>14488</v>
      </c>
      <c r="V739" t="s">
        <v>14489</v>
      </c>
      <c r="W739" t="s">
        <v>14490</v>
      </c>
      <c r="X739" t="s">
        <v>14491</v>
      </c>
      <c r="Y739" t="s">
        <v>14492</v>
      </c>
      <c r="Z739" t="s">
        <v>14493</v>
      </c>
      <c r="AA739" t="s">
        <v>14494</v>
      </c>
      <c r="AB739" t="s">
        <v>14495</v>
      </c>
      <c r="AC739" t="s">
        <v>14496</v>
      </c>
      <c r="AD739" t="s">
        <v>2838</v>
      </c>
      <c r="AE739" t="s">
        <v>14497</v>
      </c>
      <c r="AF739" t="s">
        <v>74</v>
      </c>
      <c r="AG739">
        <v>34</v>
      </c>
      <c r="AH739">
        <v>2</v>
      </c>
      <c r="AI739">
        <v>3</v>
      </c>
      <c r="AJ739">
        <v>2</v>
      </c>
      <c r="AK739">
        <v>7</v>
      </c>
      <c r="AL739" t="s">
        <v>4312</v>
      </c>
      <c r="AM739" t="s">
        <v>4313</v>
      </c>
      <c r="AN739" t="s">
        <v>4314</v>
      </c>
      <c r="AO739" t="s">
        <v>4360</v>
      </c>
      <c r="AP739" t="s">
        <v>4361</v>
      </c>
      <c r="AQ739" t="s">
        <v>74</v>
      </c>
      <c r="AR739" t="s">
        <v>4362</v>
      </c>
      <c r="AS739" t="s">
        <v>4363</v>
      </c>
      <c r="AT739" t="s">
        <v>627</v>
      </c>
      <c r="AU739">
        <v>2021</v>
      </c>
      <c r="AV739">
        <v>34</v>
      </c>
      <c r="AW739">
        <v>17</v>
      </c>
      <c r="AX739" t="s">
        <v>74</v>
      </c>
      <c r="AY739" t="s">
        <v>74</v>
      </c>
      <c r="AZ739" t="s">
        <v>74</v>
      </c>
      <c r="BA739" t="s">
        <v>74</v>
      </c>
      <c r="BB739">
        <v>7297</v>
      </c>
      <c r="BC739">
        <v>7309</v>
      </c>
      <c r="BD739" t="s">
        <v>74</v>
      </c>
      <c r="BE739" t="s">
        <v>14498</v>
      </c>
      <c r="BF739" t="str">
        <f>HYPERLINK("http://dx.doi.org/10.1175/JCLI-D-20-1002.1","http://dx.doi.org/10.1175/JCLI-D-20-1002.1")</f>
        <v>http://dx.doi.org/10.1175/JCLI-D-20-1002.1</v>
      </c>
      <c r="BG739" t="s">
        <v>74</v>
      </c>
      <c r="BH739" t="s">
        <v>74</v>
      </c>
      <c r="BI739">
        <v>13</v>
      </c>
      <c r="BJ739" t="s">
        <v>829</v>
      </c>
      <c r="BK739" t="s">
        <v>101</v>
      </c>
      <c r="BL739" t="s">
        <v>829</v>
      </c>
      <c r="BM739" t="s">
        <v>14482</v>
      </c>
      <c r="BN739" t="s">
        <v>74</v>
      </c>
      <c r="BO739" t="s">
        <v>2217</v>
      </c>
      <c r="BP739" t="s">
        <v>74</v>
      </c>
      <c r="BQ739" t="s">
        <v>74</v>
      </c>
      <c r="BR739" t="s">
        <v>105</v>
      </c>
      <c r="BS739" t="s">
        <v>14499</v>
      </c>
      <c r="BT739" t="str">
        <f>HYPERLINK("https%3A%2F%2Fwww.webofscience.com%2Fwos%2Fwoscc%2Ffull-record%2FWOS:000752587000020","View Full Record in Web of Science")</f>
        <v>View Full Record in Web of Science</v>
      </c>
    </row>
    <row r="740" spans="1:72" x14ac:dyDescent="0.15">
      <c r="A740" t="s">
        <v>72</v>
      </c>
      <c r="B740" t="s">
        <v>14500</v>
      </c>
      <c r="C740" t="s">
        <v>74</v>
      </c>
      <c r="D740" t="s">
        <v>74</v>
      </c>
      <c r="E740" t="s">
        <v>74</v>
      </c>
      <c r="F740" t="s">
        <v>14501</v>
      </c>
      <c r="G740" t="s">
        <v>74</v>
      </c>
      <c r="H740" t="s">
        <v>74</v>
      </c>
      <c r="I740" t="s">
        <v>14502</v>
      </c>
      <c r="J740" t="s">
        <v>4390</v>
      </c>
      <c r="K740" t="s">
        <v>74</v>
      </c>
      <c r="L740" t="s">
        <v>74</v>
      </c>
      <c r="M740" t="s">
        <v>78</v>
      </c>
      <c r="N740" t="s">
        <v>79</v>
      </c>
      <c r="O740" t="s">
        <v>74</v>
      </c>
      <c r="P740" t="s">
        <v>74</v>
      </c>
      <c r="Q740" t="s">
        <v>74</v>
      </c>
      <c r="R740" t="s">
        <v>74</v>
      </c>
      <c r="S740" t="s">
        <v>74</v>
      </c>
      <c r="T740" t="s">
        <v>14503</v>
      </c>
      <c r="U740" t="s">
        <v>14504</v>
      </c>
      <c r="V740" t="s">
        <v>14505</v>
      </c>
      <c r="W740" t="s">
        <v>14506</v>
      </c>
      <c r="X740" t="s">
        <v>14507</v>
      </c>
      <c r="Y740" t="s">
        <v>14508</v>
      </c>
      <c r="Z740" t="s">
        <v>14509</v>
      </c>
      <c r="AA740" t="s">
        <v>74</v>
      </c>
      <c r="AB740" t="s">
        <v>14510</v>
      </c>
      <c r="AC740" t="s">
        <v>14511</v>
      </c>
      <c r="AD740" t="s">
        <v>6396</v>
      </c>
      <c r="AE740" t="s">
        <v>14512</v>
      </c>
      <c r="AF740" t="s">
        <v>74</v>
      </c>
      <c r="AG740">
        <v>70</v>
      </c>
      <c r="AH740">
        <v>22</v>
      </c>
      <c r="AI740">
        <v>23</v>
      </c>
      <c r="AJ740">
        <v>3</v>
      </c>
      <c r="AK740">
        <v>13</v>
      </c>
      <c r="AL740" t="s">
        <v>4312</v>
      </c>
      <c r="AM740" t="s">
        <v>4313</v>
      </c>
      <c r="AN740" t="s">
        <v>4314</v>
      </c>
      <c r="AO740" t="s">
        <v>4403</v>
      </c>
      <c r="AP740" t="s">
        <v>4404</v>
      </c>
      <c r="AQ740" t="s">
        <v>74</v>
      </c>
      <c r="AR740" t="s">
        <v>4405</v>
      </c>
      <c r="AS740" t="s">
        <v>4406</v>
      </c>
      <c r="AT740" t="s">
        <v>627</v>
      </c>
      <c r="AU740">
        <v>2021</v>
      </c>
      <c r="AV740">
        <v>51</v>
      </c>
      <c r="AW740">
        <v>9</v>
      </c>
      <c r="AX740" t="s">
        <v>74</v>
      </c>
      <c r="AY740" t="s">
        <v>74</v>
      </c>
      <c r="AZ740" t="s">
        <v>74</v>
      </c>
      <c r="BA740" t="s">
        <v>74</v>
      </c>
      <c r="BB740">
        <v>2883</v>
      </c>
      <c r="BC740">
        <v>2901</v>
      </c>
      <c r="BD740" t="s">
        <v>74</v>
      </c>
      <c r="BE740" t="s">
        <v>14513</v>
      </c>
      <c r="BF740" t="str">
        <f>HYPERLINK("http://dx.doi.org/10.1175/JPO-D-21-0016.1","http://dx.doi.org/10.1175/JPO-D-21-0016.1")</f>
        <v>http://dx.doi.org/10.1175/JPO-D-21-0016.1</v>
      </c>
      <c r="BG740" t="s">
        <v>74</v>
      </c>
      <c r="BH740" t="s">
        <v>74</v>
      </c>
      <c r="BI740">
        <v>19</v>
      </c>
      <c r="BJ740" t="s">
        <v>264</v>
      </c>
      <c r="BK740" t="s">
        <v>101</v>
      </c>
      <c r="BL740" t="s">
        <v>264</v>
      </c>
      <c r="BM740" t="s">
        <v>14514</v>
      </c>
      <c r="BN740" t="s">
        <v>74</v>
      </c>
      <c r="BO740" t="s">
        <v>14440</v>
      </c>
      <c r="BP740" t="s">
        <v>74</v>
      </c>
      <c r="BQ740" t="s">
        <v>74</v>
      </c>
      <c r="BR740" t="s">
        <v>105</v>
      </c>
      <c r="BS740" t="s">
        <v>14515</v>
      </c>
      <c r="BT740" t="str">
        <f>HYPERLINK("https%3A%2F%2Fwww.webofscience.com%2Fwos%2Fwoscc%2Ffull-record%2FWOS:000752706700011","View Full Record in Web of Science")</f>
        <v>View Full Record in Web of Science</v>
      </c>
    </row>
    <row r="741" spans="1:72" x14ac:dyDescent="0.15">
      <c r="A741" t="s">
        <v>72</v>
      </c>
      <c r="B741" t="s">
        <v>14516</v>
      </c>
      <c r="C741" t="s">
        <v>74</v>
      </c>
      <c r="D741" t="s">
        <v>74</v>
      </c>
      <c r="E741" t="s">
        <v>74</v>
      </c>
      <c r="F741" t="s">
        <v>14517</v>
      </c>
      <c r="G741" t="s">
        <v>74</v>
      </c>
      <c r="H741" t="s">
        <v>74</v>
      </c>
      <c r="I741" t="s">
        <v>14518</v>
      </c>
      <c r="J741" t="s">
        <v>4390</v>
      </c>
      <c r="K741" t="s">
        <v>74</v>
      </c>
      <c r="L741" t="s">
        <v>74</v>
      </c>
      <c r="M741" t="s">
        <v>78</v>
      </c>
      <c r="N741" t="s">
        <v>79</v>
      </c>
      <c r="O741" t="s">
        <v>74</v>
      </c>
      <c r="P741" t="s">
        <v>74</v>
      </c>
      <c r="Q741" t="s">
        <v>74</v>
      </c>
      <c r="R741" t="s">
        <v>74</v>
      </c>
      <c r="S741" t="s">
        <v>74</v>
      </c>
      <c r="T741" t="s">
        <v>14519</v>
      </c>
      <c r="U741" t="s">
        <v>14520</v>
      </c>
      <c r="V741" t="s">
        <v>14521</v>
      </c>
      <c r="W741" t="s">
        <v>14522</v>
      </c>
      <c r="X741" t="s">
        <v>14523</v>
      </c>
      <c r="Y741" t="s">
        <v>14524</v>
      </c>
      <c r="Z741" t="s">
        <v>14525</v>
      </c>
      <c r="AA741" t="s">
        <v>14526</v>
      </c>
      <c r="AB741" t="s">
        <v>14527</v>
      </c>
      <c r="AC741" t="s">
        <v>14528</v>
      </c>
      <c r="AD741" t="s">
        <v>14529</v>
      </c>
      <c r="AE741" t="s">
        <v>14530</v>
      </c>
      <c r="AF741" t="s">
        <v>74</v>
      </c>
      <c r="AG741">
        <v>89</v>
      </c>
      <c r="AH741">
        <v>8</v>
      </c>
      <c r="AI741">
        <v>8</v>
      </c>
      <c r="AJ741">
        <v>2</v>
      </c>
      <c r="AK741">
        <v>8</v>
      </c>
      <c r="AL741" t="s">
        <v>4312</v>
      </c>
      <c r="AM741" t="s">
        <v>4313</v>
      </c>
      <c r="AN741" t="s">
        <v>4383</v>
      </c>
      <c r="AO741" t="s">
        <v>4403</v>
      </c>
      <c r="AP741" t="s">
        <v>4404</v>
      </c>
      <c r="AQ741" t="s">
        <v>74</v>
      </c>
      <c r="AR741" t="s">
        <v>4405</v>
      </c>
      <c r="AS741" t="s">
        <v>4406</v>
      </c>
      <c r="AT741" t="s">
        <v>627</v>
      </c>
      <c r="AU741">
        <v>2021</v>
      </c>
      <c r="AV741">
        <v>51</v>
      </c>
      <c r="AW741">
        <v>9</v>
      </c>
      <c r="AX741" t="s">
        <v>74</v>
      </c>
      <c r="AY741" t="s">
        <v>74</v>
      </c>
      <c r="AZ741" t="s">
        <v>74</v>
      </c>
      <c r="BA741" t="s">
        <v>74</v>
      </c>
      <c r="BB741">
        <v>2933</v>
      </c>
      <c r="BC741">
        <v>2950</v>
      </c>
      <c r="BD741" t="s">
        <v>74</v>
      </c>
      <c r="BE741" t="s">
        <v>14531</v>
      </c>
      <c r="BF741" t="str">
        <f>HYPERLINK("http://dx.doi.org/10.1175/JPO-D-20-0263.1","http://dx.doi.org/10.1175/JPO-D-20-0263.1")</f>
        <v>http://dx.doi.org/10.1175/JPO-D-20-0263.1</v>
      </c>
      <c r="BG741" t="s">
        <v>74</v>
      </c>
      <c r="BH741" t="s">
        <v>74</v>
      </c>
      <c r="BI741">
        <v>18</v>
      </c>
      <c r="BJ741" t="s">
        <v>264</v>
      </c>
      <c r="BK741" t="s">
        <v>101</v>
      </c>
      <c r="BL741" t="s">
        <v>264</v>
      </c>
      <c r="BM741" t="s">
        <v>14514</v>
      </c>
      <c r="BN741" t="s">
        <v>74</v>
      </c>
      <c r="BO741" t="s">
        <v>343</v>
      </c>
      <c r="BP741" t="s">
        <v>74</v>
      </c>
      <c r="BQ741" t="s">
        <v>74</v>
      </c>
      <c r="BR741" t="s">
        <v>105</v>
      </c>
      <c r="BS741" t="s">
        <v>14532</v>
      </c>
      <c r="BT741" t="str">
        <f>HYPERLINK("https%3A%2F%2Fwww.webofscience.com%2Fwos%2Fwoscc%2Ffull-record%2FWOS:000752706700014","View Full Record in Web of Science")</f>
        <v>View Full Record in Web of Science</v>
      </c>
    </row>
    <row r="742" spans="1:72" x14ac:dyDescent="0.15">
      <c r="A742" t="s">
        <v>72</v>
      </c>
      <c r="B742" t="s">
        <v>14533</v>
      </c>
      <c r="C742" t="s">
        <v>74</v>
      </c>
      <c r="D742" t="s">
        <v>74</v>
      </c>
      <c r="E742" t="s">
        <v>74</v>
      </c>
      <c r="F742" t="s">
        <v>14534</v>
      </c>
      <c r="G742" t="s">
        <v>74</v>
      </c>
      <c r="H742" t="s">
        <v>74</v>
      </c>
      <c r="I742" t="s">
        <v>14535</v>
      </c>
      <c r="J742" t="s">
        <v>4390</v>
      </c>
      <c r="K742" t="s">
        <v>74</v>
      </c>
      <c r="L742" t="s">
        <v>74</v>
      </c>
      <c r="M742" t="s">
        <v>78</v>
      </c>
      <c r="N742" t="s">
        <v>79</v>
      </c>
      <c r="O742" t="s">
        <v>74</v>
      </c>
      <c r="P742" t="s">
        <v>74</v>
      </c>
      <c r="Q742" t="s">
        <v>74</v>
      </c>
      <c r="R742" t="s">
        <v>74</v>
      </c>
      <c r="S742" t="s">
        <v>74</v>
      </c>
      <c r="T742" t="s">
        <v>14536</v>
      </c>
      <c r="U742" t="s">
        <v>14537</v>
      </c>
      <c r="V742" t="s">
        <v>14538</v>
      </c>
      <c r="W742" t="s">
        <v>14539</v>
      </c>
      <c r="X742" t="s">
        <v>14540</v>
      </c>
      <c r="Y742" t="s">
        <v>14541</v>
      </c>
      <c r="Z742" t="s">
        <v>14542</v>
      </c>
      <c r="AA742" t="s">
        <v>14543</v>
      </c>
      <c r="AB742" t="s">
        <v>14544</v>
      </c>
      <c r="AC742" t="s">
        <v>14545</v>
      </c>
      <c r="AD742" t="s">
        <v>14546</v>
      </c>
      <c r="AE742" t="s">
        <v>14547</v>
      </c>
      <c r="AF742" t="s">
        <v>74</v>
      </c>
      <c r="AG742">
        <v>72</v>
      </c>
      <c r="AH742">
        <v>17</v>
      </c>
      <c r="AI742">
        <v>17</v>
      </c>
      <c r="AJ742">
        <v>1</v>
      </c>
      <c r="AK742">
        <v>9</v>
      </c>
      <c r="AL742" t="s">
        <v>4312</v>
      </c>
      <c r="AM742" t="s">
        <v>4313</v>
      </c>
      <c r="AN742" t="s">
        <v>4383</v>
      </c>
      <c r="AO742" t="s">
        <v>4403</v>
      </c>
      <c r="AP742" t="s">
        <v>4404</v>
      </c>
      <c r="AQ742" t="s">
        <v>74</v>
      </c>
      <c r="AR742" t="s">
        <v>4405</v>
      </c>
      <c r="AS742" t="s">
        <v>4406</v>
      </c>
      <c r="AT742" t="s">
        <v>627</v>
      </c>
      <c r="AU742">
        <v>2021</v>
      </c>
      <c r="AV742">
        <v>51</v>
      </c>
      <c r="AW742">
        <v>9</v>
      </c>
      <c r="AX742" t="s">
        <v>74</v>
      </c>
      <c r="AY742" t="s">
        <v>74</v>
      </c>
      <c r="AZ742" t="s">
        <v>74</v>
      </c>
      <c r="BA742" t="s">
        <v>74</v>
      </c>
      <c r="BB742">
        <v>2951</v>
      </c>
      <c r="BC742">
        <v>2972</v>
      </c>
      <c r="BD742" t="s">
        <v>74</v>
      </c>
      <c r="BE742" t="s">
        <v>14548</v>
      </c>
      <c r="BF742" t="str">
        <f>HYPERLINK("http://dx.doi.org/10.1175/JPO-D-20-0174.1","http://dx.doi.org/10.1175/JPO-D-20-0174.1")</f>
        <v>http://dx.doi.org/10.1175/JPO-D-20-0174.1</v>
      </c>
      <c r="BG742" t="s">
        <v>74</v>
      </c>
      <c r="BH742" t="s">
        <v>74</v>
      </c>
      <c r="BI742">
        <v>22</v>
      </c>
      <c r="BJ742" t="s">
        <v>264</v>
      </c>
      <c r="BK742" t="s">
        <v>101</v>
      </c>
      <c r="BL742" t="s">
        <v>264</v>
      </c>
      <c r="BM742" t="s">
        <v>14514</v>
      </c>
      <c r="BN742" t="s">
        <v>74</v>
      </c>
      <c r="BO742" t="s">
        <v>2217</v>
      </c>
      <c r="BP742" t="s">
        <v>74</v>
      </c>
      <c r="BQ742" t="s">
        <v>74</v>
      </c>
      <c r="BR742" t="s">
        <v>105</v>
      </c>
      <c r="BS742" t="s">
        <v>14549</v>
      </c>
      <c r="BT742" t="str">
        <f>HYPERLINK("https%3A%2F%2Fwww.webofscience.com%2Fwos%2Fwoscc%2Ffull-record%2FWOS:000752706700015","View Full Record in Web of Science")</f>
        <v>View Full Record in Web of Science</v>
      </c>
    </row>
    <row r="743" spans="1:72" x14ac:dyDescent="0.15">
      <c r="A743" t="s">
        <v>72</v>
      </c>
      <c r="B743" t="s">
        <v>14550</v>
      </c>
      <c r="C743" t="s">
        <v>74</v>
      </c>
      <c r="D743" t="s">
        <v>74</v>
      </c>
      <c r="E743" t="s">
        <v>74</v>
      </c>
      <c r="F743" t="s">
        <v>14551</v>
      </c>
      <c r="G743" t="s">
        <v>74</v>
      </c>
      <c r="H743" t="s">
        <v>74</v>
      </c>
      <c r="I743" t="s">
        <v>14552</v>
      </c>
      <c r="J743" t="s">
        <v>4390</v>
      </c>
      <c r="K743" t="s">
        <v>74</v>
      </c>
      <c r="L743" t="s">
        <v>74</v>
      </c>
      <c r="M743" t="s">
        <v>78</v>
      </c>
      <c r="N743" t="s">
        <v>79</v>
      </c>
      <c r="O743" t="s">
        <v>74</v>
      </c>
      <c r="P743" t="s">
        <v>74</v>
      </c>
      <c r="Q743" t="s">
        <v>74</v>
      </c>
      <c r="R743" t="s">
        <v>74</v>
      </c>
      <c r="S743" t="s">
        <v>74</v>
      </c>
      <c r="T743" t="s">
        <v>14553</v>
      </c>
      <c r="U743" t="s">
        <v>14554</v>
      </c>
      <c r="V743" t="s">
        <v>14555</v>
      </c>
      <c r="W743" t="s">
        <v>14556</v>
      </c>
      <c r="X743" t="s">
        <v>14557</v>
      </c>
      <c r="Y743" t="s">
        <v>14558</v>
      </c>
      <c r="Z743" t="s">
        <v>14559</v>
      </c>
      <c r="AA743" t="s">
        <v>14560</v>
      </c>
      <c r="AB743" t="s">
        <v>14561</v>
      </c>
      <c r="AC743" t="s">
        <v>14562</v>
      </c>
      <c r="AD743" t="s">
        <v>14563</v>
      </c>
      <c r="AE743" t="s">
        <v>14564</v>
      </c>
      <c r="AF743" t="s">
        <v>74</v>
      </c>
      <c r="AG743">
        <v>73</v>
      </c>
      <c r="AH743">
        <v>3</v>
      </c>
      <c r="AI743">
        <v>3</v>
      </c>
      <c r="AJ743">
        <v>1</v>
      </c>
      <c r="AK743">
        <v>3</v>
      </c>
      <c r="AL743" t="s">
        <v>4312</v>
      </c>
      <c r="AM743" t="s">
        <v>4313</v>
      </c>
      <c r="AN743" t="s">
        <v>4314</v>
      </c>
      <c r="AO743" t="s">
        <v>4403</v>
      </c>
      <c r="AP743" t="s">
        <v>4404</v>
      </c>
      <c r="AQ743" t="s">
        <v>74</v>
      </c>
      <c r="AR743" t="s">
        <v>4405</v>
      </c>
      <c r="AS743" t="s">
        <v>4406</v>
      </c>
      <c r="AT743" t="s">
        <v>627</v>
      </c>
      <c r="AU743">
        <v>2021</v>
      </c>
      <c r="AV743">
        <v>51</v>
      </c>
      <c r="AW743">
        <v>9</v>
      </c>
      <c r="AX743" t="s">
        <v>74</v>
      </c>
      <c r="AY743" t="s">
        <v>74</v>
      </c>
      <c r="AZ743" t="s">
        <v>74</v>
      </c>
      <c r="BA743" t="s">
        <v>74</v>
      </c>
      <c r="BB743">
        <v>2973</v>
      </c>
      <c r="BC743">
        <v>2990</v>
      </c>
      <c r="BD743" t="s">
        <v>74</v>
      </c>
      <c r="BE743" t="s">
        <v>14565</v>
      </c>
      <c r="BF743" t="str">
        <f>HYPERLINK("http://dx.doi.org/10.1175/JPO-D-20-0130.1","http://dx.doi.org/10.1175/JPO-D-20-0130.1")</f>
        <v>http://dx.doi.org/10.1175/JPO-D-20-0130.1</v>
      </c>
      <c r="BG743" t="s">
        <v>74</v>
      </c>
      <c r="BH743" t="s">
        <v>74</v>
      </c>
      <c r="BI743">
        <v>18</v>
      </c>
      <c r="BJ743" t="s">
        <v>264</v>
      </c>
      <c r="BK743" t="s">
        <v>101</v>
      </c>
      <c r="BL743" t="s">
        <v>264</v>
      </c>
      <c r="BM743" t="s">
        <v>14514</v>
      </c>
      <c r="BN743" t="s">
        <v>74</v>
      </c>
      <c r="BO743" t="s">
        <v>14566</v>
      </c>
      <c r="BP743" t="s">
        <v>74</v>
      </c>
      <c r="BQ743" t="s">
        <v>74</v>
      </c>
      <c r="BR743" t="s">
        <v>105</v>
      </c>
      <c r="BS743" t="s">
        <v>14567</v>
      </c>
      <c r="BT743" t="str">
        <f>HYPERLINK("https%3A%2F%2Fwww.webofscience.com%2Fwos%2Fwoscc%2Ffull-record%2FWOS:000752706700016","View Full Record in Web of Science")</f>
        <v>View Full Record in Web of Science</v>
      </c>
    </row>
    <row r="744" spans="1:72" x14ac:dyDescent="0.15">
      <c r="A744" t="s">
        <v>72</v>
      </c>
      <c r="B744" t="s">
        <v>14568</v>
      </c>
      <c r="C744" t="s">
        <v>74</v>
      </c>
      <c r="D744" t="s">
        <v>74</v>
      </c>
      <c r="E744" t="s">
        <v>74</v>
      </c>
      <c r="F744" t="s">
        <v>14569</v>
      </c>
      <c r="G744" t="s">
        <v>74</v>
      </c>
      <c r="H744" t="s">
        <v>74</v>
      </c>
      <c r="I744" t="s">
        <v>14570</v>
      </c>
      <c r="J744" t="s">
        <v>14571</v>
      </c>
      <c r="K744" t="s">
        <v>74</v>
      </c>
      <c r="L744" t="s">
        <v>74</v>
      </c>
      <c r="M744" t="s">
        <v>78</v>
      </c>
      <c r="N744" t="s">
        <v>14572</v>
      </c>
      <c r="O744" t="s">
        <v>74</v>
      </c>
      <c r="P744" t="s">
        <v>74</v>
      </c>
      <c r="Q744" t="s">
        <v>74</v>
      </c>
      <c r="R744" t="s">
        <v>74</v>
      </c>
      <c r="S744" t="s">
        <v>74</v>
      </c>
      <c r="T744" t="s">
        <v>74</v>
      </c>
      <c r="U744" t="s">
        <v>74</v>
      </c>
      <c r="V744" t="s">
        <v>74</v>
      </c>
      <c r="W744" t="s">
        <v>14573</v>
      </c>
      <c r="X744" t="s">
        <v>74</v>
      </c>
      <c r="Y744" t="s">
        <v>14574</v>
      </c>
      <c r="Z744" t="s">
        <v>14575</v>
      </c>
      <c r="AA744" t="s">
        <v>74</v>
      </c>
      <c r="AB744" t="s">
        <v>14576</v>
      </c>
      <c r="AC744" t="s">
        <v>74</v>
      </c>
      <c r="AD744" t="s">
        <v>74</v>
      </c>
      <c r="AE744" t="s">
        <v>74</v>
      </c>
      <c r="AF744" t="s">
        <v>74</v>
      </c>
      <c r="AG744">
        <v>8</v>
      </c>
      <c r="AH744">
        <v>0</v>
      </c>
      <c r="AI744">
        <v>0</v>
      </c>
      <c r="AJ744">
        <v>0</v>
      </c>
      <c r="AK744">
        <v>0</v>
      </c>
      <c r="AL744" t="s">
        <v>14577</v>
      </c>
      <c r="AM744" t="s">
        <v>14578</v>
      </c>
      <c r="AN744" t="s">
        <v>14579</v>
      </c>
      <c r="AO744" t="s">
        <v>14580</v>
      </c>
      <c r="AP744" t="s">
        <v>14581</v>
      </c>
      <c r="AQ744" t="s">
        <v>74</v>
      </c>
      <c r="AR744" t="s">
        <v>14571</v>
      </c>
      <c r="AS744" t="s">
        <v>14582</v>
      </c>
      <c r="AT744" t="s">
        <v>627</v>
      </c>
      <c r="AU744">
        <v>2021</v>
      </c>
      <c r="AV744">
        <v>74</v>
      </c>
      <c r="AW744">
        <v>3</v>
      </c>
      <c r="AX744" t="s">
        <v>74</v>
      </c>
      <c r="AY744" t="s">
        <v>74</v>
      </c>
      <c r="AZ744" t="s">
        <v>74</v>
      </c>
      <c r="BA744" t="s">
        <v>74</v>
      </c>
      <c r="BB744">
        <v>399</v>
      </c>
      <c r="BC744">
        <v>400</v>
      </c>
      <c r="BD744" t="s">
        <v>74</v>
      </c>
      <c r="BE744" t="s">
        <v>74</v>
      </c>
      <c r="BF744" t="s">
        <v>74</v>
      </c>
      <c r="BG744" t="s">
        <v>74</v>
      </c>
      <c r="BH744" t="s">
        <v>74</v>
      </c>
      <c r="BI744">
        <v>2</v>
      </c>
      <c r="BJ744" t="s">
        <v>14583</v>
      </c>
      <c r="BK744" t="s">
        <v>101</v>
      </c>
      <c r="BL744" t="s">
        <v>10900</v>
      </c>
      <c r="BM744" t="s">
        <v>14584</v>
      </c>
      <c r="BN744" t="s">
        <v>74</v>
      </c>
      <c r="BO744" t="s">
        <v>74</v>
      </c>
      <c r="BP744" t="s">
        <v>74</v>
      </c>
      <c r="BQ744" t="s">
        <v>74</v>
      </c>
      <c r="BR744" t="s">
        <v>105</v>
      </c>
      <c r="BS744" t="s">
        <v>14585</v>
      </c>
      <c r="BT744" t="str">
        <f>HYPERLINK("https%3A%2F%2Fwww.webofscience.com%2Fwos%2Fwoscc%2Ffull-record%2FWOS:000711060600011","View Full Record in Web of Science")</f>
        <v>View Full Record in Web of Science</v>
      </c>
    </row>
    <row r="745" spans="1:72" x14ac:dyDescent="0.15">
      <c r="A745" t="s">
        <v>72</v>
      </c>
      <c r="B745" t="s">
        <v>14586</v>
      </c>
      <c r="C745" t="s">
        <v>74</v>
      </c>
      <c r="D745" t="s">
        <v>74</v>
      </c>
      <c r="E745" t="s">
        <v>74</v>
      </c>
      <c r="F745" t="s">
        <v>14587</v>
      </c>
      <c r="G745" t="s">
        <v>74</v>
      </c>
      <c r="H745" t="s">
        <v>74</v>
      </c>
      <c r="I745" t="s">
        <v>14588</v>
      </c>
      <c r="J745" t="s">
        <v>4458</v>
      </c>
      <c r="K745" t="s">
        <v>74</v>
      </c>
      <c r="L745" t="s">
        <v>74</v>
      </c>
      <c r="M745" t="s">
        <v>78</v>
      </c>
      <c r="N745" t="s">
        <v>79</v>
      </c>
      <c r="O745" t="s">
        <v>74</v>
      </c>
      <c r="P745" t="s">
        <v>74</v>
      </c>
      <c r="Q745" t="s">
        <v>74</v>
      </c>
      <c r="R745" t="s">
        <v>74</v>
      </c>
      <c r="S745" t="s">
        <v>74</v>
      </c>
      <c r="T745" t="s">
        <v>14589</v>
      </c>
      <c r="U745" t="s">
        <v>14590</v>
      </c>
      <c r="V745" t="s">
        <v>14591</v>
      </c>
      <c r="W745" t="s">
        <v>14592</v>
      </c>
      <c r="X745" t="s">
        <v>14593</v>
      </c>
      <c r="Y745" t="s">
        <v>14594</v>
      </c>
      <c r="Z745" t="s">
        <v>14595</v>
      </c>
      <c r="AA745" t="s">
        <v>14596</v>
      </c>
      <c r="AB745" t="s">
        <v>14597</v>
      </c>
      <c r="AC745" t="s">
        <v>14598</v>
      </c>
      <c r="AD745" t="s">
        <v>14599</v>
      </c>
      <c r="AE745" t="s">
        <v>14600</v>
      </c>
      <c r="AF745" t="s">
        <v>74</v>
      </c>
      <c r="AG745">
        <v>37</v>
      </c>
      <c r="AH745">
        <v>5</v>
      </c>
      <c r="AI745">
        <v>5</v>
      </c>
      <c r="AJ745">
        <v>2</v>
      </c>
      <c r="AK745">
        <v>5</v>
      </c>
      <c r="AL745" t="s">
        <v>4446</v>
      </c>
      <c r="AM745" t="s">
        <v>170</v>
      </c>
      <c r="AN745" t="s">
        <v>4447</v>
      </c>
      <c r="AO745" t="s">
        <v>4471</v>
      </c>
      <c r="AP745" t="s">
        <v>4472</v>
      </c>
      <c r="AQ745" t="s">
        <v>74</v>
      </c>
      <c r="AR745" t="s">
        <v>4473</v>
      </c>
      <c r="AS745" t="s">
        <v>4474</v>
      </c>
      <c r="AT745" t="s">
        <v>627</v>
      </c>
      <c r="AU745">
        <v>2021</v>
      </c>
      <c r="AV745">
        <v>61</v>
      </c>
      <c r="AW745">
        <v>5</v>
      </c>
      <c r="AX745" t="s">
        <v>74</v>
      </c>
      <c r="AY745" t="s">
        <v>74</v>
      </c>
      <c r="AZ745" t="s">
        <v>74</v>
      </c>
      <c r="BA745" t="s">
        <v>74</v>
      </c>
      <c r="BB745">
        <v>589</v>
      </c>
      <c r="BC745">
        <v>601</v>
      </c>
      <c r="BD745" t="s">
        <v>74</v>
      </c>
      <c r="BE745" t="s">
        <v>14601</v>
      </c>
      <c r="BF745" t="str">
        <f>HYPERLINK("http://dx.doi.org/10.1134/S000143702105009X","http://dx.doi.org/10.1134/S000143702105009X")</f>
        <v>http://dx.doi.org/10.1134/S000143702105009X</v>
      </c>
      <c r="BG745" t="s">
        <v>74</v>
      </c>
      <c r="BH745" t="s">
        <v>74</v>
      </c>
      <c r="BI745">
        <v>13</v>
      </c>
      <c r="BJ745" t="s">
        <v>264</v>
      </c>
      <c r="BK745" t="s">
        <v>101</v>
      </c>
      <c r="BL745" t="s">
        <v>264</v>
      </c>
      <c r="BM745" t="s">
        <v>14602</v>
      </c>
      <c r="BN745" t="s">
        <v>74</v>
      </c>
      <c r="BO745" t="s">
        <v>74</v>
      </c>
      <c r="BP745" t="s">
        <v>74</v>
      </c>
      <c r="BQ745" t="s">
        <v>74</v>
      </c>
      <c r="BR745" t="s">
        <v>105</v>
      </c>
      <c r="BS745" t="s">
        <v>14603</v>
      </c>
      <c r="BT745" t="str">
        <f>HYPERLINK("https%3A%2F%2Fwww.webofscience.com%2Fwos%2Fwoscc%2Ffull-record%2FWOS:000721881000001","View Full Record in Web of Science")</f>
        <v>View Full Record in Web of Science</v>
      </c>
    </row>
    <row r="746" spans="1:72" x14ac:dyDescent="0.15">
      <c r="A746" t="s">
        <v>72</v>
      </c>
      <c r="B746" t="s">
        <v>14604</v>
      </c>
      <c r="C746" t="s">
        <v>74</v>
      </c>
      <c r="D746" t="s">
        <v>74</v>
      </c>
      <c r="E746" t="s">
        <v>74</v>
      </c>
      <c r="F746" t="s">
        <v>14605</v>
      </c>
      <c r="G746" t="s">
        <v>74</v>
      </c>
      <c r="H746" t="s">
        <v>74</v>
      </c>
      <c r="I746" t="s">
        <v>14606</v>
      </c>
      <c r="J746" t="s">
        <v>4458</v>
      </c>
      <c r="K746" t="s">
        <v>74</v>
      </c>
      <c r="L746" t="s">
        <v>74</v>
      </c>
      <c r="M746" t="s">
        <v>78</v>
      </c>
      <c r="N746" t="s">
        <v>79</v>
      </c>
      <c r="O746" t="s">
        <v>74</v>
      </c>
      <c r="P746" t="s">
        <v>74</v>
      </c>
      <c r="Q746" t="s">
        <v>74</v>
      </c>
      <c r="R746" t="s">
        <v>74</v>
      </c>
      <c r="S746" t="s">
        <v>74</v>
      </c>
      <c r="T746" t="s">
        <v>14607</v>
      </c>
      <c r="U746" t="s">
        <v>14608</v>
      </c>
      <c r="V746" t="s">
        <v>14609</v>
      </c>
      <c r="W746" t="s">
        <v>14610</v>
      </c>
      <c r="X746" t="s">
        <v>7293</v>
      </c>
      <c r="Y746" t="s">
        <v>14611</v>
      </c>
      <c r="Z746" t="s">
        <v>14612</v>
      </c>
      <c r="AA746" t="s">
        <v>14613</v>
      </c>
      <c r="AB746" t="s">
        <v>14614</v>
      </c>
      <c r="AC746" t="s">
        <v>14615</v>
      </c>
      <c r="AD746" t="s">
        <v>14616</v>
      </c>
      <c r="AE746" t="s">
        <v>14617</v>
      </c>
      <c r="AF746" t="s">
        <v>74</v>
      </c>
      <c r="AG746">
        <v>37</v>
      </c>
      <c r="AH746">
        <v>3</v>
      </c>
      <c r="AI746">
        <v>3</v>
      </c>
      <c r="AJ746">
        <v>0</v>
      </c>
      <c r="AK746">
        <v>1</v>
      </c>
      <c r="AL746" t="s">
        <v>4446</v>
      </c>
      <c r="AM746" t="s">
        <v>170</v>
      </c>
      <c r="AN746" t="s">
        <v>4447</v>
      </c>
      <c r="AO746" t="s">
        <v>4471</v>
      </c>
      <c r="AP746" t="s">
        <v>4472</v>
      </c>
      <c r="AQ746" t="s">
        <v>74</v>
      </c>
      <c r="AR746" t="s">
        <v>4473</v>
      </c>
      <c r="AS746" t="s">
        <v>4474</v>
      </c>
      <c r="AT746" t="s">
        <v>627</v>
      </c>
      <c r="AU746">
        <v>2021</v>
      </c>
      <c r="AV746">
        <v>61</v>
      </c>
      <c r="AW746">
        <v>5</v>
      </c>
      <c r="AX746" t="s">
        <v>74</v>
      </c>
      <c r="AY746" t="s">
        <v>74</v>
      </c>
      <c r="AZ746" t="s">
        <v>74</v>
      </c>
      <c r="BA746" t="s">
        <v>74</v>
      </c>
      <c r="BB746">
        <v>602</v>
      </c>
      <c r="BC746">
        <v>612</v>
      </c>
      <c r="BD746" t="s">
        <v>74</v>
      </c>
      <c r="BE746" t="s">
        <v>14618</v>
      </c>
      <c r="BF746" t="str">
        <f>HYPERLINK("http://dx.doi.org/10.1134/S0001437021050052","http://dx.doi.org/10.1134/S0001437021050052")</f>
        <v>http://dx.doi.org/10.1134/S0001437021050052</v>
      </c>
      <c r="BG746" t="s">
        <v>74</v>
      </c>
      <c r="BH746" t="s">
        <v>74</v>
      </c>
      <c r="BI746">
        <v>11</v>
      </c>
      <c r="BJ746" t="s">
        <v>264</v>
      </c>
      <c r="BK746" t="s">
        <v>101</v>
      </c>
      <c r="BL746" t="s">
        <v>264</v>
      </c>
      <c r="BM746" t="s">
        <v>14602</v>
      </c>
      <c r="BN746" t="s">
        <v>74</v>
      </c>
      <c r="BO746" t="s">
        <v>74</v>
      </c>
      <c r="BP746" t="s">
        <v>74</v>
      </c>
      <c r="BQ746" t="s">
        <v>74</v>
      </c>
      <c r="BR746" t="s">
        <v>105</v>
      </c>
      <c r="BS746" t="s">
        <v>14619</v>
      </c>
      <c r="BT746" t="str">
        <f>HYPERLINK("https%3A%2F%2Fwww.webofscience.com%2Fwos%2Fwoscc%2Ffull-record%2FWOS:000721881000002","View Full Record in Web of Science")</f>
        <v>View Full Record in Web of Science</v>
      </c>
    </row>
    <row r="747" spans="1:72" x14ac:dyDescent="0.15">
      <c r="A747" t="s">
        <v>72</v>
      </c>
      <c r="B747" t="s">
        <v>14620</v>
      </c>
      <c r="C747" t="s">
        <v>74</v>
      </c>
      <c r="D747" t="s">
        <v>74</v>
      </c>
      <c r="E747" t="s">
        <v>74</v>
      </c>
      <c r="F747" t="s">
        <v>14621</v>
      </c>
      <c r="G747" t="s">
        <v>74</v>
      </c>
      <c r="H747" t="s">
        <v>74</v>
      </c>
      <c r="I747" t="s">
        <v>14622</v>
      </c>
      <c r="J747" t="s">
        <v>4458</v>
      </c>
      <c r="K747" t="s">
        <v>74</v>
      </c>
      <c r="L747" t="s">
        <v>74</v>
      </c>
      <c r="M747" t="s">
        <v>78</v>
      </c>
      <c r="N747" t="s">
        <v>79</v>
      </c>
      <c r="O747" t="s">
        <v>74</v>
      </c>
      <c r="P747" t="s">
        <v>74</v>
      </c>
      <c r="Q747" t="s">
        <v>74</v>
      </c>
      <c r="R747" t="s">
        <v>74</v>
      </c>
      <c r="S747" t="s">
        <v>74</v>
      </c>
      <c r="T747" t="s">
        <v>14623</v>
      </c>
      <c r="U747" t="s">
        <v>14624</v>
      </c>
      <c r="V747" t="s">
        <v>14625</v>
      </c>
      <c r="W747" t="s">
        <v>14626</v>
      </c>
      <c r="X747" t="s">
        <v>14627</v>
      </c>
      <c r="Y747" t="s">
        <v>14628</v>
      </c>
      <c r="Z747" t="s">
        <v>14629</v>
      </c>
      <c r="AA747" t="s">
        <v>14630</v>
      </c>
      <c r="AB747" t="s">
        <v>14631</v>
      </c>
      <c r="AC747" t="s">
        <v>14632</v>
      </c>
      <c r="AD747" t="s">
        <v>14633</v>
      </c>
      <c r="AE747" t="s">
        <v>14634</v>
      </c>
      <c r="AF747" t="s">
        <v>74</v>
      </c>
      <c r="AG747">
        <v>41</v>
      </c>
      <c r="AH747">
        <v>11</v>
      </c>
      <c r="AI747">
        <v>11</v>
      </c>
      <c r="AJ747">
        <v>1</v>
      </c>
      <c r="AK747">
        <v>2</v>
      </c>
      <c r="AL747" t="s">
        <v>4446</v>
      </c>
      <c r="AM747" t="s">
        <v>170</v>
      </c>
      <c r="AN747" t="s">
        <v>4447</v>
      </c>
      <c r="AO747" t="s">
        <v>4471</v>
      </c>
      <c r="AP747" t="s">
        <v>4472</v>
      </c>
      <c r="AQ747" t="s">
        <v>74</v>
      </c>
      <c r="AR747" t="s">
        <v>4473</v>
      </c>
      <c r="AS747" t="s">
        <v>4474</v>
      </c>
      <c r="AT747" t="s">
        <v>627</v>
      </c>
      <c r="AU747">
        <v>2021</v>
      </c>
      <c r="AV747">
        <v>61</v>
      </c>
      <c r="AW747">
        <v>5</v>
      </c>
      <c r="AX747" t="s">
        <v>74</v>
      </c>
      <c r="AY747" t="s">
        <v>74</v>
      </c>
      <c r="AZ747" t="s">
        <v>74</v>
      </c>
      <c r="BA747" t="s">
        <v>74</v>
      </c>
      <c r="BB747">
        <v>632</v>
      </c>
      <c r="BC747">
        <v>644</v>
      </c>
      <c r="BD747" t="s">
        <v>74</v>
      </c>
      <c r="BE747" t="s">
        <v>14635</v>
      </c>
      <c r="BF747" t="str">
        <f>HYPERLINK("http://dx.doi.org/10.1134/S0001437021050106","http://dx.doi.org/10.1134/S0001437021050106")</f>
        <v>http://dx.doi.org/10.1134/S0001437021050106</v>
      </c>
      <c r="BG747" t="s">
        <v>74</v>
      </c>
      <c r="BH747" t="s">
        <v>74</v>
      </c>
      <c r="BI747">
        <v>13</v>
      </c>
      <c r="BJ747" t="s">
        <v>264</v>
      </c>
      <c r="BK747" t="s">
        <v>101</v>
      </c>
      <c r="BL747" t="s">
        <v>264</v>
      </c>
      <c r="BM747" t="s">
        <v>14602</v>
      </c>
      <c r="BN747" t="s">
        <v>74</v>
      </c>
      <c r="BO747" t="s">
        <v>74</v>
      </c>
      <c r="BP747" t="s">
        <v>74</v>
      </c>
      <c r="BQ747" t="s">
        <v>74</v>
      </c>
      <c r="BR747" t="s">
        <v>105</v>
      </c>
      <c r="BS747" t="s">
        <v>14636</v>
      </c>
      <c r="BT747" t="str">
        <f>HYPERLINK("https%3A%2F%2Fwww.webofscience.com%2Fwos%2Fwoscc%2Ffull-record%2FWOS:000721881000005","View Full Record in Web of Science")</f>
        <v>View Full Record in Web of Science</v>
      </c>
    </row>
    <row r="748" spans="1:72" x14ac:dyDescent="0.15">
      <c r="A748" t="s">
        <v>72</v>
      </c>
      <c r="B748" t="s">
        <v>14637</v>
      </c>
      <c r="C748" t="s">
        <v>74</v>
      </c>
      <c r="D748" t="s">
        <v>74</v>
      </c>
      <c r="E748" t="s">
        <v>74</v>
      </c>
      <c r="F748" t="s">
        <v>14638</v>
      </c>
      <c r="G748" t="s">
        <v>74</v>
      </c>
      <c r="H748" t="s">
        <v>74</v>
      </c>
      <c r="I748" t="s">
        <v>14639</v>
      </c>
      <c r="J748" t="s">
        <v>8499</v>
      </c>
      <c r="K748" t="s">
        <v>74</v>
      </c>
      <c r="L748" t="s">
        <v>74</v>
      </c>
      <c r="M748" t="s">
        <v>78</v>
      </c>
      <c r="N748" t="s">
        <v>79</v>
      </c>
      <c r="O748" t="s">
        <v>74</v>
      </c>
      <c r="P748" t="s">
        <v>74</v>
      </c>
      <c r="Q748" t="s">
        <v>74</v>
      </c>
      <c r="R748" t="s">
        <v>74</v>
      </c>
      <c r="S748" t="s">
        <v>74</v>
      </c>
      <c r="T748" t="s">
        <v>14640</v>
      </c>
      <c r="U748" t="s">
        <v>14641</v>
      </c>
      <c r="V748" t="s">
        <v>14642</v>
      </c>
      <c r="W748" t="s">
        <v>14643</v>
      </c>
      <c r="X748" t="s">
        <v>14644</v>
      </c>
      <c r="Y748" t="s">
        <v>14645</v>
      </c>
      <c r="Z748" t="s">
        <v>14646</v>
      </c>
      <c r="AA748" t="s">
        <v>14647</v>
      </c>
      <c r="AB748" t="s">
        <v>14648</v>
      </c>
      <c r="AC748" t="s">
        <v>14649</v>
      </c>
      <c r="AD748" t="s">
        <v>14650</v>
      </c>
      <c r="AE748" t="s">
        <v>14651</v>
      </c>
      <c r="AF748" t="s">
        <v>74</v>
      </c>
      <c r="AG748">
        <v>44</v>
      </c>
      <c r="AH748">
        <v>6</v>
      </c>
      <c r="AI748">
        <v>6</v>
      </c>
      <c r="AJ748">
        <v>0</v>
      </c>
      <c r="AK748">
        <v>5</v>
      </c>
      <c r="AL748" t="s">
        <v>437</v>
      </c>
      <c r="AM748" t="s">
        <v>438</v>
      </c>
      <c r="AN748" t="s">
        <v>439</v>
      </c>
      <c r="AO748" t="s">
        <v>8512</v>
      </c>
      <c r="AP748" t="s">
        <v>74</v>
      </c>
      <c r="AQ748" t="s">
        <v>74</v>
      </c>
      <c r="AR748" t="s">
        <v>8513</v>
      </c>
      <c r="AS748" t="s">
        <v>8514</v>
      </c>
      <c r="AT748" t="s">
        <v>7235</v>
      </c>
      <c r="AU748">
        <v>2021</v>
      </c>
      <c r="AV748">
        <v>5</v>
      </c>
      <c r="AW748">
        <v>10</v>
      </c>
      <c r="AX748" t="s">
        <v>74</v>
      </c>
      <c r="AY748" t="s">
        <v>74</v>
      </c>
      <c r="AZ748" t="s">
        <v>74</v>
      </c>
      <c r="BA748" t="s">
        <v>74</v>
      </c>
      <c r="BB748">
        <v>2855</v>
      </c>
      <c r="BC748">
        <v>2864</v>
      </c>
      <c r="BD748" t="s">
        <v>74</v>
      </c>
      <c r="BE748" t="s">
        <v>14652</v>
      </c>
      <c r="BF748" t="str">
        <f>HYPERLINK("http://dx.doi.org/10.1021/acsearthspacechem.1c00224","http://dx.doi.org/10.1021/acsearthspacechem.1c00224")</f>
        <v>http://dx.doi.org/10.1021/acsearthspacechem.1c00224</v>
      </c>
      <c r="BG748" t="s">
        <v>74</v>
      </c>
      <c r="BH748" t="s">
        <v>11189</v>
      </c>
      <c r="BI748">
        <v>10</v>
      </c>
      <c r="BJ748" t="s">
        <v>8516</v>
      </c>
      <c r="BK748" t="s">
        <v>101</v>
      </c>
      <c r="BL748" t="s">
        <v>8517</v>
      </c>
      <c r="BM748" t="s">
        <v>8518</v>
      </c>
      <c r="BN748" t="s">
        <v>74</v>
      </c>
      <c r="BO748" t="s">
        <v>1614</v>
      </c>
      <c r="BP748" t="s">
        <v>74</v>
      </c>
      <c r="BQ748" t="s">
        <v>74</v>
      </c>
      <c r="BR748" t="s">
        <v>105</v>
      </c>
      <c r="BS748" t="s">
        <v>14653</v>
      </c>
      <c r="BT748" t="str">
        <f>HYPERLINK("https%3A%2F%2Fwww.webofscience.com%2Fwos%2Fwoscc%2Ffull-record%2FWOS:000714116400028","View Full Record in Web of Science")</f>
        <v>View Full Record in Web of Science</v>
      </c>
    </row>
    <row r="749" spans="1:72" x14ac:dyDescent="0.15">
      <c r="A749" t="s">
        <v>72</v>
      </c>
      <c r="B749" t="s">
        <v>14654</v>
      </c>
      <c r="C749" t="s">
        <v>74</v>
      </c>
      <c r="D749" t="s">
        <v>74</v>
      </c>
      <c r="E749" t="s">
        <v>74</v>
      </c>
      <c r="F749" t="s">
        <v>14655</v>
      </c>
      <c r="G749" t="s">
        <v>74</v>
      </c>
      <c r="H749" t="s">
        <v>74</v>
      </c>
      <c r="I749" t="s">
        <v>14656</v>
      </c>
      <c r="J749" t="s">
        <v>5548</v>
      </c>
      <c r="K749" t="s">
        <v>74</v>
      </c>
      <c r="L749" t="s">
        <v>74</v>
      </c>
      <c r="M749" t="s">
        <v>78</v>
      </c>
      <c r="N749" t="s">
        <v>79</v>
      </c>
      <c r="O749" t="s">
        <v>74</v>
      </c>
      <c r="P749" t="s">
        <v>74</v>
      </c>
      <c r="Q749" t="s">
        <v>74</v>
      </c>
      <c r="R749" t="s">
        <v>74</v>
      </c>
      <c r="S749" t="s">
        <v>74</v>
      </c>
      <c r="T749" t="s">
        <v>14657</v>
      </c>
      <c r="U749" t="s">
        <v>14658</v>
      </c>
      <c r="V749" t="s">
        <v>14659</v>
      </c>
      <c r="W749" t="s">
        <v>14660</v>
      </c>
      <c r="X749" t="s">
        <v>14661</v>
      </c>
      <c r="Y749" t="s">
        <v>14662</v>
      </c>
      <c r="Z749" t="s">
        <v>14663</v>
      </c>
      <c r="AA749" t="s">
        <v>74</v>
      </c>
      <c r="AB749" t="s">
        <v>74</v>
      </c>
      <c r="AC749" t="s">
        <v>14664</v>
      </c>
      <c r="AD749" t="s">
        <v>14665</v>
      </c>
      <c r="AE749" t="s">
        <v>14666</v>
      </c>
      <c r="AF749" t="s">
        <v>74</v>
      </c>
      <c r="AG749">
        <v>39</v>
      </c>
      <c r="AH749">
        <v>2</v>
      </c>
      <c r="AI749">
        <v>2</v>
      </c>
      <c r="AJ749">
        <v>0</v>
      </c>
      <c r="AK749">
        <v>7</v>
      </c>
      <c r="AL749" t="s">
        <v>5559</v>
      </c>
      <c r="AM749" t="s">
        <v>5560</v>
      </c>
      <c r="AN749" t="s">
        <v>5561</v>
      </c>
      <c r="AO749" t="s">
        <v>5562</v>
      </c>
      <c r="AP749" t="s">
        <v>5563</v>
      </c>
      <c r="AQ749" t="s">
        <v>74</v>
      </c>
      <c r="AR749" t="s">
        <v>5564</v>
      </c>
      <c r="AS749" t="s">
        <v>5565</v>
      </c>
      <c r="AT749" t="s">
        <v>627</v>
      </c>
      <c r="AU749">
        <v>2021</v>
      </c>
      <c r="AV749">
        <v>106</v>
      </c>
      <c r="AW749">
        <v>9</v>
      </c>
      <c r="AX749" t="s">
        <v>74</v>
      </c>
      <c r="AY749" t="s">
        <v>74</v>
      </c>
      <c r="AZ749" t="s">
        <v>74</v>
      </c>
      <c r="BA749" t="s">
        <v>74</v>
      </c>
      <c r="BB749">
        <v>1470</v>
      </c>
      <c r="BC749">
        <v>1479</v>
      </c>
      <c r="BD749" t="s">
        <v>74</v>
      </c>
      <c r="BE749" t="s">
        <v>14667</v>
      </c>
      <c r="BF749" t="str">
        <f>HYPERLINK("http://dx.doi.org/10.2138/am-2021-7554","http://dx.doi.org/10.2138/am-2021-7554")</f>
        <v>http://dx.doi.org/10.2138/am-2021-7554</v>
      </c>
      <c r="BG749" t="s">
        <v>74</v>
      </c>
      <c r="BH749" t="s">
        <v>74</v>
      </c>
      <c r="BI749">
        <v>10</v>
      </c>
      <c r="BJ749" t="s">
        <v>5567</v>
      </c>
      <c r="BK749" t="s">
        <v>101</v>
      </c>
      <c r="BL749" t="s">
        <v>5567</v>
      </c>
      <c r="BM749" t="s">
        <v>14668</v>
      </c>
      <c r="BN749" t="s">
        <v>74</v>
      </c>
      <c r="BO749" t="s">
        <v>74</v>
      </c>
      <c r="BP749" t="s">
        <v>74</v>
      </c>
      <c r="BQ749" t="s">
        <v>74</v>
      </c>
      <c r="BR749" t="s">
        <v>105</v>
      </c>
      <c r="BS749" t="s">
        <v>14669</v>
      </c>
      <c r="BT749" t="str">
        <f>HYPERLINK("https%3A%2F%2Fwww.webofscience.com%2Fwos%2Fwoscc%2Ffull-record%2FWOS:000715841700005","View Full Record in Web of Science")</f>
        <v>View Full Record in Web of Science</v>
      </c>
    </row>
    <row r="750" spans="1:72" x14ac:dyDescent="0.15">
      <c r="A750" t="s">
        <v>72</v>
      </c>
      <c r="B750" t="s">
        <v>14670</v>
      </c>
      <c r="C750" t="s">
        <v>74</v>
      </c>
      <c r="D750" t="s">
        <v>74</v>
      </c>
      <c r="E750" t="s">
        <v>74</v>
      </c>
      <c r="F750" t="s">
        <v>14671</v>
      </c>
      <c r="G750" t="s">
        <v>74</v>
      </c>
      <c r="H750" t="s">
        <v>74</v>
      </c>
      <c r="I750" t="s">
        <v>14672</v>
      </c>
      <c r="J750" t="s">
        <v>14673</v>
      </c>
      <c r="K750" t="s">
        <v>74</v>
      </c>
      <c r="L750" t="s">
        <v>74</v>
      </c>
      <c r="M750" t="s">
        <v>78</v>
      </c>
      <c r="N750" t="s">
        <v>79</v>
      </c>
      <c r="O750" t="s">
        <v>74</v>
      </c>
      <c r="P750" t="s">
        <v>74</v>
      </c>
      <c r="Q750" t="s">
        <v>74</v>
      </c>
      <c r="R750" t="s">
        <v>74</v>
      </c>
      <c r="S750" t="s">
        <v>74</v>
      </c>
      <c r="T750" t="s">
        <v>14674</v>
      </c>
      <c r="U750" t="s">
        <v>14675</v>
      </c>
      <c r="V750" t="s">
        <v>14676</v>
      </c>
      <c r="W750" t="s">
        <v>14677</v>
      </c>
      <c r="X750" t="s">
        <v>14678</v>
      </c>
      <c r="Y750" t="s">
        <v>14679</v>
      </c>
      <c r="Z750" t="s">
        <v>14680</v>
      </c>
      <c r="AA750" t="s">
        <v>14681</v>
      </c>
      <c r="AB750" t="s">
        <v>14682</v>
      </c>
      <c r="AC750" t="s">
        <v>14683</v>
      </c>
      <c r="AD750" t="s">
        <v>14284</v>
      </c>
      <c r="AE750" t="s">
        <v>14684</v>
      </c>
      <c r="AF750" t="s">
        <v>74</v>
      </c>
      <c r="AG750">
        <v>23</v>
      </c>
      <c r="AH750">
        <v>3</v>
      </c>
      <c r="AI750">
        <v>3</v>
      </c>
      <c r="AJ750">
        <v>0</v>
      </c>
      <c r="AK750">
        <v>2</v>
      </c>
      <c r="AL750" t="s">
        <v>14685</v>
      </c>
      <c r="AM750" t="s">
        <v>170</v>
      </c>
      <c r="AN750" t="s">
        <v>14686</v>
      </c>
      <c r="AO750" t="s">
        <v>14687</v>
      </c>
      <c r="AP750" t="s">
        <v>14688</v>
      </c>
      <c r="AQ750" t="s">
        <v>74</v>
      </c>
      <c r="AR750" t="s">
        <v>14689</v>
      </c>
      <c r="AS750" t="s">
        <v>14690</v>
      </c>
      <c r="AT750" t="s">
        <v>627</v>
      </c>
      <c r="AU750">
        <v>2021</v>
      </c>
      <c r="AV750">
        <v>57</v>
      </c>
      <c r="AW750">
        <v>5</v>
      </c>
      <c r="AX750" t="s">
        <v>74</v>
      </c>
      <c r="AY750" t="s">
        <v>74</v>
      </c>
      <c r="AZ750" t="s">
        <v>74</v>
      </c>
      <c r="BA750" t="s">
        <v>74</v>
      </c>
      <c r="BB750">
        <v>451</v>
      </c>
      <c r="BC750">
        <v>460</v>
      </c>
      <c r="BD750" t="s">
        <v>74</v>
      </c>
      <c r="BE750" t="s">
        <v>14691</v>
      </c>
      <c r="BF750" t="str">
        <f>HYPERLINK("http://dx.doi.org/10.1134/S0001433821050091","http://dx.doi.org/10.1134/S0001433821050091")</f>
        <v>http://dx.doi.org/10.1134/S0001433821050091</v>
      </c>
      <c r="BG750" t="s">
        <v>74</v>
      </c>
      <c r="BH750" t="s">
        <v>74</v>
      </c>
      <c r="BI750">
        <v>10</v>
      </c>
      <c r="BJ750" t="s">
        <v>1155</v>
      </c>
      <c r="BK750" t="s">
        <v>101</v>
      </c>
      <c r="BL750" t="s">
        <v>1155</v>
      </c>
      <c r="BM750" t="s">
        <v>14692</v>
      </c>
      <c r="BN750" t="s">
        <v>74</v>
      </c>
      <c r="BO750" t="s">
        <v>74</v>
      </c>
      <c r="BP750" t="s">
        <v>74</v>
      </c>
      <c r="BQ750" t="s">
        <v>74</v>
      </c>
      <c r="BR750" t="s">
        <v>105</v>
      </c>
      <c r="BS750" t="s">
        <v>14693</v>
      </c>
      <c r="BT750" t="str">
        <f>HYPERLINK("https%3A%2F%2Fwww.webofscience.com%2Fwos%2Fwoscc%2Ffull-record%2FWOS:000715824300002","View Full Record in Web of Science")</f>
        <v>View Full Record in Web of Science</v>
      </c>
    </row>
    <row r="751" spans="1:72" x14ac:dyDescent="0.15">
      <c r="A751" t="s">
        <v>72</v>
      </c>
      <c r="B751" t="s">
        <v>14694</v>
      </c>
      <c r="C751" t="s">
        <v>74</v>
      </c>
      <c r="D751" t="s">
        <v>74</v>
      </c>
      <c r="E751" t="s">
        <v>74</v>
      </c>
      <c r="F751" t="s">
        <v>14695</v>
      </c>
      <c r="G751" t="s">
        <v>74</v>
      </c>
      <c r="H751" t="s">
        <v>74</v>
      </c>
      <c r="I751" t="s">
        <v>14696</v>
      </c>
      <c r="J751" t="s">
        <v>14697</v>
      </c>
      <c r="K751" t="s">
        <v>74</v>
      </c>
      <c r="L751" t="s">
        <v>74</v>
      </c>
      <c r="M751" t="s">
        <v>78</v>
      </c>
      <c r="N751" t="s">
        <v>79</v>
      </c>
      <c r="O751" t="s">
        <v>74</v>
      </c>
      <c r="P751" t="s">
        <v>74</v>
      </c>
      <c r="Q751" t="s">
        <v>74</v>
      </c>
      <c r="R751" t="s">
        <v>74</v>
      </c>
      <c r="S751" t="s">
        <v>74</v>
      </c>
      <c r="T751" t="s">
        <v>74</v>
      </c>
      <c r="U751" t="s">
        <v>14698</v>
      </c>
      <c r="V751" t="s">
        <v>14699</v>
      </c>
      <c r="W751" t="s">
        <v>14700</v>
      </c>
      <c r="X751" t="s">
        <v>14701</v>
      </c>
      <c r="Y751" t="s">
        <v>14702</v>
      </c>
      <c r="Z751" t="s">
        <v>14703</v>
      </c>
      <c r="AA751" t="s">
        <v>74</v>
      </c>
      <c r="AB751" t="s">
        <v>14704</v>
      </c>
      <c r="AC751" t="s">
        <v>14705</v>
      </c>
      <c r="AD751" t="s">
        <v>14706</v>
      </c>
      <c r="AE751" t="s">
        <v>14707</v>
      </c>
      <c r="AF751" t="s">
        <v>74</v>
      </c>
      <c r="AG751">
        <v>82</v>
      </c>
      <c r="AH751">
        <v>3</v>
      </c>
      <c r="AI751">
        <v>3</v>
      </c>
      <c r="AJ751">
        <v>0</v>
      </c>
      <c r="AK751">
        <v>3</v>
      </c>
      <c r="AL751" t="s">
        <v>14708</v>
      </c>
      <c r="AM751" t="s">
        <v>14709</v>
      </c>
      <c r="AN751" t="s">
        <v>14710</v>
      </c>
      <c r="AO751" t="s">
        <v>14711</v>
      </c>
      <c r="AP751" t="s">
        <v>14712</v>
      </c>
      <c r="AQ751" t="s">
        <v>74</v>
      </c>
      <c r="AR751" t="s">
        <v>14713</v>
      </c>
      <c r="AS751" t="s">
        <v>14714</v>
      </c>
      <c r="AT751" t="s">
        <v>627</v>
      </c>
      <c r="AU751">
        <v>2021</v>
      </c>
      <c r="AV751">
        <v>91</v>
      </c>
      <c r="AW751">
        <v>9</v>
      </c>
      <c r="AX751" t="s">
        <v>74</v>
      </c>
      <c r="AY751" t="s">
        <v>74</v>
      </c>
      <c r="AZ751" t="s">
        <v>74</v>
      </c>
      <c r="BA751" t="s">
        <v>74</v>
      </c>
      <c r="BB751">
        <v>929</v>
      </c>
      <c r="BC751">
        <v>944</v>
      </c>
      <c r="BD751" t="s">
        <v>74</v>
      </c>
      <c r="BE751" t="s">
        <v>14715</v>
      </c>
      <c r="BF751" t="str">
        <f>HYPERLINK("http://dx.doi.org/10.2110/jsr.2020.151","http://dx.doi.org/10.2110/jsr.2020.151")</f>
        <v>http://dx.doi.org/10.2110/jsr.2020.151</v>
      </c>
      <c r="BG751" t="s">
        <v>74</v>
      </c>
      <c r="BH751" t="s">
        <v>74</v>
      </c>
      <c r="BI751">
        <v>16</v>
      </c>
      <c r="BJ751" t="s">
        <v>237</v>
      </c>
      <c r="BK751" t="s">
        <v>101</v>
      </c>
      <c r="BL751" t="s">
        <v>237</v>
      </c>
      <c r="BM751" t="s">
        <v>14716</v>
      </c>
      <c r="BN751" t="s">
        <v>74</v>
      </c>
      <c r="BO751" t="s">
        <v>314</v>
      </c>
      <c r="BP751" t="s">
        <v>74</v>
      </c>
      <c r="BQ751" t="s">
        <v>74</v>
      </c>
      <c r="BR751" t="s">
        <v>105</v>
      </c>
      <c r="BS751" t="s">
        <v>14717</v>
      </c>
      <c r="BT751" t="str">
        <f>HYPERLINK("https%3A%2F%2Fwww.webofscience.com%2Fwos%2Fwoscc%2Ffull-record%2FWOS:000706707000001","View Full Record in Web of Science")</f>
        <v>View Full Record in Web of Science</v>
      </c>
    </row>
    <row r="752" spans="1:72" x14ac:dyDescent="0.15">
      <c r="A752" t="s">
        <v>72</v>
      </c>
      <c r="B752" t="s">
        <v>14718</v>
      </c>
      <c r="C752" t="s">
        <v>74</v>
      </c>
      <c r="D752" t="s">
        <v>74</v>
      </c>
      <c r="E752" t="s">
        <v>74</v>
      </c>
      <c r="F752" t="s">
        <v>14719</v>
      </c>
      <c r="G752" t="s">
        <v>74</v>
      </c>
      <c r="H752" t="s">
        <v>74</v>
      </c>
      <c r="I752" t="s">
        <v>14720</v>
      </c>
      <c r="J752" t="s">
        <v>2719</v>
      </c>
      <c r="K752" t="s">
        <v>74</v>
      </c>
      <c r="L752" t="s">
        <v>74</v>
      </c>
      <c r="M752" t="s">
        <v>78</v>
      </c>
      <c r="N752" t="s">
        <v>79</v>
      </c>
      <c r="O752" t="s">
        <v>74</v>
      </c>
      <c r="P752" t="s">
        <v>74</v>
      </c>
      <c r="Q752" t="s">
        <v>74</v>
      </c>
      <c r="R752" t="s">
        <v>74</v>
      </c>
      <c r="S752" t="s">
        <v>74</v>
      </c>
      <c r="T752" t="s">
        <v>14721</v>
      </c>
      <c r="U752" t="s">
        <v>14722</v>
      </c>
      <c r="V752" t="s">
        <v>14723</v>
      </c>
      <c r="W752" t="s">
        <v>14724</v>
      </c>
      <c r="X752" t="s">
        <v>14725</v>
      </c>
      <c r="Y752" t="s">
        <v>14726</v>
      </c>
      <c r="Z752" t="s">
        <v>14727</v>
      </c>
      <c r="AA752" t="s">
        <v>74</v>
      </c>
      <c r="AB752" t="s">
        <v>74</v>
      </c>
      <c r="AC752" t="s">
        <v>14728</v>
      </c>
      <c r="AD752" t="s">
        <v>14729</v>
      </c>
      <c r="AE752" t="s">
        <v>14730</v>
      </c>
      <c r="AF752" t="s">
        <v>74</v>
      </c>
      <c r="AG752">
        <v>36</v>
      </c>
      <c r="AH752">
        <v>0</v>
      </c>
      <c r="AI752">
        <v>0</v>
      </c>
      <c r="AJ752">
        <v>1</v>
      </c>
      <c r="AK752">
        <v>3</v>
      </c>
      <c r="AL752" t="s">
        <v>1714</v>
      </c>
      <c r="AM752" t="s">
        <v>256</v>
      </c>
      <c r="AN752" t="s">
        <v>1715</v>
      </c>
      <c r="AO752" t="s">
        <v>2732</v>
      </c>
      <c r="AP752" t="s">
        <v>2733</v>
      </c>
      <c r="AQ752" t="s">
        <v>74</v>
      </c>
      <c r="AR752" t="s">
        <v>2734</v>
      </c>
      <c r="AS752" t="s">
        <v>2735</v>
      </c>
      <c r="AT752" t="s">
        <v>627</v>
      </c>
      <c r="AU752">
        <v>2021</v>
      </c>
      <c r="AV752">
        <v>78</v>
      </c>
      <c r="AW752">
        <v>6</v>
      </c>
      <c r="AX752" t="s">
        <v>74</v>
      </c>
      <c r="AY752" t="s">
        <v>74</v>
      </c>
      <c r="AZ752" t="s">
        <v>74</v>
      </c>
      <c r="BA752" t="s">
        <v>74</v>
      </c>
      <c r="BB752">
        <v>2211</v>
      </c>
      <c r="BC752">
        <v>2217</v>
      </c>
      <c r="BD752" t="s">
        <v>74</v>
      </c>
      <c r="BE752" t="s">
        <v>14731</v>
      </c>
      <c r="BF752" t="str">
        <f>HYPERLINK("http://dx.doi.org/10.1093/icesjms/fsaa187","http://dx.doi.org/10.1093/icesjms/fsaa187")</f>
        <v>http://dx.doi.org/10.1093/icesjms/fsaa187</v>
      </c>
      <c r="BG752" t="s">
        <v>74</v>
      </c>
      <c r="BH752" t="s">
        <v>74</v>
      </c>
      <c r="BI752">
        <v>7</v>
      </c>
      <c r="BJ752" t="s">
        <v>2737</v>
      </c>
      <c r="BK752" t="s">
        <v>101</v>
      </c>
      <c r="BL752" t="s">
        <v>2737</v>
      </c>
      <c r="BM752" t="s">
        <v>14732</v>
      </c>
      <c r="BN752" t="s">
        <v>74</v>
      </c>
      <c r="BO752" t="s">
        <v>2217</v>
      </c>
      <c r="BP752" t="s">
        <v>74</v>
      </c>
      <c r="BQ752" t="s">
        <v>74</v>
      </c>
      <c r="BR752" t="s">
        <v>105</v>
      </c>
      <c r="BS752" t="s">
        <v>14733</v>
      </c>
      <c r="BT752" t="str">
        <f>HYPERLINK("https%3A%2F%2Fwww.webofscience.com%2Fwos%2Fwoscc%2Ffull-record%2FWOS:000705457300025","View Full Record in Web of Science")</f>
        <v>View Full Record in Web of Science</v>
      </c>
    </row>
    <row r="753" spans="1:72" x14ac:dyDescent="0.15">
      <c r="A753" t="s">
        <v>72</v>
      </c>
      <c r="B753" t="s">
        <v>14734</v>
      </c>
      <c r="C753" t="s">
        <v>74</v>
      </c>
      <c r="D753" t="s">
        <v>74</v>
      </c>
      <c r="E753" t="s">
        <v>74</v>
      </c>
      <c r="F753" t="s">
        <v>14735</v>
      </c>
      <c r="G753" t="s">
        <v>74</v>
      </c>
      <c r="H753" t="s">
        <v>74</v>
      </c>
      <c r="I753" t="s">
        <v>14736</v>
      </c>
      <c r="J753" t="s">
        <v>14737</v>
      </c>
      <c r="K753" t="s">
        <v>74</v>
      </c>
      <c r="L753" t="s">
        <v>74</v>
      </c>
      <c r="M753" t="s">
        <v>78</v>
      </c>
      <c r="N753" t="s">
        <v>373</v>
      </c>
      <c r="O753" t="s">
        <v>74</v>
      </c>
      <c r="P753" t="s">
        <v>74</v>
      </c>
      <c r="Q753" t="s">
        <v>74</v>
      </c>
      <c r="R753" t="s">
        <v>74</v>
      </c>
      <c r="S753" t="s">
        <v>74</v>
      </c>
      <c r="T753" t="s">
        <v>14738</v>
      </c>
      <c r="U753" t="s">
        <v>74</v>
      </c>
      <c r="V753" t="s">
        <v>14739</v>
      </c>
      <c r="W753" t="s">
        <v>14740</v>
      </c>
      <c r="X753" t="s">
        <v>14741</v>
      </c>
      <c r="Y753" t="s">
        <v>14742</v>
      </c>
      <c r="Z753" t="s">
        <v>14743</v>
      </c>
      <c r="AA753" t="s">
        <v>74</v>
      </c>
      <c r="AB753" t="s">
        <v>74</v>
      </c>
      <c r="AC753" t="s">
        <v>74</v>
      </c>
      <c r="AD753" t="s">
        <v>74</v>
      </c>
      <c r="AE753" t="s">
        <v>74</v>
      </c>
      <c r="AF753" t="s">
        <v>74</v>
      </c>
      <c r="AG753">
        <v>29</v>
      </c>
      <c r="AH753">
        <v>2</v>
      </c>
      <c r="AI753">
        <v>2</v>
      </c>
      <c r="AJ753">
        <v>0</v>
      </c>
      <c r="AK753">
        <v>4</v>
      </c>
      <c r="AL753" t="s">
        <v>14744</v>
      </c>
      <c r="AM753" t="s">
        <v>4024</v>
      </c>
      <c r="AN753" t="s">
        <v>14745</v>
      </c>
      <c r="AO753" t="s">
        <v>74</v>
      </c>
      <c r="AP753" t="s">
        <v>14746</v>
      </c>
      <c r="AQ753" t="s">
        <v>74</v>
      </c>
      <c r="AR753" t="s">
        <v>14747</v>
      </c>
      <c r="AS753" t="s">
        <v>14748</v>
      </c>
      <c r="AT753" t="s">
        <v>627</v>
      </c>
      <c r="AU753">
        <v>2021</v>
      </c>
      <c r="AV753">
        <v>19</v>
      </c>
      <c r="AW753">
        <v>9</v>
      </c>
      <c r="AX753" t="s">
        <v>74</v>
      </c>
      <c r="AY753" t="s">
        <v>74</v>
      </c>
      <c r="AZ753" t="s">
        <v>74</v>
      </c>
      <c r="BA753" t="s">
        <v>74</v>
      </c>
      <c r="BB753">
        <v>2434</v>
      </c>
      <c r="BC753">
        <v>2440</v>
      </c>
      <c r="BD753" t="s">
        <v>74</v>
      </c>
      <c r="BE753" t="s">
        <v>14749</v>
      </c>
      <c r="BF753" t="str">
        <f>HYPERLINK("http://dx.doi.org/10.11124/JBIES-20-00181","http://dx.doi.org/10.11124/JBIES-20-00181")</f>
        <v>http://dx.doi.org/10.11124/JBIES-20-00181</v>
      </c>
      <c r="BG753" t="s">
        <v>74</v>
      </c>
      <c r="BH753" t="s">
        <v>74</v>
      </c>
      <c r="BI753">
        <v>7</v>
      </c>
      <c r="BJ753" t="s">
        <v>14750</v>
      </c>
      <c r="BK753" t="s">
        <v>1629</v>
      </c>
      <c r="BL753" t="s">
        <v>14750</v>
      </c>
      <c r="BM753" t="s">
        <v>14751</v>
      </c>
      <c r="BN753">
        <v>33720106</v>
      </c>
      <c r="BO753" t="s">
        <v>2217</v>
      </c>
      <c r="BP753" t="s">
        <v>74</v>
      </c>
      <c r="BQ753" t="s">
        <v>74</v>
      </c>
      <c r="BR753" t="s">
        <v>105</v>
      </c>
      <c r="BS753" t="s">
        <v>14752</v>
      </c>
      <c r="BT753" t="str">
        <f>HYPERLINK("https%3A%2F%2Fwww.webofscience.com%2Fwos%2Fwoscc%2Ffull-record%2FWOS:000708536300014","View Full Record in Web of Science")</f>
        <v>View Full Record in Web of Science</v>
      </c>
    </row>
    <row r="754" spans="1:72" x14ac:dyDescent="0.15">
      <c r="A754" t="s">
        <v>72</v>
      </c>
      <c r="B754" t="s">
        <v>14753</v>
      </c>
      <c r="C754" t="s">
        <v>74</v>
      </c>
      <c r="D754" t="s">
        <v>74</v>
      </c>
      <c r="E754" t="s">
        <v>74</v>
      </c>
      <c r="F754" t="s">
        <v>14754</v>
      </c>
      <c r="G754" t="s">
        <v>74</v>
      </c>
      <c r="H754" t="s">
        <v>74</v>
      </c>
      <c r="I754" t="s">
        <v>14755</v>
      </c>
      <c r="J754" t="s">
        <v>5086</v>
      </c>
      <c r="K754" t="s">
        <v>74</v>
      </c>
      <c r="L754" t="s">
        <v>74</v>
      </c>
      <c r="M754" t="s">
        <v>78</v>
      </c>
      <c r="N754" t="s">
        <v>79</v>
      </c>
      <c r="O754" t="s">
        <v>74</v>
      </c>
      <c r="P754" t="s">
        <v>74</v>
      </c>
      <c r="Q754" t="s">
        <v>74</v>
      </c>
      <c r="R754" t="s">
        <v>74</v>
      </c>
      <c r="S754" t="s">
        <v>74</v>
      </c>
      <c r="T754" t="s">
        <v>74</v>
      </c>
      <c r="U754" t="s">
        <v>14756</v>
      </c>
      <c r="V754" t="s">
        <v>14757</v>
      </c>
      <c r="W754" t="s">
        <v>14758</v>
      </c>
      <c r="X754" t="s">
        <v>14759</v>
      </c>
      <c r="Y754" t="s">
        <v>14760</v>
      </c>
      <c r="Z754" t="s">
        <v>14761</v>
      </c>
      <c r="AA754" t="s">
        <v>14762</v>
      </c>
      <c r="AB754" t="s">
        <v>14763</v>
      </c>
      <c r="AC754" t="s">
        <v>14764</v>
      </c>
      <c r="AD754" t="s">
        <v>14765</v>
      </c>
      <c r="AE754" t="s">
        <v>14766</v>
      </c>
      <c r="AF754" t="s">
        <v>74</v>
      </c>
      <c r="AG754">
        <v>74</v>
      </c>
      <c r="AH754">
        <v>6</v>
      </c>
      <c r="AI754">
        <v>6</v>
      </c>
      <c r="AJ754">
        <v>1</v>
      </c>
      <c r="AK754">
        <v>13</v>
      </c>
      <c r="AL754" t="s">
        <v>760</v>
      </c>
      <c r="AM754" t="s">
        <v>438</v>
      </c>
      <c r="AN754" t="s">
        <v>761</v>
      </c>
      <c r="AO754" t="s">
        <v>5098</v>
      </c>
      <c r="AP754" t="s">
        <v>5099</v>
      </c>
      <c r="AQ754" t="s">
        <v>74</v>
      </c>
      <c r="AR754" t="s">
        <v>5100</v>
      </c>
      <c r="AS754" t="s">
        <v>5101</v>
      </c>
      <c r="AT754" t="s">
        <v>627</v>
      </c>
      <c r="AU754">
        <v>2021</v>
      </c>
      <c r="AV754">
        <v>36</v>
      </c>
      <c r="AW754">
        <v>9</v>
      </c>
      <c r="AX754" t="s">
        <v>74</v>
      </c>
      <c r="AY754" t="s">
        <v>74</v>
      </c>
      <c r="AZ754" t="s">
        <v>74</v>
      </c>
      <c r="BA754" t="s">
        <v>74</v>
      </c>
      <c r="BB754" t="s">
        <v>74</v>
      </c>
      <c r="BC754" t="s">
        <v>74</v>
      </c>
      <c r="BD754" t="s">
        <v>14767</v>
      </c>
      <c r="BE754" t="s">
        <v>14768</v>
      </c>
      <c r="BF754" t="str">
        <f>HYPERLINK("http://dx.doi.org/10.1029/2020PA004199","http://dx.doi.org/10.1029/2020PA004199")</f>
        <v>http://dx.doi.org/10.1029/2020PA004199</v>
      </c>
      <c r="BG754" t="s">
        <v>74</v>
      </c>
      <c r="BH754" t="s">
        <v>74</v>
      </c>
      <c r="BI754">
        <v>16</v>
      </c>
      <c r="BJ754" t="s">
        <v>5104</v>
      </c>
      <c r="BK754" t="s">
        <v>101</v>
      </c>
      <c r="BL754" t="s">
        <v>5105</v>
      </c>
      <c r="BM754" t="s">
        <v>14769</v>
      </c>
      <c r="BN754" t="s">
        <v>74</v>
      </c>
      <c r="BO754" t="s">
        <v>74</v>
      </c>
      <c r="BP754" t="s">
        <v>74</v>
      </c>
      <c r="BQ754" t="s">
        <v>74</v>
      </c>
      <c r="BR754" t="s">
        <v>105</v>
      </c>
      <c r="BS754" t="s">
        <v>14770</v>
      </c>
      <c r="BT754" t="str">
        <f>HYPERLINK("https%3A%2F%2Fwww.webofscience.com%2Fwos%2Fwoscc%2Ffull-record%2FWOS:000705942700008","View Full Record in Web of Science")</f>
        <v>View Full Record in Web of Science</v>
      </c>
    </row>
    <row r="755" spans="1:72" x14ac:dyDescent="0.15">
      <c r="A755" t="s">
        <v>72</v>
      </c>
      <c r="B755" t="s">
        <v>14771</v>
      </c>
      <c r="C755" t="s">
        <v>74</v>
      </c>
      <c r="D755" t="s">
        <v>74</v>
      </c>
      <c r="E755" t="s">
        <v>74</v>
      </c>
      <c r="F755" t="s">
        <v>14772</v>
      </c>
      <c r="G755" t="s">
        <v>74</v>
      </c>
      <c r="H755" t="s">
        <v>74</v>
      </c>
      <c r="I755" t="s">
        <v>14773</v>
      </c>
      <c r="J755" t="s">
        <v>4759</v>
      </c>
      <c r="K755" t="s">
        <v>74</v>
      </c>
      <c r="L755" t="s">
        <v>74</v>
      </c>
      <c r="M755" t="s">
        <v>78</v>
      </c>
      <c r="N755" t="s">
        <v>79</v>
      </c>
      <c r="O755" t="s">
        <v>74</v>
      </c>
      <c r="P755" t="s">
        <v>74</v>
      </c>
      <c r="Q755" t="s">
        <v>74</v>
      </c>
      <c r="R755" t="s">
        <v>74</v>
      </c>
      <c r="S755" t="s">
        <v>74</v>
      </c>
      <c r="T755" t="s">
        <v>14774</v>
      </c>
      <c r="U755" t="s">
        <v>14775</v>
      </c>
      <c r="V755" t="s">
        <v>14776</v>
      </c>
      <c r="W755" t="s">
        <v>14777</v>
      </c>
      <c r="X755" t="s">
        <v>14778</v>
      </c>
      <c r="Y755" t="s">
        <v>14779</v>
      </c>
      <c r="Z755" t="s">
        <v>14780</v>
      </c>
      <c r="AA755" t="s">
        <v>74</v>
      </c>
      <c r="AB755" t="s">
        <v>14781</v>
      </c>
      <c r="AC755" t="s">
        <v>14782</v>
      </c>
      <c r="AD755" t="s">
        <v>14783</v>
      </c>
      <c r="AE755" t="s">
        <v>14784</v>
      </c>
      <c r="AF755" t="s">
        <v>74</v>
      </c>
      <c r="AG755">
        <v>71</v>
      </c>
      <c r="AH755">
        <v>4</v>
      </c>
      <c r="AI755">
        <v>4</v>
      </c>
      <c r="AJ755">
        <v>3</v>
      </c>
      <c r="AK755">
        <v>20</v>
      </c>
      <c r="AL755" t="s">
        <v>760</v>
      </c>
      <c r="AM755" t="s">
        <v>438</v>
      </c>
      <c r="AN755" t="s">
        <v>761</v>
      </c>
      <c r="AO755" t="s">
        <v>4771</v>
      </c>
      <c r="AP755" t="s">
        <v>4772</v>
      </c>
      <c r="AQ755" t="s">
        <v>74</v>
      </c>
      <c r="AR755" t="s">
        <v>4773</v>
      </c>
      <c r="AS755" t="s">
        <v>4774</v>
      </c>
      <c r="AT755" t="s">
        <v>627</v>
      </c>
      <c r="AU755">
        <v>2021</v>
      </c>
      <c r="AV755">
        <v>126</v>
      </c>
      <c r="AW755">
        <v>9</v>
      </c>
      <c r="AX755" t="s">
        <v>74</v>
      </c>
      <c r="AY755" t="s">
        <v>74</v>
      </c>
      <c r="AZ755" t="s">
        <v>74</v>
      </c>
      <c r="BA755" t="s">
        <v>74</v>
      </c>
      <c r="BB755" t="s">
        <v>74</v>
      </c>
      <c r="BC755" t="s">
        <v>74</v>
      </c>
      <c r="BD755" t="s">
        <v>14785</v>
      </c>
      <c r="BE755" t="s">
        <v>14786</v>
      </c>
      <c r="BF755" t="str">
        <f>HYPERLINK("http://dx.doi.org/10.1029/2021JB022221","http://dx.doi.org/10.1029/2021JB022221")</f>
        <v>http://dx.doi.org/10.1029/2021JB022221</v>
      </c>
      <c r="BG755" t="s">
        <v>74</v>
      </c>
      <c r="BH755" t="s">
        <v>74</v>
      </c>
      <c r="BI755">
        <v>18</v>
      </c>
      <c r="BJ755" t="s">
        <v>365</v>
      </c>
      <c r="BK755" t="s">
        <v>101</v>
      </c>
      <c r="BL755" t="s">
        <v>365</v>
      </c>
      <c r="BM755" t="s">
        <v>14787</v>
      </c>
      <c r="BN755" t="s">
        <v>74</v>
      </c>
      <c r="BO755" t="s">
        <v>74</v>
      </c>
      <c r="BP755" t="s">
        <v>74</v>
      </c>
      <c r="BQ755" t="s">
        <v>74</v>
      </c>
      <c r="BR755" t="s">
        <v>105</v>
      </c>
      <c r="BS755" t="s">
        <v>14788</v>
      </c>
      <c r="BT755" t="str">
        <f>HYPERLINK("https%3A%2F%2Fwww.webofscience.com%2Fwos%2Fwoscc%2Ffull-record%2FWOS:000703087900038","View Full Record in Web of Science")</f>
        <v>View Full Record in Web of Science</v>
      </c>
    </row>
    <row r="756" spans="1:72" x14ac:dyDescent="0.15">
      <c r="A756" t="s">
        <v>72</v>
      </c>
      <c r="B756" t="s">
        <v>14789</v>
      </c>
      <c r="C756" t="s">
        <v>74</v>
      </c>
      <c r="D756" t="s">
        <v>74</v>
      </c>
      <c r="E756" t="s">
        <v>74</v>
      </c>
      <c r="F756" t="s">
        <v>14790</v>
      </c>
      <c r="G756" t="s">
        <v>74</v>
      </c>
      <c r="H756" t="s">
        <v>74</v>
      </c>
      <c r="I756" t="s">
        <v>14791</v>
      </c>
      <c r="J756" t="s">
        <v>5212</v>
      </c>
      <c r="K756" t="s">
        <v>74</v>
      </c>
      <c r="L756" t="s">
        <v>74</v>
      </c>
      <c r="M756" t="s">
        <v>78</v>
      </c>
      <c r="N756" t="s">
        <v>79</v>
      </c>
      <c r="O756" t="s">
        <v>74</v>
      </c>
      <c r="P756" t="s">
        <v>74</v>
      </c>
      <c r="Q756" t="s">
        <v>74</v>
      </c>
      <c r="R756" t="s">
        <v>74</v>
      </c>
      <c r="S756" t="s">
        <v>74</v>
      </c>
      <c r="T756" t="s">
        <v>14792</v>
      </c>
      <c r="U756" t="s">
        <v>14793</v>
      </c>
      <c r="V756" t="s">
        <v>14794</v>
      </c>
      <c r="W756" t="s">
        <v>14795</v>
      </c>
      <c r="X756" t="s">
        <v>14796</v>
      </c>
      <c r="Y756" t="s">
        <v>14797</v>
      </c>
      <c r="Z756" t="s">
        <v>14798</v>
      </c>
      <c r="AA756" t="s">
        <v>14799</v>
      </c>
      <c r="AB756" t="s">
        <v>14800</v>
      </c>
      <c r="AC756" t="s">
        <v>14801</v>
      </c>
      <c r="AD756" t="s">
        <v>14802</v>
      </c>
      <c r="AE756" t="s">
        <v>14803</v>
      </c>
      <c r="AF756" t="s">
        <v>74</v>
      </c>
      <c r="AG756">
        <v>58</v>
      </c>
      <c r="AH756">
        <v>3</v>
      </c>
      <c r="AI756">
        <v>3</v>
      </c>
      <c r="AJ756">
        <v>0</v>
      </c>
      <c r="AK756">
        <v>10</v>
      </c>
      <c r="AL756" t="s">
        <v>760</v>
      </c>
      <c r="AM756" t="s">
        <v>438</v>
      </c>
      <c r="AN756" t="s">
        <v>761</v>
      </c>
      <c r="AO756" t="s">
        <v>5224</v>
      </c>
      <c r="AP756" t="s">
        <v>5225</v>
      </c>
      <c r="AQ756" t="s">
        <v>74</v>
      </c>
      <c r="AR756" t="s">
        <v>5226</v>
      </c>
      <c r="AS756" t="s">
        <v>5227</v>
      </c>
      <c r="AT756" t="s">
        <v>627</v>
      </c>
      <c r="AU756">
        <v>2021</v>
      </c>
      <c r="AV756">
        <v>126</v>
      </c>
      <c r="AW756">
        <v>9</v>
      </c>
      <c r="AX756" t="s">
        <v>74</v>
      </c>
      <c r="AY756" t="s">
        <v>74</v>
      </c>
      <c r="AZ756" t="s">
        <v>74</v>
      </c>
      <c r="BA756" t="s">
        <v>74</v>
      </c>
      <c r="BB756" t="s">
        <v>74</v>
      </c>
      <c r="BC756" t="s">
        <v>74</v>
      </c>
      <c r="BD756" t="s">
        <v>14804</v>
      </c>
      <c r="BE756" t="s">
        <v>14805</v>
      </c>
      <c r="BF756" t="str">
        <f>HYPERLINK("http://dx.doi.org/10.1029/2021JA029516","http://dx.doi.org/10.1029/2021JA029516")</f>
        <v>http://dx.doi.org/10.1029/2021JA029516</v>
      </c>
      <c r="BG756" t="s">
        <v>74</v>
      </c>
      <c r="BH756" t="s">
        <v>74</v>
      </c>
      <c r="BI756">
        <v>15</v>
      </c>
      <c r="BJ756" t="s">
        <v>1721</v>
      </c>
      <c r="BK756" t="s">
        <v>101</v>
      </c>
      <c r="BL756" t="s">
        <v>1721</v>
      </c>
      <c r="BM756" t="s">
        <v>14806</v>
      </c>
      <c r="BN756" t="s">
        <v>74</v>
      </c>
      <c r="BO756" t="s">
        <v>314</v>
      </c>
      <c r="BP756" t="s">
        <v>74</v>
      </c>
      <c r="BQ756" t="s">
        <v>74</v>
      </c>
      <c r="BR756" t="s">
        <v>105</v>
      </c>
      <c r="BS756" t="s">
        <v>14807</v>
      </c>
      <c r="BT756" t="str">
        <f>HYPERLINK("https%3A%2F%2Fwww.webofscience.com%2Fwos%2Fwoscc%2Ffull-record%2FWOS:000702340700031","View Full Record in Web of Science")</f>
        <v>View Full Record in Web of Science</v>
      </c>
    </row>
    <row r="757" spans="1:72" x14ac:dyDescent="0.15">
      <c r="A757" t="s">
        <v>72</v>
      </c>
      <c r="B757" t="s">
        <v>14808</v>
      </c>
      <c r="C757" t="s">
        <v>74</v>
      </c>
      <c r="D757" t="s">
        <v>74</v>
      </c>
      <c r="E757" t="s">
        <v>74</v>
      </c>
      <c r="F757" t="s">
        <v>14809</v>
      </c>
      <c r="G757" t="s">
        <v>74</v>
      </c>
      <c r="H757" t="s">
        <v>74</v>
      </c>
      <c r="I757" t="s">
        <v>14810</v>
      </c>
      <c r="J757" t="s">
        <v>5212</v>
      </c>
      <c r="K757" t="s">
        <v>74</v>
      </c>
      <c r="L757" t="s">
        <v>74</v>
      </c>
      <c r="M757" t="s">
        <v>78</v>
      </c>
      <c r="N757" t="s">
        <v>79</v>
      </c>
      <c r="O757" t="s">
        <v>74</v>
      </c>
      <c r="P757" t="s">
        <v>74</v>
      </c>
      <c r="Q757" t="s">
        <v>74</v>
      </c>
      <c r="R757" t="s">
        <v>74</v>
      </c>
      <c r="S757" t="s">
        <v>74</v>
      </c>
      <c r="T757" t="s">
        <v>14811</v>
      </c>
      <c r="U757" t="s">
        <v>14812</v>
      </c>
      <c r="V757" t="s">
        <v>14813</v>
      </c>
      <c r="W757" t="s">
        <v>14814</v>
      </c>
      <c r="X757" t="s">
        <v>14815</v>
      </c>
      <c r="Y757" t="s">
        <v>14816</v>
      </c>
      <c r="Z757" t="s">
        <v>14817</v>
      </c>
      <c r="AA757" t="s">
        <v>14818</v>
      </c>
      <c r="AB757" t="s">
        <v>14819</v>
      </c>
      <c r="AC757" t="s">
        <v>14820</v>
      </c>
      <c r="AD757" t="s">
        <v>14821</v>
      </c>
      <c r="AE757" t="s">
        <v>14822</v>
      </c>
      <c r="AF757" t="s">
        <v>74</v>
      </c>
      <c r="AG757">
        <v>78</v>
      </c>
      <c r="AH757">
        <v>2</v>
      </c>
      <c r="AI757">
        <v>2</v>
      </c>
      <c r="AJ757">
        <v>0</v>
      </c>
      <c r="AK757">
        <v>5</v>
      </c>
      <c r="AL757" t="s">
        <v>760</v>
      </c>
      <c r="AM757" t="s">
        <v>438</v>
      </c>
      <c r="AN757" t="s">
        <v>761</v>
      </c>
      <c r="AO757" t="s">
        <v>5224</v>
      </c>
      <c r="AP757" t="s">
        <v>5225</v>
      </c>
      <c r="AQ757" t="s">
        <v>74</v>
      </c>
      <c r="AR757" t="s">
        <v>5226</v>
      </c>
      <c r="AS757" t="s">
        <v>5227</v>
      </c>
      <c r="AT757" t="s">
        <v>627</v>
      </c>
      <c r="AU757">
        <v>2021</v>
      </c>
      <c r="AV757">
        <v>126</v>
      </c>
      <c r="AW757">
        <v>9</v>
      </c>
      <c r="AX757" t="s">
        <v>74</v>
      </c>
      <c r="AY757" t="s">
        <v>74</v>
      </c>
      <c r="AZ757" t="s">
        <v>74</v>
      </c>
      <c r="BA757" t="s">
        <v>74</v>
      </c>
      <c r="BB757" t="s">
        <v>74</v>
      </c>
      <c r="BC757" t="s">
        <v>74</v>
      </c>
      <c r="BD757" t="s">
        <v>14823</v>
      </c>
      <c r="BE757" t="s">
        <v>14824</v>
      </c>
      <c r="BF757" t="str">
        <f>HYPERLINK("http://dx.doi.org/10.1029/2020JA029095","http://dx.doi.org/10.1029/2020JA029095")</f>
        <v>http://dx.doi.org/10.1029/2020JA029095</v>
      </c>
      <c r="BG757" t="s">
        <v>74</v>
      </c>
      <c r="BH757" t="s">
        <v>74</v>
      </c>
      <c r="BI757">
        <v>22</v>
      </c>
      <c r="BJ757" t="s">
        <v>1721</v>
      </c>
      <c r="BK757" t="s">
        <v>101</v>
      </c>
      <c r="BL757" t="s">
        <v>1721</v>
      </c>
      <c r="BM757" t="s">
        <v>14806</v>
      </c>
      <c r="BN757" t="s">
        <v>74</v>
      </c>
      <c r="BO757" t="s">
        <v>74</v>
      </c>
      <c r="BP757" t="s">
        <v>74</v>
      </c>
      <c r="BQ757" t="s">
        <v>74</v>
      </c>
      <c r="BR757" t="s">
        <v>105</v>
      </c>
      <c r="BS757" t="s">
        <v>14825</v>
      </c>
      <c r="BT757" t="str">
        <f>HYPERLINK("https%3A%2F%2Fwww.webofscience.com%2Fwos%2Fwoscc%2Ffull-record%2FWOS:000702340700047","View Full Record in Web of Science")</f>
        <v>View Full Record in Web of Science</v>
      </c>
    </row>
    <row r="758" spans="1:72" x14ac:dyDescent="0.15">
      <c r="A758" t="s">
        <v>72</v>
      </c>
      <c r="B758" t="s">
        <v>14826</v>
      </c>
      <c r="C758" t="s">
        <v>74</v>
      </c>
      <c r="D758" t="s">
        <v>74</v>
      </c>
      <c r="E758" t="s">
        <v>74</v>
      </c>
      <c r="F758" t="s">
        <v>14827</v>
      </c>
      <c r="G758" t="s">
        <v>74</v>
      </c>
      <c r="H758" t="s">
        <v>74</v>
      </c>
      <c r="I758" t="s">
        <v>14828</v>
      </c>
      <c r="J758" t="s">
        <v>5212</v>
      </c>
      <c r="K758" t="s">
        <v>74</v>
      </c>
      <c r="L758" t="s">
        <v>74</v>
      </c>
      <c r="M758" t="s">
        <v>78</v>
      </c>
      <c r="N758" t="s">
        <v>79</v>
      </c>
      <c r="O758" t="s">
        <v>74</v>
      </c>
      <c r="P758" t="s">
        <v>74</v>
      </c>
      <c r="Q758" t="s">
        <v>74</v>
      </c>
      <c r="R758" t="s">
        <v>74</v>
      </c>
      <c r="S758" t="s">
        <v>74</v>
      </c>
      <c r="T758" t="s">
        <v>14829</v>
      </c>
      <c r="U758" t="s">
        <v>14830</v>
      </c>
      <c r="V758" t="s">
        <v>14831</v>
      </c>
      <c r="W758" t="s">
        <v>14832</v>
      </c>
      <c r="X758" t="s">
        <v>14833</v>
      </c>
      <c r="Y758" t="s">
        <v>14834</v>
      </c>
      <c r="Z758" t="s">
        <v>14835</v>
      </c>
      <c r="AA758" t="s">
        <v>74</v>
      </c>
      <c r="AB758" t="s">
        <v>14836</v>
      </c>
      <c r="AC758" t="s">
        <v>14837</v>
      </c>
      <c r="AD758" t="s">
        <v>14837</v>
      </c>
      <c r="AE758" t="s">
        <v>14838</v>
      </c>
      <c r="AF758" t="s">
        <v>74</v>
      </c>
      <c r="AG758">
        <v>27</v>
      </c>
      <c r="AH758">
        <v>4</v>
      </c>
      <c r="AI758">
        <v>4</v>
      </c>
      <c r="AJ758">
        <v>0</v>
      </c>
      <c r="AK758">
        <v>1</v>
      </c>
      <c r="AL758" t="s">
        <v>760</v>
      </c>
      <c r="AM758" t="s">
        <v>438</v>
      </c>
      <c r="AN758" t="s">
        <v>761</v>
      </c>
      <c r="AO758" t="s">
        <v>5224</v>
      </c>
      <c r="AP758" t="s">
        <v>5225</v>
      </c>
      <c r="AQ758" t="s">
        <v>74</v>
      </c>
      <c r="AR758" t="s">
        <v>5226</v>
      </c>
      <c r="AS758" t="s">
        <v>5227</v>
      </c>
      <c r="AT758" t="s">
        <v>627</v>
      </c>
      <c r="AU758">
        <v>2021</v>
      </c>
      <c r="AV758">
        <v>126</v>
      </c>
      <c r="AW758">
        <v>9</v>
      </c>
      <c r="AX758" t="s">
        <v>74</v>
      </c>
      <c r="AY758" t="s">
        <v>74</v>
      </c>
      <c r="AZ758" t="s">
        <v>74</v>
      </c>
      <c r="BA758" t="s">
        <v>74</v>
      </c>
      <c r="BB758" t="s">
        <v>74</v>
      </c>
      <c r="BC758" t="s">
        <v>74</v>
      </c>
      <c r="BD758" t="s">
        <v>14839</v>
      </c>
      <c r="BE758" t="s">
        <v>14840</v>
      </c>
      <c r="BF758" t="str">
        <f>HYPERLINK("http://dx.doi.org/10.1029/2020JA028292","http://dx.doi.org/10.1029/2020JA028292")</f>
        <v>http://dx.doi.org/10.1029/2020JA028292</v>
      </c>
      <c r="BG758" t="s">
        <v>74</v>
      </c>
      <c r="BH758" t="s">
        <v>74</v>
      </c>
      <c r="BI758">
        <v>18</v>
      </c>
      <c r="BJ758" t="s">
        <v>1721</v>
      </c>
      <c r="BK758" t="s">
        <v>101</v>
      </c>
      <c r="BL758" t="s">
        <v>1721</v>
      </c>
      <c r="BM758" t="s">
        <v>14806</v>
      </c>
      <c r="BN758" t="s">
        <v>74</v>
      </c>
      <c r="BO758" t="s">
        <v>367</v>
      </c>
      <c r="BP758" t="s">
        <v>74</v>
      </c>
      <c r="BQ758" t="s">
        <v>74</v>
      </c>
      <c r="BR758" t="s">
        <v>105</v>
      </c>
      <c r="BS758" t="s">
        <v>14841</v>
      </c>
      <c r="BT758" t="str">
        <f>HYPERLINK("https%3A%2F%2Fwww.webofscience.com%2Fwos%2Fwoscc%2Ffull-record%2FWOS:000702340700038","View Full Record in Web of Science")</f>
        <v>View Full Record in Web of Science</v>
      </c>
    </row>
    <row r="759" spans="1:72" x14ac:dyDescent="0.15">
      <c r="A759" t="s">
        <v>72</v>
      </c>
      <c r="B759" t="s">
        <v>14842</v>
      </c>
      <c r="C759" t="s">
        <v>74</v>
      </c>
      <c r="D759" t="s">
        <v>74</v>
      </c>
      <c r="E759" t="s">
        <v>74</v>
      </c>
      <c r="F759" t="s">
        <v>14843</v>
      </c>
      <c r="G759" t="s">
        <v>74</v>
      </c>
      <c r="H759" t="s">
        <v>74</v>
      </c>
      <c r="I759" t="s">
        <v>14844</v>
      </c>
      <c r="J759" t="s">
        <v>5212</v>
      </c>
      <c r="K759" t="s">
        <v>74</v>
      </c>
      <c r="L759" t="s">
        <v>74</v>
      </c>
      <c r="M759" t="s">
        <v>78</v>
      </c>
      <c r="N759" t="s">
        <v>79</v>
      </c>
      <c r="O759" t="s">
        <v>74</v>
      </c>
      <c r="P759" t="s">
        <v>74</v>
      </c>
      <c r="Q759" t="s">
        <v>74</v>
      </c>
      <c r="R759" t="s">
        <v>74</v>
      </c>
      <c r="S759" t="s">
        <v>74</v>
      </c>
      <c r="T759" t="s">
        <v>14845</v>
      </c>
      <c r="U759" t="s">
        <v>14846</v>
      </c>
      <c r="V759" t="s">
        <v>14847</v>
      </c>
      <c r="W759" t="s">
        <v>14848</v>
      </c>
      <c r="X759" t="s">
        <v>14849</v>
      </c>
      <c r="Y759" t="s">
        <v>14850</v>
      </c>
      <c r="Z759" t="s">
        <v>14851</v>
      </c>
      <c r="AA759" t="s">
        <v>14852</v>
      </c>
      <c r="AB759" t="s">
        <v>14853</v>
      </c>
      <c r="AC759" t="s">
        <v>14854</v>
      </c>
      <c r="AD759" t="s">
        <v>14855</v>
      </c>
      <c r="AE759" t="s">
        <v>14856</v>
      </c>
      <c r="AF759" t="s">
        <v>74</v>
      </c>
      <c r="AG759">
        <v>39</v>
      </c>
      <c r="AH759">
        <v>3</v>
      </c>
      <c r="AI759">
        <v>5</v>
      </c>
      <c r="AJ759">
        <v>1</v>
      </c>
      <c r="AK759">
        <v>16</v>
      </c>
      <c r="AL759" t="s">
        <v>760</v>
      </c>
      <c r="AM759" t="s">
        <v>438</v>
      </c>
      <c r="AN759" t="s">
        <v>761</v>
      </c>
      <c r="AO759" t="s">
        <v>5224</v>
      </c>
      <c r="AP759" t="s">
        <v>5225</v>
      </c>
      <c r="AQ759" t="s">
        <v>74</v>
      </c>
      <c r="AR759" t="s">
        <v>5226</v>
      </c>
      <c r="AS759" t="s">
        <v>5227</v>
      </c>
      <c r="AT759" t="s">
        <v>627</v>
      </c>
      <c r="AU759">
        <v>2021</v>
      </c>
      <c r="AV759">
        <v>126</v>
      </c>
      <c r="AW759">
        <v>9</v>
      </c>
      <c r="AX759" t="s">
        <v>74</v>
      </c>
      <c r="AY759" t="s">
        <v>74</v>
      </c>
      <c r="AZ759" t="s">
        <v>74</v>
      </c>
      <c r="BA759" t="s">
        <v>74</v>
      </c>
      <c r="BB759" t="s">
        <v>74</v>
      </c>
      <c r="BC759" t="s">
        <v>74</v>
      </c>
      <c r="BD759" t="s">
        <v>14857</v>
      </c>
      <c r="BE759" t="s">
        <v>14858</v>
      </c>
      <c r="BF759" t="str">
        <f>HYPERLINK("http://dx.doi.org/10.1029/2021JA029410","http://dx.doi.org/10.1029/2021JA029410")</f>
        <v>http://dx.doi.org/10.1029/2021JA029410</v>
      </c>
      <c r="BG759" t="s">
        <v>74</v>
      </c>
      <c r="BH759" t="s">
        <v>74</v>
      </c>
      <c r="BI759">
        <v>10</v>
      </c>
      <c r="BJ759" t="s">
        <v>1721</v>
      </c>
      <c r="BK759" t="s">
        <v>101</v>
      </c>
      <c r="BL759" t="s">
        <v>1721</v>
      </c>
      <c r="BM759" t="s">
        <v>14806</v>
      </c>
      <c r="BN759" t="s">
        <v>74</v>
      </c>
      <c r="BO759" t="s">
        <v>74</v>
      </c>
      <c r="BP759" t="s">
        <v>74</v>
      </c>
      <c r="BQ759" t="s">
        <v>74</v>
      </c>
      <c r="BR759" t="s">
        <v>105</v>
      </c>
      <c r="BS759" t="s">
        <v>14859</v>
      </c>
      <c r="BT759" t="str">
        <f>HYPERLINK("https%3A%2F%2Fwww.webofscience.com%2Fwos%2Fwoscc%2Ffull-record%2FWOS:000702340700052","View Full Record in Web of Science")</f>
        <v>View Full Record in Web of Science</v>
      </c>
    </row>
    <row r="760" spans="1:72" x14ac:dyDescent="0.15">
      <c r="A760" t="s">
        <v>72</v>
      </c>
      <c r="B760" t="s">
        <v>14860</v>
      </c>
      <c r="C760" t="s">
        <v>74</v>
      </c>
      <c r="D760" t="s">
        <v>74</v>
      </c>
      <c r="E760" t="s">
        <v>74</v>
      </c>
      <c r="F760" t="s">
        <v>14861</v>
      </c>
      <c r="G760" t="s">
        <v>74</v>
      </c>
      <c r="H760" t="s">
        <v>74</v>
      </c>
      <c r="I760" t="s">
        <v>14862</v>
      </c>
      <c r="J760" t="s">
        <v>4682</v>
      </c>
      <c r="K760" t="s">
        <v>74</v>
      </c>
      <c r="L760" t="s">
        <v>74</v>
      </c>
      <c r="M760" t="s">
        <v>78</v>
      </c>
      <c r="N760" t="s">
        <v>79</v>
      </c>
      <c r="O760" t="s">
        <v>74</v>
      </c>
      <c r="P760" t="s">
        <v>74</v>
      </c>
      <c r="Q760" t="s">
        <v>74</v>
      </c>
      <c r="R760" t="s">
        <v>74</v>
      </c>
      <c r="S760" t="s">
        <v>74</v>
      </c>
      <c r="T760" t="s">
        <v>14863</v>
      </c>
      <c r="U760" t="s">
        <v>14864</v>
      </c>
      <c r="V760" t="s">
        <v>14865</v>
      </c>
      <c r="W760" t="s">
        <v>14866</v>
      </c>
      <c r="X760" t="s">
        <v>14867</v>
      </c>
      <c r="Y760" t="s">
        <v>14868</v>
      </c>
      <c r="Z760" t="s">
        <v>14869</v>
      </c>
      <c r="AA760" t="s">
        <v>74</v>
      </c>
      <c r="AB760" t="s">
        <v>14870</v>
      </c>
      <c r="AC760" t="s">
        <v>14871</v>
      </c>
      <c r="AD760" t="s">
        <v>14871</v>
      </c>
      <c r="AE760" t="s">
        <v>14872</v>
      </c>
      <c r="AF760" t="s">
        <v>74</v>
      </c>
      <c r="AG760">
        <v>82</v>
      </c>
      <c r="AH760">
        <v>3</v>
      </c>
      <c r="AI760">
        <v>4</v>
      </c>
      <c r="AJ760">
        <v>1</v>
      </c>
      <c r="AK760">
        <v>10</v>
      </c>
      <c r="AL760" t="s">
        <v>760</v>
      </c>
      <c r="AM760" t="s">
        <v>438</v>
      </c>
      <c r="AN760" t="s">
        <v>761</v>
      </c>
      <c r="AO760" t="s">
        <v>4695</v>
      </c>
      <c r="AP760" t="s">
        <v>4696</v>
      </c>
      <c r="AQ760" t="s">
        <v>74</v>
      </c>
      <c r="AR760" t="s">
        <v>4697</v>
      </c>
      <c r="AS760" t="s">
        <v>4698</v>
      </c>
      <c r="AT760" t="s">
        <v>627</v>
      </c>
      <c r="AU760">
        <v>2021</v>
      </c>
      <c r="AV760">
        <v>126</v>
      </c>
      <c r="AW760">
        <v>9</v>
      </c>
      <c r="AX760" t="s">
        <v>74</v>
      </c>
      <c r="AY760" t="s">
        <v>74</v>
      </c>
      <c r="AZ760" t="s">
        <v>74</v>
      </c>
      <c r="BA760" t="s">
        <v>74</v>
      </c>
      <c r="BB760" t="s">
        <v>74</v>
      </c>
      <c r="BC760" t="s">
        <v>74</v>
      </c>
      <c r="BD760" t="s">
        <v>14873</v>
      </c>
      <c r="BE760" t="s">
        <v>14874</v>
      </c>
      <c r="BF760" t="str">
        <f>HYPERLINK("http://dx.doi.org/10.1029/2021JC017205","http://dx.doi.org/10.1029/2021JC017205")</f>
        <v>http://dx.doi.org/10.1029/2021JC017205</v>
      </c>
      <c r="BG760" t="s">
        <v>74</v>
      </c>
      <c r="BH760" t="s">
        <v>74</v>
      </c>
      <c r="BI760">
        <v>20</v>
      </c>
      <c r="BJ760" t="s">
        <v>264</v>
      </c>
      <c r="BK760" t="s">
        <v>101</v>
      </c>
      <c r="BL760" t="s">
        <v>264</v>
      </c>
      <c r="BM760" t="s">
        <v>14875</v>
      </c>
      <c r="BN760" t="s">
        <v>74</v>
      </c>
      <c r="BO760" t="s">
        <v>74</v>
      </c>
      <c r="BP760" t="s">
        <v>74</v>
      </c>
      <c r="BQ760" t="s">
        <v>74</v>
      </c>
      <c r="BR760" t="s">
        <v>105</v>
      </c>
      <c r="BS760" t="s">
        <v>14876</v>
      </c>
      <c r="BT760" t="str">
        <f>HYPERLINK("https%3A%2F%2Fwww.webofscience.com%2Fwos%2Fwoscc%2Ffull-record%2FWOS:000702389500008","View Full Record in Web of Science")</f>
        <v>View Full Record in Web of Science</v>
      </c>
    </row>
    <row r="761" spans="1:72" x14ac:dyDescent="0.15">
      <c r="A761" t="s">
        <v>72</v>
      </c>
      <c r="B761" t="s">
        <v>14877</v>
      </c>
      <c r="C761" t="s">
        <v>74</v>
      </c>
      <c r="D761" t="s">
        <v>74</v>
      </c>
      <c r="E761" t="s">
        <v>74</v>
      </c>
      <c r="F761" t="s">
        <v>14878</v>
      </c>
      <c r="G761" t="s">
        <v>74</v>
      </c>
      <c r="H761" t="s">
        <v>74</v>
      </c>
      <c r="I761" t="s">
        <v>14879</v>
      </c>
      <c r="J761" t="s">
        <v>4682</v>
      </c>
      <c r="K761" t="s">
        <v>74</v>
      </c>
      <c r="L761" t="s">
        <v>74</v>
      </c>
      <c r="M761" t="s">
        <v>78</v>
      </c>
      <c r="N761" t="s">
        <v>79</v>
      </c>
      <c r="O761" t="s">
        <v>74</v>
      </c>
      <c r="P761" t="s">
        <v>74</v>
      </c>
      <c r="Q761" t="s">
        <v>74</v>
      </c>
      <c r="R761" t="s">
        <v>74</v>
      </c>
      <c r="S761" t="s">
        <v>74</v>
      </c>
      <c r="T761" t="s">
        <v>74</v>
      </c>
      <c r="U761" t="s">
        <v>14880</v>
      </c>
      <c r="V761" t="s">
        <v>14881</v>
      </c>
      <c r="W761" t="s">
        <v>14882</v>
      </c>
      <c r="X761" t="s">
        <v>14883</v>
      </c>
      <c r="Y761" t="s">
        <v>14884</v>
      </c>
      <c r="Z761" t="s">
        <v>14885</v>
      </c>
      <c r="AA761" t="s">
        <v>74</v>
      </c>
      <c r="AB761" t="s">
        <v>14886</v>
      </c>
      <c r="AC761" t="s">
        <v>74</v>
      </c>
      <c r="AD761" t="s">
        <v>74</v>
      </c>
      <c r="AE761" t="s">
        <v>74</v>
      </c>
      <c r="AF761" t="s">
        <v>74</v>
      </c>
      <c r="AG761">
        <v>46</v>
      </c>
      <c r="AH761">
        <v>1</v>
      </c>
      <c r="AI761">
        <v>1</v>
      </c>
      <c r="AJ761">
        <v>4</v>
      </c>
      <c r="AK761">
        <v>17</v>
      </c>
      <c r="AL761" t="s">
        <v>760</v>
      </c>
      <c r="AM761" t="s">
        <v>438</v>
      </c>
      <c r="AN761" t="s">
        <v>761</v>
      </c>
      <c r="AO761" t="s">
        <v>4695</v>
      </c>
      <c r="AP761" t="s">
        <v>4696</v>
      </c>
      <c r="AQ761" t="s">
        <v>74</v>
      </c>
      <c r="AR761" t="s">
        <v>4697</v>
      </c>
      <c r="AS761" t="s">
        <v>4698</v>
      </c>
      <c r="AT761" t="s">
        <v>627</v>
      </c>
      <c r="AU761">
        <v>2021</v>
      </c>
      <c r="AV761">
        <v>126</v>
      </c>
      <c r="AW761">
        <v>9</v>
      </c>
      <c r="AX761" t="s">
        <v>74</v>
      </c>
      <c r="AY761" t="s">
        <v>74</v>
      </c>
      <c r="AZ761" t="s">
        <v>74</v>
      </c>
      <c r="BA761" t="s">
        <v>74</v>
      </c>
      <c r="BB761" t="s">
        <v>74</v>
      </c>
      <c r="BC761" t="s">
        <v>74</v>
      </c>
      <c r="BD761" t="s">
        <v>14887</v>
      </c>
      <c r="BE761" t="s">
        <v>14888</v>
      </c>
      <c r="BF761" t="str">
        <f>HYPERLINK("http://dx.doi.org/10.1029/2021JC017381","http://dx.doi.org/10.1029/2021JC017381")</f>
        <v>http://dx.doi.org/10.1029/2021JC017381</v>
      </c>
      <c r="BG761" t="s">
        <v>74</v>
      </c>
      <c r="BH761" t="s">
        <v>74</v>
      </c>
      <c r="BI761">
        <v>20</v>
      </c>
      <c r="BJ761" t="s">
        <v>264</v>
      </c>
      <c r="BK761" t="s">
        <v>101</v>
      </c>
      <c r="BL761" t="s">
        <v>264</v>
      </c>
      <c r="BM761" t="s">
        <v>14875</v>
      </c>
      <c r="BN761" t="s">
        <v>74</v>
      </c>
      <c r="BO761" t="s">
        <v>343</v>
      </c>
      <c r="BP761" t="s">
        <v>74</v>
      </c>
      <c r="BQ761" t="s">
        <v>74</v>
      </c>
      <c r="BR761" t="s">
        <v>105</v>
      </c>
      <c r="BS761" t="s">
        <v>14889</v>
      </c>
      <c r="BT761" t="str">
        <f>HYPERLINK("https%3A%2F%2Fwww.webofscience.com%2Fwos%2Fwoscc%2Ffull-record%2FWOS:000702389500018","View Full Record in Web of Science")</f>
        <v>View Full Record in Web of Science</v>
      </c>
    </row>
    <row r="762" spans="1:72" x14ac:dyDescent="0.15">
      <c r="A762" t="s">
        <v>72</v>
      </c>
      <c r="B762" t="s">
        <v>14890</v>
      </c>
      <c r="C762" t="s">
        <v>74</v>
      </c>
      <c r="D762" t="s">
        <v>74</v>
      </c>
      <c r="E762" t="s">
        <v>74</v>
      </c>
      <c r="F762" t="s">
        <v>14891</v>
      </c>
      <c r="G762" t="s">
        <v>74</v>
      </c>
      <c r="H762" t="s">
        <v>74</v>
      </c>
      <c r="I762" t="s">
        <v>14892</v>
      </c>
      <c r="J762" t="s">
        <v>9614</v>
      </c>
      <c r="K762" t="s">
        <v>74</v>
      </c>
      <c r="L762" t="s">
        <v>74</v>
      </c>
      <c r="M762" t="s">
        <v>78</v>
      </c>
      <c r="N762" t="s">
        <v>79</v>
      </c>
      <c r="O762" t="s">
        <v>74</v>
      </c>
      <c r="P762" t="s">
        <v>74</v>
      </c>
      <c r="Q762" t="s">
        <v>74</v>
      </c>
      <c r="R762" t="s">
        <v>74</v>
      </c>
      <c r="S762" t="s">
        <v>74</v>
      </c>
      <c r="T762" t="s">
        <v>14893</v>
      </c>
      <c r="U762" t="s">
        <v>14894</v>
      </c>
      <c r="V762" t="s">
        <v>14895</v>
      </c>
      <c r="W762" t="s">
        <v>14896</v>
      </c>
      <c r="X762" t="s">
        <v>14897</v>
      </c>
      <c r="Y762" t="s">
        <v>14898</v>
      </c>
      <c r="Z762" t="s">
        <v>14899</v>
      </c>
      <c r="AA762" t="s">
        <v>14900</v>
      </c>
      <c r="AB762" t="s">
        <v>14901</v>
      </c>
      <c r="AC762" t="s">
        <v>14902</v>
      </c>
      <c r="AD762" t="s">
        <v>14903</v>
      </c>
      <c r="AE762" t="s">
        <v>14904</v>
      </c>
      <c r="AF762" t="s">
        <v>74</v>
      </c>
      <c r="AG762">
        <v>63</v>
      </c>
      <c r="AH762">
        <v>4</v>
      </c>
      <c r="AI762">
        <v>4</v>
      </c>
      <c r="AJ762">
        <v>1</v>
      </c>
      <c r="AK762">
        <v>15</v>
      </c>
      <c r="AL762" t="s">
        <v>4537</v>
      </c>
      <c r="AM762" t="s">
        <v>438</v>
      </c>
      <c r="AN762" t="s">
        <v>4538</v>
      </c>
      <c r="AO762" t="s">
        <v>9627</v>
      </c>
      <c r="AP762" t="s">
        <v>74</v>
      </c>
      <c r="AQ762" t="s">
        <v>74</v>
      </c>
      <c r="AR762" t="s">
        <v>9628</v>
      </c>
      <c r="AS762" t="s">
        <v>9629</v>
      </c>
      <c r="AT762" t="s">
        <v>627</v>
      </c>
      <c r="AU762">
        <v>2021</v>
      </c>
      <c r="AV762">
        <v>9</v>
      </c>
      <c r="AW762">
        <v>1</v>
      </c>
      <c r="AX762" t="s">
        <v>74</v>
      </c>
      <c r="AY762" t="s">
        <v>74</v>
      </c>
      <c r="AZ762" t="s">
        <v>74</v>
      </c>
      <c r="BA762" t="s">
        <v>74</v>
      </c>
      <c r="BB762" t="s">
        <v>74</v>
      </c>
      <c r="BC762" t="s">
        <v>74</v>
      </c>
      <c r="BD762" t="s">
        <v>14905</v>
      </c>
      <c r="BE762" t="s">
        <v>14906</v>
      </c>
      <c r="BF762" t="str">
        <f>HYPERLINK("http://dx.doi.org/10.1128/Spectrum.00452-21","http://dx.doi.org/10.1128/Spectrum.00452-21")</f>
        <v>http://dx.doi.org/10.1128/Spectrum.00452-21</v>
      </c>
      <c r="BG762" t="s">
        <v>74</v>
      </c>
      <c r="BH762" t="s">
        <v>74</v>
      </c>
      <c r="BI762">
        <v>14</v>
      </c>
      <c r="BJ762" t="s">
        <v>975</v>
      </c>
      <c r="BK762" t="s">
        <v>101</v>
      </c>
      <c r="BL762" t="s">
        <v>975</v>
      </c>
      <c r="BM762" t="s">
        <v>14907</v>
      </c>
      <c r="BN762">
        <v>34378950</v>
      </c>
      <c r="BO762" t="s">
        <v>343</v>
      </c>
      <c r="BP762" t="s">
        <v>74</v>
      </c>
      <c r="BQ762" t="s">
        <v>74</v>
      </c>
      <c r="BR762" t="s">
        <v>105</v>
      </c>
      <c r="BS762" t="s">
        <v>14908</v>
      </c>
      <c r="BT762" t="str">
        <f>HYPERLINK("https%3A%2F%2Fwww.webofscience.com%2Fwos%2Fwoscc%2Ffull-record%2FWOS:000703076500085","View Full Record in Web of Science")</f>
        <v>View Full Record in Web of Science</v>
      </c>
    </row>
    <row r="763" spans="1:72" x14ac:dyDescent="0.15">
      <c r="A763" t="s">
        <v>72</v>
      </c>
      <c r="B763" t="s">
        <v>14909</v>
      </c>
      <c r="C763" t="s">
        <v>74</v>
      </c>
      <c r="D763" t="s">
        <v>74</v>
      </c>
      <c r="E763" t="s">
        <v>74</v>
      </c>
      <c r="F763" t="s">
        <v>14910</v>
      </c>
      <c r="G763" t="s">
        <v>74</v>
      </c>
      <c r="H763" t="s">
        <v>14911</v>
      </c>
      <c r="I763" t="s">
        <v>14912</v>
      </c>
      <c r="J763" t="s">
        <v>14913</v>
      </c>
      <c r="K763" t="s">
        <v>74</v>
      </c>
      <c r="L763" t="s">
        <v>74</v>
      </c>
      <c r="M763" t="s">
        <v>78</v>
      </c>
      <c r="N763" t="s">
        <v>79</v>
      </c>
      <c r="O763" t="s">
        <v>74</v>
      </c>
      <c r="P763" t="s">
        <v>74</v>
      </c>
      <c r="Q763" t="s">
        <v>74</v>
      </c>
      <c r="R763" t="s">
        <v>74</v>
      </c>
      <c r="S763" t="s">
        <v>74</v>
      </c>
      <c r="T763" t="s">
        <v>14914</v>
      </c>
      <c r="U763" t="s">
        <v>74</v>
      </c>
      <c r="V763" t="s">
        <v>14915</v>
      </c>
      <c r="W763" t="s">
        <v>14916</v>
      </c>
      <c r="X763" t="s">
        <v>14917</v>
      </c>
      <c r="Y763" t="s">
        <v>14918</v>
      </c>
      <c r="Z763" t="s">
        <v>14919</v>
      </c>
      <c r="AA763" t="s">
        <v>14920</v>
      </c>
      <c r="AB763" t="s">
        <v>14921</v>
      </c>
      <c r="AC763" t="s">
        <v>14922</v>
      </c>
      <c r="AD763" t="s">
        <v>14923</v>
      </c>
      <c r="AE763" t="s">
        <v>14924</v>
      </c>
      <c r="AF763" t="s">
        <v>74</v>
      </c>
      <c r="AG763">
        <v>10</v>
      </c>
      <c r="AH763">
        <v>0</v>
      </c>
      <c r="AI763">
        <v>0</v>
      </c>
      <c r="AJ763">
        <v>0</v>
      </c>
      <c r="AK763">
        <v>0</v>
      </c>
      <c r="AL763" t="s">
        <v>5715</v>
      </c>
      <c r="AM763" t="s">
        <v>93</v>
      </c>
      <c r="AN763" t="s">
        <v>94</v>
      </c>
      <c r="AO763" t="s">
        <v>14925</v>
      </c>
      <c r="AP763" t="s">
        <v>74</v>
      </c>
      <c r="AQ763" t="s">
        <v>74</v>
      </c>
      <c r="AR763" t="s">
        <v>14926</v>
      </c>
      <c r="AS763" t="s">
        <v>14927</v>
      </c>
      <c r="AT763" t="s">
        <v>627</v>
      </c>
      <c r="AU763">
        <v>2021</v>
      </c>
      <c r="AV763">
        <v>16</v>
      </c>
      <c r="AW763">
        <v>9</v>
      </c>
      <c r="AX763" t="s">
        <v>74</v>
      </c>
      <c r="AY763" t="s">
        <v>74</v>
      </c>
      <c r="AZ763" t="s">
        <v>74</v>
      </c>
      <c r="BA763" t="s">
        <v>74</v>
      </c>
      <c r="BB763" t="s">
        <v>74</v>
      </c>
      <c r="BC763" t="s">
        <v>74</v>
      </c>
      <c r="BD763" t="s">
        <v>14928</v>
      </c>
      <c r="BE763" t="s">
        <v>14929</v>
      </c>
      <c r="BF763" t="str">
        <f>HYPERLINK("http://dx.doi.org/10.1088/1748-0221/16/09/C09019","http://dx.doi.org/10.1088/1748-0221/16/09/C09019")</f>
        <v>http://dx.doi.org/10.1088/1748-0221/16/09/C09019</v>
      </c>
      <c r="BG763" t="s">
        <v>74</v>
      </c>
      <c r="BH763" t="s">
        <v>74</v>
      </c>
      <c r="BI763">
        <v>5</v>
      </c>
      <c r="BJ763" t="s">
        <v>14930</v>
      </c>
      <c r="BK763" t="s">
        <v>101</v>
      </c>
      <c r="BL763" t="s">
        <v>14930</v>
      </c>
      <c r="BM763" t="s">
        <v>14931</v>
      </c>
      <c r="BN763" t="s">
        <v>74</v>
      </c>
      <c r="BO763" t="s">
        <v>419</v>
      </c>
      <c r="BP763" t="s">
        <v>74</v>
      </c>
      <c r="BQ763" t="s">
        <v>74</v>
      </c>
      <c r="BR763" t="s">
        <v>105</v>
      </c>
      <c r="BS763" t="s">
        <v>14932</v>
      </c>
      <c r="BT763" t="str">
        <f>HYPERLINK("https%3A%2F%2Fwww.webofscience.com%2Fwos%2Fwoscc%2Ffull-record%2FWOS:000701860700011","View Full Record in Web of Science")</f>
        <v>View Full Record in Web of Science</v>
      </c>
    </row>
    <row r="764" spans="1:72" x14ac:dyDescent="0.15">
      <c r="A764" t="s">
        <v>72</v>
      </c>
      <c r="B764" t="s">
        <v>14933</v>
      </c>
      <c r="C764" t="s">
        <v>74</v>
      </c>
      <c r="D764" t="s">
        <v>74</v>
      </c>
      <c r="E764" t="s">
        <v>74</v>
      </c>
      <c r="F764" t="s">
        <v>14934</v>
      </c>
      <c r="G764" t="s">
        <v>74</v>
      </c>
      <c r="H764" t="s">
        <v>74</v>
      </c>
      <c r="I764" t="s">
        <v>14935</v>
      </c>
      <c r="J764" t="s">
        <v>10243</v>
      </c>
      <c r="K764" t="s">
        <v>74</v>
      </c>
      <c r="L764" t="s">
        <v>74</v>
      </c>
      <c r="M764" t="s">
        <v>78</v>
      </c>
      <c r="N764" t="s">
        <v>79</v>
      </c>
      <c r="O764" t="s">
        <v>74</v>
      </c>
      <c r="P764" t="s">
        <v>74</v>
      </c>
      <c r="Q764" t="s">
        <v>74</v>
      </c>
      <c r="R764" t="s">
        <v>74</v>
      </c>
      <c r="S764" t="s">
        <v>74</v>
      </c>
      <c r="T764" t="s">
        <v>74</v>
      </c>
      <c r="U764" t="s">
        <v>14936</v>
      </c>
      <c r="V764" t="s">
        <v>14937</v>
      </c>
      <c r="W764" t="s">
        <v>14938</v>
      </c>
      <c r="X764" t="s">
        <v>14939</v>
      </c>
      <c r="Y764" t="s">
        <v>14940</v>
      </c>
      <c r="Z764" t="s">
        <v>74</v>
      </c>
      <c r="AA764" t="s">
        <v>14941</v>
      </c>
      <c r="AB764" t="s">
        <v>14942</v>
      </c>
      <c r="AC764" t="s">
        <v>14943</v>
      </c>
      <c r="AD764" t="s">
        <v>14944</v>
      </c>
      <c r="AE764" t="s">
        <v>14945</v>
      </c>
      <c r="AF764" t="s">
        <v>74</v>
      </c>
      <c r="AG764">
        <v>88</v>
      </c>
      <c r="AH764">
        <v>18</v>
      </c>
      <c r="AI764">
        <v>19</v>
      </c>
      <c r="AJ764">
        <v>4</v>
      </c>
      <c r="AK764">
        <v>15</v>
      </c>
      <c r="AL764" t="s">
        <v>3835</v>
      </c>
      <c r="AM764" t="s">
        <v>438</v>
      </c>
      <c r="AN764" t="s">
        <v>3836</v>
      </c>
      <c r="AO764" t="s">
        <v>10255</v>
      </c>
      <c r="AP764" t="s">
        <v>74</v>
      </c>
      <c r="AQ764" t="s">
        <v>74</v>
      </c>
      <c r="AR764" t="s">
        <v>10256</v>
      </c>
      <c r="AS764" t="s">
        <v>10257</v>
      </c>
      <c r="AT764" t="s">
        <v>627</v>
      </c>
      <c r="AU764">
        <v>2021</v>
      </c>
      <c r="AV764">
        <v>7</v>
      </c>
      <c r="AW764">
        <v>37</v>
      </c>
      <c r="AX764" t="s">
        <v>74</v>
      </c>
      <c r="AY764" t="s">
        <v>74</v>
      </c>
      <c r="AZ764" t="s">
        <v>74</v>
      </c>
      <c r="BA764" t="s">
        <v>74</v>
      </c>
      <c r="BB764" t="s">
        <v>74</v>
      </c>
      <c r="BC764" t="s">
        <v>74</v>
      </c>
      <c r="BD764" t="s">
        <v>14946</v>
      </c>
      <c r="BE764" t="s">
        <v>14947</v>
      </c>
      <c r="BF764" t="str">
        <f>HYPERLINK("http://dx.doi.org/10.1126/sciadv.abj4713","http://dx.doi.org/10.1126/sciadv.abj4713")</f>
        <v>http://dx.doi.org/10.1126/sciadv.abj4713</v>
      </c>
      <c r="BG764" t="s">
        <v>74</v>
      </c>
      <c r="BH764" t="s">
        <v>74</v>
      </c>
      <c r="BI764">
        <v>12</v>
      </c>
      <c r="BJ764" t="s">
        <v>126</v>
      </c>
      <c r="BK764" t="s">
        <v>101</v>
      </c>
      <c r="BL764" t="s">
        <v>127</v>
      </c>
      <c r="BM764" t="s">
        <v>14948</v>
      </c>
      <c r="BN764">
        <v>34516767</v>
      </c>
      <c r="BO764" t="s">
        <v>104</v>
      </c>
      <c r="BP764" t="s">
        <v>74</v>
      </c>
      <c r="BQ764" t="s">
        <v>74</v>
      </c>
      <c r="BR764" t="s">
        <v>105</v>
      </c>
      <c r="BS764" t="s">
        <v>14949</v>
      </c>
      <c r="BT764" t="str">
        <f>HYPERLINK("https%3A%2F%2Fwww.webofscience.com%2Fwos%2Fwoscc%2Ffull-record%2FWOS:000695713400017","View Full Record in Web of Science")</f>
        <v>View Full Record in Web of Science</v>
      </c>
    </row>
    <row r="765" spans="1:72" x14ac:dyDescent="0.15">
      <c r="A765" t="s">
        <v>72</v>
      </c>
      <c r="B765" t="s">
        <v>14950</v>
      </c>
      <c r="C765" t="s">
        <v>74</v>
      </c>
      <c r="D765" t="s">
        <v>74</v>
      </c>
      <c r="E765" t="s">
        <v>74</v>
      </c>
      <c r="F765" t="s">
        <v>14951</v>
      </c>
      <c r="G765" t="s">
        <v>74</v>
      </c>
      <c r="H765" t="s">
        <v>74</v>
      </c>
      <c r="I765" t="s">
        <v>14952</v>
      </c>
      <c r="J765" t="s">
        <v>14953</v>
      </c>
      <c r="K765" t="s">
        <v>74</v>
      </c>
      <c r="L765" t="s">
        <v>74</v>
      </c>
      <c r="M765" t="s">
        <v>78</v>
      </c>
      <c r="N765" t="s">
        <v>373</v>
      </c>
      <c r="O765" t="s">
        <v>74</v>
      </c>
      <c r="P765" t="s">
        <v>74</v>
      </c>
      <c r="Q765" t="s">
        <v>74</v>
      </c>
      <c r="R765" t="s">
        <v>74</v>
      </c>
      <c r="S765" t="s">
        <v>74</v>
      </c>
      <c r="T765" t="s">
        <v>14954</v>
      </c>
      <c r="U765" t="s">
        <v>14955</v>
      </c>
      <c r="V765" t="s">
        <v>14956</v>
      </c>
      <c r="W765" t="s">
        <v>14957</v>
      </c>
      <c r="X765" t="s">
        <v>14958</v>
      </c>
      <c r="Y765" t="s">
        <v>14959</v>
      </c>
      <c r="Z765" t="s">
        <v>14960</v>
      </c>
      <c r="AA765" t="s">
        <v>14961</v>
      </c>
      <c r="AB765" t="s">
        <v>14962</v>
      </c>
      <c r="AC765" t="s">
        <v>14963</v>
      </c>
      <c r="AD765" t="s">
        <v>14964</v>
      </c>
      <c r="AE765" t="s">
        <v>14965</v>
      </c>
      <c r="AF765" t="s">
        <v>74</v>
      </c>
      <c r="AG765">
        <v>557</v>
      </c>
      <c r="AH765">
        <v>33</v>
      </c>
      <c r="AI765">
        <v>33</v>
      </c>
      <c r="AJ765">
        <v>2</v>
      </c>
      <c r="AK765">
        <v>46</v>
      </c>
      <c r="AL765" t="s">
        <v>760</v>
      </c>
      <c r="AM765" t="s">
        <v>438</v>
      </c>
      <c r="AN765" t="s">
        <v>761</v>
      </c>
      <c r="AO765" t="s">
        <v>14966</v>
      </c>
      <c r="AP765" t="s">
        <v>14967</v>
      </c>
      <c r="AQ765" t="s">
        <v>74</v>
      </c>
      <c r="AR765" t="s">
        <v>14968</v>
      </c>
      <c r="AS765" t="s">
        <v>14969</v>
      </c>
      <c r="AT765" t="s">
        <v>627</v>
      </c>
      <c r="AU765">
        <v>2021</v>
      </c>
      <c r="AV765">
        <v>59</v>
      </c>
      <c r="AW765">
        <v>3</v>
      </c>
      <c r="AX765" t="s">
        <v>74</v>
      </c>
      <c r="AY765" t="s">
        <v>74</v>
      </c>
      <c r="AZ765" t="s">
        <v>74</v>
      </c>
      <c r="BA765" t="s">
        <v>74</v>
      </c>
      <c r="BB765" t="s">
        <v>74</v>
      </c>
      <c r="BC765" t="s">
        <v>74</v>
      </c>
      <c r="BD765" t="s">
        <v>14970</v>
      </c>
      <c r="BE765" t="s">
        <v>14971</v>
      </c>
      <c r="BF765" t="str">
        <f>HYPERLINK("http://dx.doi.org/10.1029/2021RG000743","http://dx.doi.org/10.1029/2021RG000743")</f>
        <v>http://dx.doi.org/10.1029/2021RG000743</v>
      </c>
      <c r="BG765" t="s">
        <v>74</v>
      </c>
      <c r="BH765" t="s">
        <v>74</v>
      </c>
      <c r="BI765">
        <v>135</v>
      </c>
      <c r="BJ765" t="s">
        <v>365</v>
      </c>
      <c r="BK765" t="s">
        <v>101</v>
      </c>
      <c r="BL765" t="s">
        <v>365</v>
      </c>
      <c r="BM765" t="s">
        <v>14972</v>
      </c>
      <c r="BN765" t="s">
        <v>74</v>
      </c>
      <c r="BO765" t="s">
        <v>180</v>
      </c>
      <c r="BP765" t="s">
        <v>74</v>
      </c>
      <c r="BQ765" t="s">
        <v>74</v>
      </c>
      <c r="BR765" t="s">
        <v>105</v>
      </c>
      <c r="BS765" t="s">
        <v>14973</v>
      </c>
      <c r="BT765" t="str">
        <f>HYPERLINK("https%3A%2F%2Fwww.webofscience.com%2Fwos%2Fwoscc%2Ffull-record%2FWOS:000702346500003","View Full Record in Web of Science")</f>
        <v>View Full Record in Web of Science</v>
      </c>
    </row>
    <row r="766" spans="1:72" x14ac:dyDescent="0.15">
      <c r="A766" t="s">
        <v>72</v>
      </c>
      <c r="B766" t="s">
        <v>14974</v>
      </c>
      <c r="C766" t="s">
        <v>74</v>
      </c>
      <c r="D766" t="s">
        <v>74</v>
      </c>
      <c r="E766" t="s">
        <v>74</v>
      </c>
      <c r="F766" t="s">
        <v>14975</v>
      </c>
      <c r="G766" t="s">
        <v>74</v>
      </c>
      <c r="H766" t="s">
        <v>74</v>
      </c>
      <c r="I766" t="s">
        <v>14976</v>
      </c>
      <c r="J766" t="s">
        <v>4829</v>
      </c>
      <c r="K766" t="s">
        <v>74</v>
      </c>
      <c r="L766" t="s">
        <v>74</v>
      </c>
      <c r="M766" t="s">
        <v>78</v>
      </c>
      <c r="N766" t="s">
        <v>373</v>
      </c>
      <c r="O766" t="s">
        <v>74</v>
      </c>
      <c r="P766" t="s">
        <v>74</v>
      </c>
      <c r="Q766" t="s">
        <v>74</v>
      </c>
      <c r="R766" t="s">
        <v>74</v>
      </c>
      <c r="S766" t="s">
        <v>74</v>
      </c>
      <c r="T766" t="s">
        <v>14977</v>
      </c>
      <c r="U766" t="s">
        <v>14978</v>
      </c>
      <c r="V766" t="s">
        <v>14979</v>
      </c>
      <c r="W766" t="s">
        <v>14980</v>
      </c>
      <c r="X766" t="s">
        <v>14981</v>
      </c>
      <c r="Y766" t="s">
        <v>14982</v>
      </c>
      <c r="Z766" t="s">
        <v>14983</v>
      </c>
      <c r="AA766" t="s">
        <v>14984</v>
      </c>
      <c r="AB766" t="s">
        <v>14985</v>
      </c>
      <c r="AC766" t="s">
        <v>14986</v>
      </c>
      <c r="AD766" t="s">
        <v>14987</v>
      </c>
      <c r="AE766" t="s">
        <v>14988</v>
      </c>
      <c r="AF766" t="s">
        <v>74</v>
      </c>
      <c r="AG766">
        <v>120</v>
      </c>
      <c r="AH766">
        <v>5</v>
      </c>
      <c r="AI766">
        <v>6</v>
      </c>
      <c r="AJ766">
        <v>13</v>
      </c>
      <c r="AK766">
        <v>78</v>
      </c>
      <c r="AL766" t="s">
        <v>4192</v>
      </c>
      <c r="AM766" t="s">
        <v>4193</v>
      </c>
      <c r="AN766" t="s">
        <v>4194</v>
      </c>
      <c r="AO766" t="s">
        <v>4841</v>
      </c>
      <c r="AP766" t="s">
        <v>74</v>
      </c>
      <c r="AQ766" t="s">
        <v>74</v>
      </c>
      <c r="AR766" t="s">
        <v>4842</v>
      </c>
      <c r="AS766" t="s">
        <v>4843</v>
      </c>
      <c r="AT766" t="s">
        <v>627</v>
      </c>
      <c r="AU766">
        <v>2021</v>
      </c>
      <c r="AV766">
        <v>11</v>
      </c>
      <c r="AW766">
        <v>9</v>
      </c>
      <c r="AX766" t="s">
        <v>74</v>
      </c>
      <c r="AY766" t="s">
        <v>74</v>
      </c>
      <c r="AZ766" t="s">
        <v>74</v>
      </c>
      <c r="BA766" t="s">
        <v>74</v>
      </c>
      <c r="BB766" t="s">
        <v>74</v>
      </c>
      <c r="BC766" t="s">
        <v>74</v>
      </c>
      <c r="BD766">
        <v>2505</v>
      </c>
      <c r="BE766" t="s">
        <v>14989</v>
      </c>
      <c r="BF766" t="str">
        <f>HYPERLINK("http://dx.doi.org/10.3390/ani11092505","http://dx.doi.org/10.3390/ani11092505")</f>
        <v>http://dx.doi.org/10.3390/ani11092505</v>
      </c>
      <c r="BG766" t="s">
        <v>74</v>
      </c>
      <c r="BH766" t="s">
        <v>74</v>
      </c>
      <c r="BI766">
        <v>21</v>
      </c>
      <c r="BJ766" t="s">
        <v>4845</v>
      </c>
      <c r="BK766" t="s">
        <v>101</v>
      </c>
      <c r="BL766" t="s">
        <v>4846</v>
      </c>
      <c r="BM766" t="s">
        <v>14990</v>
      </c>
      <c r="BN766">
        <v>34573474</v>
      </c>
      <c r="BO766" t="s">
        <v>1094</v>
      </c>
      <c r="BP766" t="s">
        <v>74</v>
      </c>
      <c r="BQ766" t="s">
        <v>74</v>
      </c>
      <c r="BR766" t="s">
        <v>105</v>
      </c>
      <c r="BS766" t="s">
        <v>14991</v>
      </c>
      <c r="BT766" t="str">
        <f>HYPERLINK("https%3A%2F%2Fwww.webofscience.com%2Fwos%2Fwoscc%2Ffull-record%2FWOS:000700564500001","View Full Record in Web of Science")</f>
        <v>View Full Record in Web of Science</v>
      </c>
    </row>
    <row r="767" spans="1:72" x14ac:dyDescent="0.15">
      <c r="A767" t="s">
        <v>72</v>
      </c>
      <c r="B767" t="s">
        <v>14992</v>
      </c>
      <c r="C767" t="s">
        <v>74</v>
      </c>
      <c r="D767" t="s">
        <v>74</v>
      </c>
      <c r="E767" t="s">
        <v>74</v>
      </c>
      <c r="F767" t="s">
        <v>14993</v>
      </c>
      <c r="G767" t="s">
        <v>74</v>
      </c>
      <c r="H767" t="s">
        <v>74</v>
      </c>
      <c r="I767" t="s">
        <v>14994</v>
      </c>
      <c r="J767" t="s">
        <v>14995</v>
      </c>
      <c r="K767" t="s">
        <v>74</v>
      </c>
      <c r="L767" t="s">
        <v>74</v>
      </c>
      <c r="M767" t="s">
        <v>78</v>
      </c>
      <c r="N767" t="s">
        <v>79</v>
      </c>
      <c r="O767" t="s">
        <v>74</v>
      </c>
      <c r="P767" t="s">
        <v>74</v>
      </c>
      <c r="Q767" t="s">
        <v>74</v>
      </c>
      <c r="R767" t="s">
        <v>74</v>
      </c>
      <c r="S767" t="s">
        <v>74</v>
      </c>
      <c r="T767" t="s">
        <v>14996</v>
      </c>
      <c r="U767" t="s">
        <v>14997</v>
      </c>
      <c r="V767" t="s">
        <v>14998</v>
      </c>
      <c r="W767" t="s">
        <v>14999</v>
      </c>
      <c r="X767" t="s">
        <v>15000</v>
      </c>
      <c r="Y767" t="s">
        <v>15001</v>
      </c>
      <c r="Z767" t="s">
        <v>74</v>
      </c>
      <c r="AA767" t="s">
        <v>15002</v>
      </c>
      <c r="AB767" t="s">
        <v>15003</v>
      </c>
      <c r="AC767" t="s">
        <v>15004</v>
      </c>
      <c r="AD767" t="s">
        <v>15005</v>
      </c>
      <c r="AE767" t="s">
        <v>15006</v>
      </c>
      <c r="AF767" t="s">
        <v>74</v>
      </c>
      <c r="AG767">
        <v>44</v>
      </c>
      <c r="AH767">
        <v>9</v>
      </c>
      <c r="AI767">
        <v>9</v>
      </c>
      <c r="AJ767">
        <v>1</v>
      </c>
      <c r="AK767">
        <v>4</v>
      </c>
      <c r="AL767" t="s">
        <v>15007</v>
      </c>
      <c r="AM767" t="s">
        <v>15008</v>
      </c>
      <c r="AN767" t="s">
        <v>15009</v>
      </c>
      <c r="AO767" t="s">
        <v>15010</v>
      </c>
      <c r="AP767" t="s">
        <v>74</v>
      </c>
      <c r="AQ767" t="s">
        <v>74</v>
      </c>
      <c r="AR767" t="s">
        <v>15011</v>
      </c>
      <c r="AS767" t="s">
        <v>15012</v>
      </c>
      <c r="AT767" t="s">
        <v>627</v>
      </c>
      <c r="AU767">
        <v>2021</v>
      </c>
      <c r="AV767">
        <v>31</v>
      </c>
      <c r="AW767">
        <v>3</v>
      </c>
      <c r="AX767" t="s">
        <v>74</v>
      </c>
      <c r="AY767" t="s">
        <v>74</v>
      </c>
      <c r="AZ767" t="s">
        <v>74</v>
      </c>
      <c r="BA767" t="s">
        <v>74</v>
      </c>
      <c r="BB767">
        <v>263</v>
      </c>
      <c r="BC767">
        <v>269</v>
      </c>
      <c r="BD767" t="s">
        <v>74</v>
      </c>
      <c r="BE767" t="s">
        <v>15013</v>
      </c>
      <c r="BF767" t="str">
        <f>HYPERLINK("http://dx.doi.org/10.17736/ijope.2021.ik08","http://dx.doi.org/10.17736/ijope.2021.ik08")</f>
        <v>http://dx.doi.org/10.17736/ijope.2021.ik08</v>
      </c>
      <c r="BG767" t="s">
        <v>74</v>
      </c>
      <c r="BH767" t="s">
        <v>74</v>
      </c>
      <c r="BI767">
        <v>7</v>
      </c>
      <c r="BJ767" t="s">
        <v>15014</v>
      </c>
      <c r="BK767" t="s">
        <v>101</v>
      </c>
      <c r="BL767" t="s">
        <v>10819</v>
      </c>
      <c r="BM767" t="s">
        <v>15015</v>
      </c>
      <c r="BN767" t="s">
        <v>74</v>
      </c>
      <c r="BO767" t="s">
        <v>74</v>
      </c>
      <c r="BP767" t="s">
        <v>74</v>
      </c>
      <c r="BQ767" t="s">
        <v>74</v>
      </c>
      <c r="BR767" t="s">
        <v>105</v>
      </c>
      <c r="BS767" t="s">
        <v>15016</v>
      </c>
      <c r="BT767" t="str">
        <f>HYPERLINK("https%3A%2F%2Fwww.webofscience.com%2Fwos%2Fwoscc%2Ffull-record%2FWOS:000699731400002","View Full Record in Web of Science")</f>
        <v>View Full Record in Web of Science</v>
      </c>
    </row>
    <row r="768" spans="1:72" x14ac:dyDescent="0.15">
      <c r="A768" t="s">
        <v>72</v>
      </c>
      <c r="B768" t="s">
        <v>15017</v>
      </c>
      <c r="C768" t="s">
        <v>74</v>
      </c>
      <c r="D768" t="s">
        <v>74</v>
      </c>
      <c r="E768" t="s">
        <v>74</v>
      </c>
      <c r="F768" t="s">
        <v>15018</v>
      </c>
      <c r="G768" t="s">
        <v>74</v>
      </c>
      <c r="H768" t="s">
        <v>74</v>
      </c>
      <c r="I768" t="s">
        <v>15019</v>
      </c>
      <c r="J768" t="s">
        <v>4222</v>
      </c>
      <c r="K768" t="s">
        <v>74</v>
      </c>
      <c r="L768" t="s">
        <v>74</v>
      </c>
      <c r="M768" t="s">
        <v>78</v>
      </c>
      <c r="N768" t="s">
        <v>79</v>
      </c>
      <c r="O768" t="s">
        <v>74</v>
      </c>
      <c r="P768" t="s">
        <v>74</v>
      </c>
      <c r="Q768" t="s">
        <v>74</v>
      </c>
      <c r="R768" t="s">
        <v>74</v>
      </c>
      <c r="S768" t="s">
        <v>74</v>
      </c>
      <c r="T768" t="s">
        <v>15020</v>
      </c>
      <c r="U768" t="s">
        <v>15021</v>
      </c>
      <c r="V768" t="s">
        <v>15022</v>
      </c>
      <c r="W768" t="s">
        <v>15023</v>
      </c>
      <c r="X768" t="s">
        <v>15024</v>
      </c>
      <c r="Y768" t="s">
        <v>15025</v>
      </c>
      <c r="Z768" t="s">
        <v>15026</v>
      </c>
      <c r="AA768" t="s">
        <v>15027</v>
      </c>
      <c r="AB768" t="s">
        <v>15028</v>
      </c>
      <c r="AC768" t="s">
        <v>15029</v>
      </c>
      <c r="AD768" t="s">
        <v>15030</v>
      </c>
      <c r="AE768" t="s">
        <v>15031</v>
      </c>
      <c r="AF768" t="s">
        <v>74</v>
      </c>
      <c r="AG768">
        <v>31</v>
      </c>
      <c r="AH768">
        <v>3</v>
      </c>
      <c r="AI768">
        <v>3</v>
      </c>
      <c r="AJ768">
        <v>0</v>
      </c>
      <c r="AK768">
        <v>4</v>
      </c>
      <c r="AL768" t="s">
        <v>4192</v>
      </c>
      <c r="AM768" t="s">
        <v>4193</v>
      </c>
      <c r="AN768" t="s">
        <v>4194</v>
      </c>
      <c r="AO768" t="s">
        <v>74</v>
      </c>
      <c r="AP768" t="s">
        <v>4233</v>
      </c>
      <c r="AQ768" t="s">
        <v>74</v>
      </c>
      <c r="AR768" t="s">
        <v>4234</v>
      </c>
      <c r="AS768" t="s">
        <v>4235</v>
      </c>
      <c r="AT768" t="s">
        <v>627</v>
      </c>
      <c r="AU768">
        <v>2021</v>
      </c>
      <c r="AV768">
        <v>13</v>
      </c>
      <c r="AW768">
        <v>18</v>
      </c>
      <c r="AX768" t="s">
        <v>74</v>
      </c>
      <c r="AY768" t="s">
        <v>74</v>
      </c>
      <c r="AZ768" t="s">
        <v>74</v>
      </c>
      <c r="BA768" t="s">
        <v>74</v>
      </c>
      <c r="BB768" t="s">
        <v>74</v>
      </c>
      <c r="BC768" t="s">
        <v>74</v>
      </c>
      <c r="BD768">
        <v>3783</v>
      </c>
      <c r="BE768" t="s">
        <v>15032</v>
      </c>
      <c r="BF768" t="str">
        <f>HYPERLINK("http://dx.doi.org/10.3390/rs13183783","http://dx.doi.org/10.3390/rs13183783")</f>
        <v>http://dx.doi.org/10.3390/rs13183783</v>
      </c>
      <c r="BG768" t="s">
        <v>74</v>
      </c>
      <c r="BH768" t="s">
        <v>74</v>
      </c>
      <c r="BI768">
        <v>13</v>
      </c>
      <c r="BJ768" t="s">
        <v>4237</v>
      </c>
      <c r="BK768" t="s">
        <v>101</v>
      </c>
      <c r="BL768" t="s">
        <v>4238</v>
      </c>
      <c r="BM768" t="s">
        <v>15033</v>
      </c>
      <c r="BN768" t="s">
        <v>74</v>
      </c>
      <c r="BO768" t="s">
        <v>1094</v>
      </c>
      <c r="BP768" t="s">
        <v>74</v>
      </c>
      <c r="BQ768" t="s">
        <v>74</v>
      </c>
      <c r="BR768" t="s">
        <v>105</v>
      </c>
      <c r="BS768" t="s">
        <v>15034</v>
      </c>
      <c r="BT768" t="str">
        <f>HYPERLINK("https%3A%2F%2Fwww.webofscience.com%2Fwos%2Fwoscc%2Ffull-record%2FWOS:000700001600001","View Full Record in Web of Science")</f>
        <v>View Full Record in Web of Science</v>
      </c>
    </row>
    <row r="769" spans="1:72" x14ac:dyDescent="0.15">
      <c r="A769" t="s">
        <v>72</v>
      </c>
      <c r="B769" t="s">
        <v>15035</v>
      </c>
      <c r="C769" t="s">
        <v>74</v>
      </c>
      <c r="D769" t="s">
        <v>74</v>
      </c>
      <c r="E769" t="s">
        <v>74</v>
      </c>
      <c r="F769" t="s">
        <v>15036</v>
      </c>
      <c r="G769" t="s">
        <v>74</v>
      </c>
      <c r="H769" t="s">
        <v>74</v>
      </c>
      <c r="I769" t="s">
        <v>15037</v>
      </c>
      <c r="J769" t="s">
        <v>15038</v>
      </c>
      <c r="K769" t="s">
        <v>74</v>
      </c>
      <c r="L769" t="s">
        <v>74</v>
      </c>
      <c r="M769" t="s">
        <v>78</v>
      </c>
      <c r="N769" t="s">
        <v>79</v>
      </c>
      <c r="O769" t="s">
        <v>74</v>
      </c>
      <c r="P769" t="s">
        <v>74</v>
      </c>
      <c r="Q769" t="s">
        <v>74</v>
      </c>
      <c r="R769" t="s">
        <v>74</v>
      </c>
      <c r="S769" t="s">
        <v>74</v>
      </c>
      <c r="T769" t="s">
        <v>74</v>
      </c>
      <c r="U769" t="s">
        <v>15039</v>
      </c>
      <c r="V769" t="s">
        <v>15040</v>
      </c>
      <c r="W769" t="s">
        <v>15041</v>
      </c>
      <c r="X769" t="s">
        <v>15042</v>
      </c>
      <c r="Y769" t="s">
        <v>15043</v>
      </c>
      <c r="Z769" t="s">
        <v>15044</v>
      </c>
      <c r="AA769" t="s">
        <v>74</v>
      </c>
      <c r="AB769" t="s">
        <v>15045</v>
      </c>
      <c r="AC769" t="s">
        <v>74</v>
      </c>
      <c r="AD769" t="s">
        <v>74</v>
      </c>
      <c r="AE769" t="s">
        <v>74</v>
      </c>
      <c r="AF769" t="s">
        <v>74</v>
      </c>
      <c r="AG769">
        <v>42</v>
      </c>
      <c r="AH769">
        <v>6</v>
      </c>
      <c r="AI769">
        <v>8</v>
      </c>
      <c r="AJ769">
        <v>0</v>
      </c>
      <c r="AK769">
        <v>6</v>
      </c>
      <c r="AL769" t="s">
        <v>572</v>
      </c>
      <c r="AM769" t="s">
        <v>573</v>
      </c>
      <c r="AN769" t="s">
        <v>574</v>
      </c>
      <c r="AO769" t="s">
        <v>15046</v>
      </c>
      <c r="AP769" t="s">
        <v>15047</v>
      </c>
      <c r="AQ769" t="s">
        <v>74</v>
      </c>
      <c r="AR769" t="s">
        <v>15048</v>
      </c>
      <c r="AS769" t="s">
        <v>15049</v>
      </c>
      <c r="AT769" t="s">
        <v>627</v>
      </c>
      <c r="AU769">
        <v>2021</v>
      </c>
      <c r="AV769">
        <v>61</v>
      </c>
      <c r="AW769">
        <v>5</v>
      </c>
      <c r="AX769" t="s">
        <v>74</v>
      </c>
      <c r="AY769" t="s">
        <v>74</v>
      </c>
      <c r="AZ769" t="s">
        <v>74</v>
      </c>
      <c r="BA769" t="s">
        <v>74</v>
      </c>
      <c r="BB769">
        <v>3011</v>
      </c>
      <c r="BC769">
        <v>3022</v>
      </c>
      <c r="BD769" t="s">
        <v>74</v>
      </c>
      <c r="BE769" t="s">
        <v>15050</v>
      </c>
      <c r="BF769" t="str">
        <f>HYPERLINK("http://dx.doi.org/10.1002/csc2.20337","http://dx.doi.org/10.1002/csc2.20337")</f>
        <v>http://dx.doi.org/10.1002/csc2.20337</v>
      </c>
      <c r="BG769" t="s">
        <v>74</v>
      </c>
      <c r="BH769" t="s">
        <v>74</v>
      </c>
      <c r="BI769">
        <v>12</v>
      </c>
      <c r="BJ769" t="s">
        <v>15051</v>
      </c>
      <c r="BK769" t="s">
        <v>101</v>
      </c>
      <c r="BL769" t="s">
        <v>2154</v>
      </c>
      <c r="BM769" t="s">
        <v>15052</v>
      </c>
      <c r="BN769" t="s">
        <v>74</v>
      </c>
      <c r="BO769" t="s">
        <v>1471</v>
      </c>
      <c r="BP769" t="s">
        <v>74</v>
      </c>
      <c r="BQ769" t="s">
        <v>74</v>
      </c>
      <c r="BR769" t="s">
        <v>105</v>
      </c>
      <c r="BS769" t="s">
        <v>15053</v>
      </c>
      <c r="BT769" t="str">
        <f>HYPERLINK("https%3A%2F%2Fwww.webofscience.com%2Fwos%2Fwoscc%2Ffull-record%2FWOS:000701952400016","View Full Record in Web of Science")</f>
        <v>View Full Record in Web of Science</v>
      </c>
    </row>
    <row r="770" spans="1:72" x14ac:dyDescent="0.15">
      <c r="A770" t="s">
        <v>72</v>
      </c>
      <c r="B770" t="s">
        <v>15054</v>
      </c>
      <c r="C770" t="s">
        <v>74</v>
      </c>
      <c r="D770" t="s">
        <v>74</v>
      </c>
      <c r="E770" t="s">
        <v>74</v>
      </c>
      <c r="F770" t="s">
        <v>15055</v>
      </c>
      <c r="G770" t="s">
        <v>74</v>
      </c>
      <c r="H770" t="s">
        <v>74</v>
      </c>
      <c r="I770" t="s">
        <v>15056</v>
      </c>
      <c r="J770" t="s">
        <v>15057</v>
      </c>
      <c r="K770" t="s">
        <v>74</v>
      </c>
      <c r="L770" t="s">
        <v>74</v>
      </c>
      <c r="M770" t="s">
        <v>78</v>
      </c>
      <c r="N770" t="s">
        <v>79</v>
      </c>
      <c r="O770" t="s">
        <v>74</v>
      </c>
      <c r="P770" t="s">
        <v>74</v>
      </c>
      <c r="Q770" t="s">
        <v>74</v>
      </c>
      <c r="R770" t="s">
        <v>74</v>
      </c>
      <c r="S770" t="s">
        <v>74</v>
      </c>
      <c r="T770" t="s">
        <v>15058</v>
      </c>
      <c r="U770" t="s">
        <v>15059</v>
      </c>
      <c r="V770" t="s">
        <v>15060</v>
      </c>
      <c r="W770" t="s">
        <v>15061</v>
      </c>
      <c r="X770" t="s">
        <v>15062</v>
      </c>
      <c r="Y770" t="s">
        <v>15063</v>
      </c>
      <c r="Z770" t="s">
        <v>15064</v>
      </c>
      <c r="AA770" t="s">
        <v>74</v>
      </c>
      <c r="AB770" t="s">
        <v>15065</v>
      </c>
      <c r="AC770" t="s">
        <v>15066</v>
      </c>
      <c r="AD770" t="s">
        <v>15067</v>
      </c>
      <c r="AE770" t="s">
        <v>15068</v>
      </c>
      <c r="AF770" t="s">
        <v>74</v>
      </c>
      <c r="AG770">
        <v>79</v>
      </c>
      <c r="AH770">
        <v>4</v>
      </c>
      <c r="AI770">
        <v>4</v>
      </c>
      <c r="AJ770">
        <v>1</v>
      </c>
      <c r="AK770">
        <v>8</v>
      </c>
      <c r="AL770" t="s">
        <v>760</v>
      </c>
      <c r="AM770" t="s">
        <v>438</v>
      </c>
      <c r="AN770" t="s">
        <v>761</v>
      </c>
      <c r="AO770" t="s">
        <v>74</v>
      </c>
      <c r="AP770" t="s">
        <v>15069</v>
      </c>
      <c r="AQ770" t="s">
        <v>74</v>
      </c>
      <c r="AR770" t="s">
        <v>15070</v>
      </c>
      <c r="AS770" t="s">
        <v>15071</v>
      </c>
      <c r="AT770" t="s">
        <v>627</v>
      </c>
      <c r="AU770">
        <v>2021</v>
      </c>
      <c r="AV770">
        <v>22</v>
      </c>
      <c r="AW770">
        <v>9</v>
      </c>
      <c r="AX770" t="s">
        <v>74</v>
      </c>
      <c r="AY770" t="s">
        <v>74</v>
      </c>
      <c r="AZ770" t="s">
        <v>74</v>
      </c>
      <c r="BA770" t="s">
        <v>74</v>
      </c>
      <c r="BB770" t="s">
        <v>74</v>
      </c>
      <c r="BC770" t="s">
        <v>74</v>
      </c>
      <c r="BD770" t="s">
        <v>15072</v>
      </c>
      <c r="BE770" t="s">
        <v>15073</v>
      </c>
      <c r="BF770" t="str">
        <f>HYPERLINK("http://dx.doi.org/10.1029/2020GC009576","http://dx.doi.org/10.1029/2020GC009576")</f>
        <v>http://dx.doi.org/10.1029/2020GC009576</v>
      </c>
      <c r="BG770" t="s">
        <v>74</v>
      </c>
      <c r="BH770" t="s">
        <v>74</v>
      </c>
      <c r="BI770">
        <v>18</v>
      </c>
      <c r="BJ770" t="s">
        <v>365</v>
      </c>
      <c r="BK770" t="s">
        <v>101</v>
      </c>
      <c r="BL770" t="s">
        <v>365</v>
      </c>
      <c r="BM770" t="s">
        <v>15074</v>
      </c>
      <c r="BN770" t="s">
        <v>74</v>
      </c>
      <c r="BO770" t="s">
        <v>1471</v>
      </c>
      <c r="BP770" t="s">
        <v>74</v>
      </c>
      <c r="BQ770" t="s">
        <v>74</v>
      </c>
      <c r="BR770" t="s">
        <v>105</v>
      </c>
      <c r="BS770" t="s">
        <v>15075</v>
      </c>
      <c r="BT770" t="str">
        <f>HYPERLINK("https%3A%2F%2Fwww.webofscience.com%2Fwos%2Fwoscc%2Ffull-record%2FWOS:000702338600011","View Full Record in Web of Science")</f>
        <v>View Full Record in Web of Science</v>
      </c>
    </row>
    <row r="771" spans="1:72" x14ac:dyDescent="0.15">
      <c r="A771" t="s">
        <v>72</v>
      </c>
      <c r="B771" t="s">
        <v>15076</v>
      </c>
      <c r="C771" t="s">
        <v>74</v>
      </c>
      <c r="D771" t="s">
        <v>74</v>
      </c>
      <c r="E771" t="s">
        <v>74</v>
      </c>
      <c r="F771" t="s">
        <v>15077</v>
      </c>
      <c r="G771" t="s">
        <v>74</v>
      </c>
      <c r="H771" t="s">
        <v>74</v>
      </c>
      <c r="I771" t="s">
        <v>15078</v>
      </c>
      <c r="J771" t="s">
        <v>4621</v>
      </c>
      <c r="K771" t="s">
        <v>74</v>
      </c>
      <c r="L771" t="s">
        <v>74</v>
      </c>
      <c r="M771" t="s">
        <v>78</v>
      </c>
      <c r="N771" t="s">
        <v>79</v>
      </c>
      <c r="O771" t="s">
        <v>74</v>
      </c>
      <c r="P771" t="s">
        <v>74</v>
      </c>
      <c r="Q771" t="s">
        <v>74</v>
      </c>
      <c r="R771" t="s">
        <v>74</v>
      </c>
      <c r="S771" t="s">
        <v>74</v>
      </c>
      <c r="T771" t="s">
        <v>15079</v>
      </c>
      <c r="U771" t="s">
        <v>15080</v>
      </c>
      <c r="V771" t="s">
        <v>15081</v>
      </c>
      <c r="W771" t="s">
        <v>15082</v>
      </c>
      <c r="X771" t="s">
        <v>15083</v>
      </c>
      <c r="Y771" t="s">
        <v>15084</v>
      </c>
      <c r="Z771" t="s">
        <v>15085</v>
      </c>
      <c r="AA771" t="s">
        <v>15086</v>
      </c>
      <c r="AB771" t="s">
        <v>15087</v>
      </c>
      <c r="AC771" t="s">
        <v>15088</v>
      </c>
      <c r="AD771" t="s">
        <v>15089</v>
      </c>
      <c r="AE771" t="s">
        <v>15090</v>
      </c>
      <c r="AF771" t="s">
        <v>74</v>
      </c>
      <c r="AG771">
        <v>107</v>
      </c>
      <c r="AH771">
        <v>18</v>
      </c>
      <c r="AI771">
        <v>19</v>
      </c>
      <c r="AJ771">
        <v>5</v>
      </c>
      <c r="AK771">
        <v>27</v>
      </c>
      <c r="AL771" t="s">
        <v>760</v>
      </c>
      <c r="AM771" t="s">
        <v>438</v>
      </c>
      <c r="AN771" t="s">
        <v>761</v>
      </c>
      <c r="AO771" t="s">
        <v>4634</v>
      </c>
      <c r="AP771" t="s">
        <v>4635</v>
      </c>
      <c r="AQ771" t="s">
        <v>74</v>
      </c>
      <c r="AR771" t="s">
        <v>4636</v>
      </c>
      <c r="AS771" t="s">
        <v>4637</v>
      </c>
      <c r="AT771" t="s">
        <v>627</v>
      </c>
      <c r="AU771">
        <v>2021</v>
      </c>
      <c r="AV771">
        <v>35</v>
      </c>
      <c r="AW771">
        <v>9</v>
      </c>
      <c r="AX771" t="s">
        <v>74</v>
      </c>
      <c r="AY771" t="s">
        <v>74</v>
      </c>
      <c r="AZ771" t="s">
        <v>74</v>
      </c>
      <c r="BA771" t="s">
        <v>74</v>
      </c>
      <c r="BB771" t="s">
        <v>74</v>
      </c>
      <c r="BC771" t="s">
        <v>74</v>
      </c>
      <c r="BD771" t="s">
        <v>15091</v>
      </c>
      <c r="BE771" t="s">
        <v>15092</v>
      </c>
      <c r="BF771" t="str">
        <f>HYPERLINK("http://dx.doi.org/10.1029/2020GB006901","http://dx.doi.org/10.1029/2020GB006901")</f>
        <v>http://dx.doi.org/10.1029/2020GB006901</v>
      </c>
      <c r="BG771" t="s">
        <v>74</v>
      </c>
      <c r="BH771" t="s">
        <v>74</v>
      </c>
      <c r="BI771">
        <v>18</v>
      </c>
      <c r="BJ771" t="s">
        <v>1353</v>
      </c>
      <c r="BK771" t="s">
        <v>101</v>
      </c>
      <c r="BL771" t="s">
        <v>1354</v>
      </c>
      <c r="BM771" t="s">
        <v>15093</v>
      </c>
      <c r="BN771" t="s">
        <v>74</v>
      </c>
      <c r="BO771" t="s">
        <v>531</v>
      </c>
      <c r="BP771" t="s">
        <v>74</v>
      </c>
      <c r="BQ771" t="s">
        <v>74</v>
      </c>
      <c r="BR771" t="s">
        <v>105</v>
      </c>
      <c r="BS771" t="s">
        <v>15094</v>
      </c>
      <c r="BT771" t="str">
        <f>HYPERLINK("https%3A%2F%2Fwww.webofscience.com%2Fwos%2Fwoscc%2Ffull-record%2FWOS:000702404100015","View Full Record in Web of Science")</f>
        <v>View Full Record in Web of Science</v>
      </c>
    </row>
    <row r="772" spans="1:72" x14ac:dyDescent="0.15">
      <c r="A772" t="s">
        <v>72</v>
      </c>
      <c r="B772" t="s">
        <v>15095</v>
      </c>
      <c r="C772" t="s">
        <v>74</v>
      </c>
      <c r="D772" t="s">
        <v>74</v>
      </c>
      <c r="E772" t="s">
        <v>74</v>
      </c>
      <c r="F772" t="s">
        <v>15096</v>
      </c>
      <c r="G772" t="s">
        <v>74</v>
      </c>
      <c r="H772" t="s">
        <v>74</v>
      </c>
      <c r="I772" t="s">
        <v>15097</v>
      </c>
      <c r="J772" t="s">
        <v>4222</v>
      </c>
      <c r="K772" t="s">
        <v>74</v>
      </c>
      <c r="L772" t="s">
        <v>74</v>
      </c>
      <c r="M772" t="s">
        <v>78</v>
      </c>
      <c r="N772" t="s">
        <v>79</v>
      </c>
      <c r="O772" t="s">
        <v>74</v>
      </c>
      <c r="P772" t="s">
        <v>74</v>
      </c>
      <c r="Q772" t="s">
        <v>74</v>
      </c>
      <c r="R772" t="s">
        <v>74</v>
      </c>
      <c r="S772" t="s">
        <v>74</v>
      </c>
      <c r="T772" t="s">
        <v>15098</v>
      </c>
      <c r="U772" t="s">
        <v>15099</v>
      </c>
      <c r="V772" t="s">
        <v>15100</v>
      </c>
      <c r="W772" t="s">
        <v>15101</v>
      </c>
      <c r="X772" t="s">
        <v>15102</v>
      </c>
      <c r="Y772" t="s">
        <v>15103</v>
      </c>
      <c r="Z772" t="s">
        <v>15104</v>
      </c>
      <c r="AA772" t="s">
        <v>15105</v>
      </c>
      <c r="AB772" t="s">
        <v>15106</v>
      </c>
      <c r="AC772" t="s">
        <v>15107</v>
      </c>
      <c r="AD772" t="s">
        <v>15108</v>
      </c>
      <c r="AE772" t="s">
        <v>15109</v>
      </c>
      <c r="AF772" t="s">
        <v>74</v>
      </c>
      <c r="AG772">
        <v>37</v>
      </c>
      <c r="AH772">
        <v>1</v>
      </c>
      <c r="AI772">
        <v>1</v>
      </c>
      <c r="AJ772">
        <v>1</v>
      </c>
      <c r="AK772">
        <v>9</v>
      </c>
      <c r="AL772" t="s">
        <v>4192</v>
      </c>
      <c r="AM772" t="s">
        <v>4193</v>
      </c>
      <c r="AN772" t="s">
        <v>4194</v>
      </c>
      <c r="AO772" t="s">
        <v>74</v>
      </c>
      <c r="AP772" t="s">
        <v>4233</v>
      </c>
      <c r="AQ772" t="s">
        <v>74</v>
      </c>
      <c r="AR772" t="s">
        <v>4234</v>
      </c>
      <c r="AS772" t="s">
        <v>4235</v>
      </c>
      <c r="AT772" t="s">
        <v>627</v>
      </c>
      <c r="AU772">
        <v>2021</v>
      </c>
      <c r="AV772">
        <v>13</v>
      </c>
      <c r="AW772">
        <v>18</v>
      </c>
      <c r="AX772" t="s">
        <v>74</v>
      </c>
      <c r="AY772" t="s">
        <v>74</v>
      </c>
      <c r="AZ772" t="s">
        <v>74</v>
      </c>
      <c r="BA772" t="s">
        <v>74</v>
      </c>
      <c r="BB772" t="s">
        <v>74</v>
      </c>
      <c r="BC772" t="s">
        <v>74</v>
      </c>
      <c r="BD772">
        <v>3749</v>
      </c>
      <c r="BE772" t="s">
        <v>15110</v>
      </c>
      <c r="BF772" t="str">
        <f>HYPERLINK("http://dx.doi.org/10.3390/rs13183749","http://dx.doi.org/10.3390/rs13183749")</f>
        <v>http://dx.doi.org/10.3390/rs13183749</v>
      </c>
      <c r="BG772" t="s">
        <v>74</v>
      </c>
      <c r="BH772" t="s">
        <v>74</v>
      </c>
      <c r="BI772">
        <v>19</v>
      </c>
      <c r="BJ772" t="s">
        <v>4237</v>
      </c>
      <c r="BK772" t="s">
        <v>101</v>
      </c>
      <c r="BL772" t="s">
        <v>4238</v>
      </c>
      <c r="BM772" t="s">
        <v>15111</v>
      </c>
      <c r="BN772" t="s">
        <v>74</v>
      </c>
      <c r="BO772" t="s">
        <v>239</v>
      </c>
      <c r="BP772" t="s">
        <v>74</v>
      </c>
      <c r="BQ772" t="s">
        <v>74</v>
      </c>
      <c r="BR772" t="s">
        <v>105</v>
      </c>
      <c r="BS772" t="s">
        <v>15112</v>
      </c>
      <c r="BT772" t="str">
        <f>HYPERLINK("https%3A%2F%2Fwww.webofscience.com%2Fwos%2Fwoscc%2Ffull-record%2FWOS:000701490500001","View Full Record in Web of Science")</f>
        <v>View Full Record in Web of Science</v>
      </c>
    </row>
    <row r="773" spans="1:72" x14ac:dyDescent="0.15">
      <c r="A773" t="s">
        <v>72</v>
      </c>
      <c r="B773" t="s">
        <v>15113</v>
      </c>
      <c r="C773" t="s">
        <v>74</v>
      </c>
      <c r="D773" t="s">
        <v>74</v>
      </c>
      <c r="E773" t="s">
        <v>74</v>
      </c>
      <c r="F773" t="s">
        <v>15114</v>
      </c>
      <c r="G773" t="s">
        <v>74</v>
      </c>
      <c r="H773" t="s">
        <v>74</v>
      </c>
      <c r="I773" t="s">
        <v>15115</v>
      </c>
      <c r="J773" t="s">
        <v>10243</v>
      </c>
      <c r="K773" t="s">
        <v>74</v>
      </c>
      <c r="L773" t="s">
        <v>74</v>
      </c>
      <c r="M773" t="s">
        <v>78</v>
      </c>
      <c r="N773" t="s">
        <v>79</v>
      </c>
      <c r="O773" t="s">
        <v>74</v>
      </c>
      <c r="P773" t="s">
        <v>74</v>
      </c>
      <c r="Q773" t="s">
        <v>74</v>
      </c>
      <c r="R773" t="s">
        <v>74</v>
      </c>
      <c r="S773" t="s">
        <v>74</v>
      </c>
      <c r="T773" t="s">
        <v>74</v>
      </c>
      <c r="U773" t="s">
        <v>15116</v>
      </c>
      <c r="V773" t="s">
        <v>15117</v>
      </c>
      <c r="W773" t="s">
        <v>15118</v>
      </c>
      <c r="X773" t="s">
        <v>15119</v>
      </c>
      <c r="Y773" t="s">
        <v>15120</v>
      </c>
      <c r="Z773" t="s">
        <v>15121</v>
      </c>
      <c r="AA773" t="s">
        <v>74</v>
      </c>
      <c r="AB773" t="s">
        <v>15122</v>
      </c>
      <c r="AC773" t="s">
        <v>15123</v>
      </c>
      <c r="AD773" t="s">
        <v>15124</v>
      </c>
      <c r="AE773" t="s">
        <v>15125</v>
      </c>
      <c r="AF773" t="s">
        <v>74</v>
      </c>
      <c r="AG773">
        <v>81</v>
      </c>
      <c r="AH773">
        <v>19</v>
      </c>
      <c r="AI773">
        <v>22</v>
      </c>
      <c r="AJ773">
        <v>2</v>
      </c>
      <c r="AK773">
        <v>21</v>
      </c>
      <c r="AL773" t="s">
        <v>3835</v>
      </c>
      <c r="AM773" t="s">
        <v>438</v>
      </c>
      <c r="AN773" t="s">
        <v>3836</v>
      </c>
      <c r="AO773" t="s">
        <v>10255</v>
      </c>
      <c r="AP773" t="s">
        <v>74</v>
      </c>
      <c r="AQ773" t="s">
        <v>74</v>
      </c>
      <c r="AR773" t="s">
        <v>10256</v>
      </c>
      <c r="AS773" t="s">
        <v>10257</v>
      </c>
      <c r="AT773" t="s">
        <v>627</v>
      </c>
      <c r="AU773">
        <v>2021</v>
      </c>
      <c r="AV773">
        <v>7</v>
      </c>
      <c r="AW773">
        <v>39</v>
      </c>
      <c r="AX773" t="s">
        <v>74</v>
      </c>
      <c r="AY773" t="s">
        <v>74</v>
      </c>
      <c r="AZ773" t="s">
        <v>74</v>
      </c>
      <c r="BA773" t="s">
        <v>74</v>
      </c>
      <c r="BB773" t="s">
        <v>74</v>
      </c>
      <c r="BC773" t="s">
        <v>74</v>
      </c>
      <c r="BD773" t="s">
        <v>15126</v>
      </c>
      <c r="BE773" t="s">
        <v>15127</v>
      </c>
      <c r="BF773" t="str">
        <f>HYPERLINK("http://dx.doi.org/10.1126/sciadv.abh3674","http://dx.doi.org/10.1126/sciadv.abh3674")</f>
        <v>http://dx.doi.org/10.1126/sciadv.abh3674</v>
      </c>
      <c r="BG773" t="s">
        <v>74</v>
      </c>
      <c r="BH773" t="s">
        <v>74</v>
      </c>
      <c r="BI773">
        <v>13</v>
      </c>
      <c r="BJ773" t="s">
        <v>126</v>
      </c>
      <c r="BK773" t="s">
        <v>101</v>
      </c>
      <c r="BL773" t="s">
        <v>127</v>
      </c>
      <c r="BM773" t="s">
        <v>15128</v>
      </c>
      <c r="BN773">
        <v>34559555</v>
      </c>
      <c r="BO773" t="s">
        <v>1094</v>
      </c>
      <c r="BP773" t="s">
        <v>74</v>
      </c>
      <c r="BQ773" t="s">
        <v>74</v>
      </c>
      <c r="BR773" t="s">
        <v>105</v>
      </c>
      <c r="BS773" t="s">
        <v>15129</v>
      </c>
      <c r="BT773" t="str">
        <f>HYPERLINK("https%3A%2F%2Fwww.webofscience.com%2Fwos%2Fwoscc%2Ffull-record%2FWOS:000699973200016","View Full Record in Web of Science")</f>
        <v>View Full Record in Web of Science</v>
      </c>
    </row>
    <row r="774" spans="1:72" x14ac:dyDescent="0.15">
      <c r="A774" t="s">
        <v>72</v>
      </c>
      <c r="B774" t="s">
        <v>15130</v>
      </c>
      <c r="C774" t="s">
        <v>74</v>
      </c>
      <c r="D774" t="s">
        <v>74</v>
      </c>
      <c r="E774" t="s">
        <v>74</v>
      </c>
      <c r="F774" t="s">
        <v>15131</v>
      </c>
      <c r="G774" t="s">
        <v>74</v>
      </c>
      <c r="H774" t="s">
        <v>74</v>
      </c>
      <c r="I774" t="s">
        <v>15132</v>
      </c>
      <c r="J774" t="s">
        <v>15133</v>
      </c>
      <c r="K774" t="s">
        <v>74</v>
      </c>
      <c r="L774" t="s">
        <v>74</v>
      </c>
      <c r="M774" t="s">
        <v>78</v>
      </c>
      <c r="N774" t="s">
        <v>79</v>
      </c>
      <c r="O774" t="s">
        <v>74</v>
      </c>
      <c r="P774" t="s">
        <v>74</v>
      </c>
      <c r="Q774" t="s">
        <v>74</v>
      </c>
      <c r="R774" t="s">
        <v>74</v>
      </c>
      <c r="S774" t="s">
        <v>74</v>
      </c>
      <c r="T774" t="s">
        <v>15134</v>
      </c>
      <c r="U774" t="s">
        <v>15135</v>
      </c>
      <c r="V774" t="s">
        <v>15136</v>
      </c>
      <c r="W774" t="s">
        <v>15137</v>
      </c>
      <c r="X774" t="s">
        <v>15138</v>
      </c>
      <c r="Y774" t="s">
        <v>15139</v>
      </c>
      <c r="Z774" t="s">
        <v>15140</v>
      </c>
      <c r="AA774" t="s">
        <v>15141</v>
      </c>
      <c r="AB774" t="s">
        <v>15142</v>
      </c>
      <c r="AC774" t="s">
        <v>15143</v>
      </c>
      <c r="AD774" t="s">
        <v>15144</v>
      </c>
      <c r="AE774" t="s">
        <v>15145</v>
      </c>
      <c r="AF774" t="s">
        <v>74</v>
      </c>
      <c r="AG774">
        <v>31</v>
      </c>
      <c r="AH774">
        <v>3</v>
      </c>
      <c r="AI774">
        <v>3</v>
      </c>
      <c r="AJ774">
        <v>2</v>
      </c>
      <c r="AK774">
        <v>6</v>
      </c>
      <c r="AL774" t="s">
        <v>4192</v>
      </c>
      <c r="AM774" t="s">
        <v>4193</v>
      </c>
      <c r="AN774" t="s">
        <v>4194</v>
      </c>
      <c r="AO774" t="s">
        <v>74</v>
      </c>
      <c r="AP774" t="s">
        <v>15146</v>
      </c>
      <c r="AQ774" t="s">
        <v>74</v>
      </c>
      <c r="AR774" t="s">
        <v>15133</v>
      </c>
      <c r="AS774" t="s">
        <v>15147</v>
      </c>
      <c r="AT774" t="s">
        <v>627</v>
      </c>
      <c r="AU774">
        <v>2021</v>
      </c>
      <c r="AV774">
        <v>12</v>
      </c>
      <c r="AW774">
        <v>9</v>
      </c>
      <c r="AX774" t="s">
        <v>74</v>
      </c>
      <c r="AY774" t="s">
        <v>74</v>
      </c>
      <c r="AZ774" t="s">
        <v>74</v>
      </c>
      <c r="BA774" t="s">
        <v>74</v>
      </c>
      <c r="BB774" t="s">
        <v>74</v>
      </c>
      <c r="BC774" t="s">
        <v>74</v>
      </c>
      <c r="BD774">
        <v>792</v>
      </c>
      <c r="BE774" t="s">
        <v>15148</v>
      </c>
      <c r="BF774" t="str">
        <f>HYPERLINK("http://dx.doi.org/10.3390/insects12090792","http://dx.doi.org/10.3390/insects12090792")</f>
        <v>http://dx.doi.org/10.3390/insects12090792</v>
      </c>
      <c r="BG774" t="s">
        <v>74</v>
      </c>
      <c r="BH774" t="s">
        <v>74</v>
      </c>
      <c r="BI774">
        <v>11</v>
      </c>
      <c r="BJ774" t="s">
        <v>2006</v>
      </c>
      <c r="BK774" t="s">
        <v>101</v>
      </c>
      <c r="BL774" t="s">
        <v>2006</v>
      </c>
      <c r="BM774" t="s">
        <v>15149</v>
      </c>
      <c r="BN774">
        <v>34564232</v>
      </c>
      <c r="BO774" t="s">
        <v>1248</v>
      </c>
      <c r="BP774" t="s">
        <v>74</v>
      </c>
      <c r="BQ774" t="s">
        <v>74</v>
      </c>
      <c r="BR774" t="s">
        <v>105</v>
      </c>
      <c r="BS774" t="s">
        <v>15150</v>
      </c>
      <c r="BT774" t="str">
        <f>HYPERLINK("https%3A%2F%2Fwww.webofscience.com%2Fwos%2Fwoscc%2Ffull-record%2FWOS:000699755900001","View Full Record in Web of Science")</f>
        <v>View Full Record in Web of Science</v>
      </c>
    </row>
    <row r="775" spans="1:72" x14ac:dyDescent="0.15">
      <c r="A775" t="s">
        <v>72</v>
      </c>
      <c r="B775" t="s">
        <v>15151</v>
      </c>
      <c r="C775" t="s">
        <v>74</v>
      </c>
      <c r="D775" t="s">
        <v>74</v>
      </c>
      <c r="E775" t="s">
        <v>74</v>
      </c>
      <c r="F775" t="s">
        <v>15152</v>
      </c>
      <c r="G775" t="s">
        <v>74</v>
      </c>
      <c r="H775" t="s">
        <v>74</v>
      </c>
      <c r="I775" t="s">
        <v>15153</v>
      </c>
      <c r="J775" t="s">
        <v>5414</v>
      </c>
      <c r="K775" t="s">
        <v>74</v>
      </c>
      <c r="L775" t="s">
        <v>74</v>
      </c>
      <c r="M775" t="s">
        <v>78</v>
      </c>
      <c r="N775" t="s">
        <v>79</v>
      </c>
      <c r="O775" t="s">
        <v>74</v>
      </c>
      <c r="P775" t="s">
        <v>74</v>
      </c>
      <c r="Q775" t="s">
        <v>74</v>
      </c>
      <c r="R775" t="s">
        <v>74</v>
      </c>
      <c r="S775" t="s">
        <v>74</v>
      </c>
      <c r="T775" t="s">
        <v>15154</v>
      </c>
      <c r="U775" t="s">
        <v>15155</v>
      </c>
      <c r="V775" t="s">
        <v>15156</v>
      </c>
      <c r="W775" t="s">
        <v>15157</v>
      </c>
      <c r="X775" t="s">
        <v>15158</v>
      </c>
      <c r="Y775" t="s">
        <v>15159</v>
      </c>
      <c r="Z775" t="s">
        <v>15160</v>
      </c>
      <c r="AA775" t="s">
        <v>74</v>
      </c>
      <c r="AB775" t="s">
        <v>74</v>
      </c>
      <c r="AC775" t="s">
        <v>15161</v>
      </c>
      <c r="AD775" t="s">
        <v>968</v>
      </c>
      <c r="AE775" t="s">
        <v>15162</v>
      </c>
      <c r="AF775" t="s">
        <v>74</v>
      </c>
      <c r="AG775">
        <v>20</v>
      </c>
      <c r="AH775">
        <v>6</v>
      </c>
      <c r="AI775">
        <v>6</v>
      </c>
      <c r="AJ775">
        <v>0</v>
      </c>
      <c r="AK775">
        <v>7</v>
      </c>
      <c r="AL775" t="s">
        <v>4192</v>
      </c>
      <c r="AM775" t="s">
        <v>4193</v>
      </c>
      <c r="AN775" t="s">
        <v>4194</v>
      </c>
      <c r="AO775" t="s">
        <v>74</v>
      </c>
      <c r="AP775" t="s">
        <v>5426</v>
      </c>
      <c r="AQ775" t="s">
        <v>74</v>
      </c>
      <c r="AR775" t="s">
        <v>5414</v>
      </c>
      <c r="AS775" t="s">
        <v>5427</v>
      </c>
      <c r="AT775" t="s">
        <v>627</v>
      </c>
      <c r="AU775">
        <v>2021</v>
      </c>
      <c r="AV775">
        <v>26</v>
      </c>
      <c r="AW775">
        <v>18</v>
      </c>
      <c r="AX775" t="s">
        <v>74</v>
      </c>
      <c r="AY775" t="s">
        <v>74</v>
      </c>
      <c r="AZ775" t="s">
        <v>74</v>
      </c>
      <c r="BA775" t="s">
        <v>74</v>
      </c>
      <c r="BB775" t="s">
        <v>74</v>
      </c>
      <c r="BC775" t="s">
        <v>74</v>
      </c>
      <c r="BD775">
        <v>5505</v>
      </c>
      <c r="BE775" t="s">
        <v>15163</v>
      </c>
      <c r="BF775" t="str">
        <f>HYPERLINK("http://dx.doi.org/10.3390/molecules26185505","http://dx.doi.org/10.3390/molecules26185505")</f>
        <v>http://dx.doi.org/10.3390/molecules26185505</v>
      </c>
      <c r="BG775" t="s">
        <v>74</v>
      </c>
      <c r="BH775" t="s">
        <v>74</v>
      </c>
      <c r="BI775">
        <v>10</v>
      </c>
      <c r="BJ775" t="s">
        <v>5429</v>
      </c>
      <c r="BK775" t="s">
        <v>101</v>
      </c>
      <c r="BL775" t="s">
        <v>5430</v>
      </c>
      <c r="BM775" t="s">
        <v>15164</v>
      </c>
      <c r="BN775">
        <v>34576982</v>
      </c>
      <c r="BO775" t="s">
        <v>394</v>
      </c>
      <c r="BP775" t="s">
        <v>74</v>
      </c>
      <c r="BQ775" t="s">
        <v>74</v>
      </c>
      <c r="BR775" t="s">
        <v>105</v>
      </c>
      <c r="BS775" t="s">
        <v>15165</v>
      </c>
      <c r="BT775" t="str">
        <f>HYPERLINK("https%3A%2F%2Fwww.webofscience.com%2Fwos%2Fwoscc%2Ffull-record%2FWOS:000701758900001","View Full Record in Web of Science")</f>
        <v>View Full Record in Web of Science</v>
      </c>
    </row>
    <row r="776" spans="1:72" x14ac:dyDescent="0.15">
      <c r="A776" t="s">
        <v>72</v>
      </c>
      <c r="B776" t="s">
        <v>15166</v>
      </c>
      <c r="C776" t="s">
        <v>74</v>
      </c>
      <c r="D776" t="s">
        <v>74</v>
      </c>
      <c r="E776" t="s">
        <v>74</v>
      </c>
      <c r="F776" t="s">
        <v>15167</v>
      </c>
      <c r="G776" t="s">
        <v>74</v>
      </c>
      <c r="H776" t="s">
        <v>74</v>
      </c>
      <c r="I776" t="s">
        <v>15168</v>
      </c>
      <c r="J776" t="s">
        <v>15169</v>
      </c>
      <c r="K776" t="s">
        <v>74</v>
      </c>
      <c r="L776" t="s">
        <v>74</v>
      </c>
      <c r="M776" t="s">
        <v>78</v>
      </c>
      <c r="N776" t="s">
        <v>79</v>
      </c>
      <c r="O776" t="s">
        <v>74</v>
      </c>
      <c r="P776" t="s">
        <v>74</v>
      </c>
      <c r="Q776" t="s">
        <v>74</v>
      </c>
      <c r="R776" t="s">
        <v>74</v>
      </c>
      <c r="S776" t="s">
        <v>74</v>
      </c>
      <c r="T776" t="s">
        <v>15170</v>
      </c>
      <c r="U776" t="s">
        <v>15171</v>
      </c>
      <c r="V776" t="s">
        <v>15172</v>
      </c>
      <c r="W776" t="s">
        <v>15173</v>
      </c>
      <c r="X776" t="s">
        <v>15174</v>
      </c>
      <c r="Y776" t="s">
        <v>15175</v>
      </c>
      <c r="Z776" t="s">
        <v>15176</v>
      </c>
      <c r="AA776" t="s">
        <v>15177</v>
      </c>
      <c r="AB776" t="s">
        <v>15178</v>
      </c>
      <c r="AC776" t="s">
        <v>15179</v>
      </c>
      <c r="AD776" t="s">
        <v>15180</v>
      </c>
      <c r="AE776" t="s">
        <v>15181</v>
      </c>
      <c r="AF776" t="s">
        <v>74</v>
      </c>
      <c r="AG776">
        <v>49</v>
      </c>
      <c r="AH776">
        <v>4</v>
      </c>
      <c r="AI776">
        <v>4</v>
      </c>
      <c r="AJ776">
        <v>2</v>
      </c>
      <c r="AK776">
        <v>12</v>
      </c>
      <c r="AL776" t="s">
        <v>4192</v>
      </c>
      <c r="AM776" t="s">
        <v>4193</v>
      </c>
      <c r="AN776" t="s">
        <v>4194</v>
      </c>
      <c r="AO776" t="s">
        <v>74</v>
      </c>
      <c r="AP776" t="s">
        <v>15182</v>
      </c>
      <c r="AQ776" t="s">
        <v>74</v>
      </c>
      <c r="AR776" t="s">
        <v>15169</v>
      </c>
      <c r="AS776" t="s">
        <v>15183</v>
      </c>
      <c r="AT776" t="s">
        <v>627</v>
      </c>
      <c r="AU776">
        <v>2021</v>
      </c>
      <c r="AV776">
        <v>13</v>
      </c>
      <c r="AW776">
        <v>9</v>
      </c>
      <c r="AX776" t="s">
        <v>74</v>
      </c>
      <c r="AY776" t="s">
        <v>74</v>
      </c>
      <c r="AZ776" t="s">
        <v>74</v>
      </c>
      <c r="BA776" t="s">
        <v>74</v>
      </c>
      <c r="BB776" t="s">
        <v>74</v>
      </c>
      <c r="BC776" t="s">
        <v>74</v>
      </c>
      <c r="BD776">
        <v>3187</v>
      </c>
      <c r="BE776" t="s">
        <v>15184</v>
      </c>
      <c r="BF776" t="str">
        <f>HYPERLINK("http://dx.doi.org/10.3390/nu13093187","http://dx.doi.org/10.3390/nu13093187")</f>
        <v>http://dx.doi.org/10.3390/nu13093187</v>
      </c>
      <c r="BG776" t="s">
        <v>74</v>
      </c>
      <c r="BH776" t="s">
        <v>74</v>
      </c>
      <c r="BI776">
        <v>16</v>
      </c>
      <c r="BJ776" t="s">
        <v>15185</v>
      </c>
      <c r="BK776" t="s">
        <v>101</v>
      </c>
      <c r="BL776" t="s">
        <v>15185</v>
      </c>
      <c r="BM776" t="s">
        <v>15186</v>
      </c>
      <c r="BN776">
        <v>34579064</v>
      </c>
      <c r="BO776" t="s">
        <v>394</v>
      </c>
      <c r="BP776" t="s">
        <v>74</v>
      </c>
      <c r="BQ776" t="s">
        <v>74</v>
      </c>
      <c r="BR776" t="s">
        <v>105</v>
      </c>
      <c r="BS776" t="s">
        <v>15187</v>
      </c>
      <c r="BT776" t="str">
        <f>HYPERLINK("https%3A%2F%2Fwww.webofscience.com%2Fwos%2Fwoscc%2Ffull-record%2FWOS:000699928300001","View Full Record in Web of Science")</f>
        <v>View Full Record in Web of Science</v>
      </c>
    </row>
    <row r="777" spans="1:72" x14ac:dyDescent="0.15">
      <c r="A777" t="s">
        <v>72</v>
      </c>
      <c r="B777" t="s">
        <v>15188</v>
      </c>
      <c r="C777" t="s">
        <v>74</v>
      </c>
      <c r="D777" t="s">
        <v>74</v>
      </c>
      <c r="E777" t="s">
        <v>74</v>
      </c>
      <c r="F777" t="s">
        <v>15189</v>
      </c>
      <c r="G777" t="s">
        <v>74</v>
      </c>
      <c r="H777" t="s">
        <v>74</v>
      </c>
      <c r="I777" t="s">
        <v>15190</v>
      </c>
      <c r="J777" t="s">
        <v>15191</v>
      </c>
      <c r="K777" t="s">
        <v>74</v>
      </c>
      <c r="L777" t="s">
        <v>74</v>
      </c>
      <c r="M777" t="s">
        <v>78</v>
      </c>
      <c r="N777" t="s">
        <v>79</v>
      </c>
      <c r="O777" t="s">
        <v>74</v>
      </c>
      <c r="P777" t="s">
        <v>74</v>
      </c>
      <c r="Q777" t="s">
        <v>74</v>
      </c>
      <c r="R777" t="s">
        <v>74</v>
      </c>
      <c r="S777" t="s">
        <v>74</v>
      </c>
      <c r="T777" t="s">
        <v>15192</v>
      </c>
      <c r="U777" t="s">
        <v>15193</v>
      </c>
      <c r="V777" t="s">
        <v>15194</v>
      </c>
      <c r="W777" t="s">
        <v>15195</v>
      </c>
      <c r="X777" t="s">
        <v>15196</v>
      </c>
      <c r="Y777" t="s">
        <v>15197</v>
      </c>
      <c r="Z777" t="s">
        <v>15198</v>
      </c>
      <c r="AA777" t="s">
        <v>15199</v>
      </c>
      <c r="AB777" t="s">
        <v>15200</v>
      </c>
      <c r="AC777" t="s">
        <v>15201</v>
      </c>
      <c r="AD777" t="s">
        <v>15201</v>
      </c>
      <c r="AE777" t="s">
        <v>15202</v>
      </c>
      <c r="AF777" t="s">
        <v>74</v>
      </c>
      <c r="AG777">
        <v>45</v>
      </c>
      <c r="AH777">
        <v>7</v>
      </c>
      <c r="AI777">
        <v>7</v>
      </c>
      <c r="AJ777">
        <v>0</v>
      </c>
      <c r="AK777">
        <v>2</v>
      </c>
      <c r="AL777" t="s">
        <v>4192</v>
      </c>
      <c r="AM777" t="s">
        <v>4193</v>
      </c>
      <c r="AN777" t="s">
        <v>4194</v>
      </c>
      <c r="AO777" t="s">
        <v>74</v>
      </c>
      <c r="AP777" t="s">
        <v>15203</v>
      </c>
      <c r="AQ777" t="s">
        <v>74</v>
      </c>
      <c r="AR777" t="s">
        <v>15191</v>
      </c>
      <c r="AS777" t="s">
        <v>15204</v>
      </c>
      <c r="AT777" t="s">
        <v>627</v>
      </c>
      <c r="AU777">
        <v>2021</v>
      </c>
      <c r="AV777">
        <v>9</v>
      </c>
      <c r="AW777">
        <v>9</v>
      </c>
      <c r="AX777" t="s">
        <v>74</v>
      </c>
      <c r="AY777" t="s">
        <v>74</v>
      </c>
      <c r="AZ777" t="s">
        <v>74</v>
      </c>
      <c r="BA777" t="s">
        <v>74</v>
      </c>
      <c r="BB777" t="s">
        <v>74</v>
      </c>
      <c r="BC777" t="s">
        <v>74</v>
      </c>
      <c r="BD777">
        <v>120</v>
      </c>
      <c r="BE777" t="s">
        <v>15205</v>
      </c>
      <c r="BF777" t="str">
        <f>HYPERLINK("http://dx.doi.org/10.3390/sports9090120","http://dx.doi.org/10.3390/sports9090120")</f>
        <v>http://dx.doi.org/10.3390/sports9090120</v>
      </c>
      <c r="BG777" t="s">
        <v>74</v>
      </c>
      <c r="BH777" t="s">
        <v>74</v>
      </c>
      <c r="BI777">
        <v>9</v>
      </c>
      <c r="BJ777" t="s">
        <v>15206</v>
      </c>
      <c r="BK777" t="s">
        <v>1629</v>
      </c>
      <c r="BL777" t="s">
        <v>15206</v>
      </c>
      <c r="BM777" t="s">
        <v>15207</v>
      </c>
      <c r="BN777">
        <v>34564325</v>
      </c>
      <c r="BO777" t="s">
        <v>1094</v>
      </c>
      <c r="BP777" t="s">
        <v>74</v>
      </c>
      <c r="BQ777" t="s">
        <v>74</v>
      </c>
      <c r="BR777" t="s">
        <v>105</v>
      </c>
      <c r="BS777" t="s">
        <v>15208</v>
      </c>
      <c r="BT777" t="str">
        <f>HYPERLINK("https%3A%2F%2Fwww.webofscience.com%2Fwos%2Fwoscc%2Ffull-record%2FWOS:000699961000001","View Full Record in Web of Science")</f>
        <v>View Full Record in Web of Science</v>
      </c>
    </row>
    <row r="778" spans="1:72" x14ac:dyDescent="0.15">
      <c r="A778" t="s">
        <v>72</v>
      </c>
      <c r="B778" t="s">
        <v>15209</v>
      </c>
      <c r="C778" t="s">
        <v>74</v>
      </c>
      <c r="D778" t="s">
        <v>74</v>
      </c>
      <c r="E778" t="s">
        <v>74</v>
      </c>
      <c r="F778" t="s">
        <v>15210</v>
      </c>
      <c r="G778" t="s">
        <v>74</v>
      </c>
      <c r="H778" t="s">
        <v>74</v>
      </c>
      <c r="I778" t="s">
        <v>15211</v>
      </c>
      <c r="J778" t="s">
        <v>15212</v>
      </c>
      <c r="K778" t="s">
        <v>74</v>
      </c>
      <c r="L778" t="s">
        <v>74</v>
      </c>
      <c r="M778" t="s">
        <v>78</v>
      </c>
      <c r="N778" t="s">
        <v>79</v>
      </c>
      <c r="O778" t="s">
        <v>74</v>
      </c>
      <c r="P778" t="s">
        <v>74</v>
      </c>
      <c r="Q778" t="s">
        <v>74</v>
      </c>
      <c r="R778" t="s">
        <v>74</v>
      </c>
      <c r="S778" t="s">
        <v>74</v>
      </c>
      <c r="T778" t="s">
        <v>15213</v>
      </c>
      <c r="U778" t="s">
        <v>15214</v>
      </c>
      <c r="V778" t="s">
        <v>15215</v>
      </c>
      <c r="W778" t="s">
        <v>15216</v>
      </c>
      <c r="X778" t="s">
        <v>15217</v>
      </c>
      <c r="Y778" t="s">
        <v>15218</v>
      </c>
      <c r="Z778" t="s">
        <v>15219</v>
      </c>
      <c r="AA778" t="s">
        <v>15220</v>
      </c>
      <c r="AB778" t="s">
        <v>15221</v>
      </c>
      <c r="AC778" t="s">
        <v>15222</v>
      </c>
      <c r="AD778" t="s">
        <v>15223</v>
      </c>
      <c r="AE778" t="s">
        <v>15224</v>
      </c>
      <c r="AF778" t="s">
        <v>74</v>
      </c>
      <c r="AG778">
        <v>55</v>
      </c>
      <c r="AH778">
        <v>2</v>
      </c>
      <c r="AI778">
        <v>2</v>
      </c>
      <c r="AJ778">
        <v>2</v>
      </c>
      <c r="AK778">
        <v>5</v>
      </c>
      <c r="AL778" t="s">
        <v>4192</v>
      </c>
      <c r="AM778" t="s">
        <v>4193</v>
      </c>
      <c r="AN778" t="s">
        <v>4194</v>
      </c>
      <c r="AO778" t="s">
        <v>74</v>
      </c>
      <c r="AP778" t="s">
        <v>15225</v>
      </c>
      <c r="AQ778" t="s">
        <v>74</v>
      </c>
      <c r="AR778" t="s">
        <v>15212</v>
      </c>
      <c r="AS778" t="s">
        <v>15226</v>
      </c>
      <c r="AT778" t="s">
        <v>627</v>
      </c>
      <c r="AU778">
        <v>2021</v>
      </c>
      <c r="AV778">
        <v>12</v>
      </c>
      <c r="AW778">
        <v>9</v>
      </c>
      <c r="AX778" t="s">
        <v>74</v>
      </c>
      <c r="AY778" t="s">
        <v>74</v>
      </c>
      <c r="AZ778" t="s">
        <v>74</v>
      </c>
      <c r="BA778" t="s">
        <v>74</v>
      </c>
      <c r="BB778" t="s">
        <v>74</v>
      </c>
      <c r="BC778" t="s">
        <v>74</v>
      </c>
      <c r="BD778">
        <v>1238</v>
      </c>
      <c r="BE778" t="s">
        <v>15227</v>
      </c>
      <c r="BF778" t="str">
        <f>HYPERLINK("http://dx.doi.org/10.3390/f12091238","http://dx.doi.org/10.3390/f12091238")</f>
        <v>http://dx.doi.org/10.3390/f12091238</v>
      </c>
      <c r="BG778" t="s">
        <v>74</v>
      </c>
      <c r="BH778" t="s">
        <v>74</v>
      </c>
      <c r="BI778">
        <v>18</v>
      </c>
      <c r="BJ778" t="s">
        <v>15228</v>
      </c>
      <c r="BK778" t="s">
        <v>101</v>
      </c>
      <c r="BL778" t="s">
        <v>15228</v>
      </c>
      <c r="BM778" t="s">
        <v>15229</v>
      </c>
      <c r="BN778" t="s">
        <v>74</v>
      </c>
      <c r="BO778" t="s">
        <v>210</v>
      </c>
      <c r="BP778" t="s">
        <v>74</v>
      </c>
      <c r="BQ778" t="s">
        <v>74</v>
      </c>
      <c r="BR778" t="s">
        <v>105</v>
      </c>
      <c r="BS778" t="s">
        <v>15230</v>
      </c>
      <c r="BT778" t="str">
        <f>HYPERLINK("https%3A%2F%2Fwww.webofscience.com%2Fwos%2Fwoscc%2Ffull-record%2FWOS:000700723000001","View Full Record in Web of Science")</f>
        <v>View Full Record in Web of Science</v>
      </c>
    </row>
    <row r="779" spans="1:72" x14ac:dyDescent="0.15">
      <c r="A779" t="s">
        <v>72</v>
      </c>
      <c r="B779" t="s">
        <v>15231</v>
      </c>
      <c r="C779" t="s">
        <v>74</v>
      </c>
      <c r="D779" t="s">
        <v>74</v>
      </c>
      <c r="E779" t="s">
        <v>74</v>
      </c>
      <c r="F779" t="s">
        <v>15232</v>
      </c>
      <c r="G779" t="s">
        <v>74</v>
      </c>
      <c r="H779" t="s">
        <v>74</v>
      </c>
      <c r="I779" t="s">
        <v>15233</v>
      </c>
      <c r="J779" t="s">
        <v>15234</v>
      </c>
      <c r="K779" t="s">
        <v>74</v>
      </c>
      <c r="L779" t="s">
        <v>74</v>
      </c>
      <c r="M779" t="s">
        <v>78</v>
      </c>
      <c r="N779" t="s">
        <v>79</v>
      </c>
      <c r="O779" t="s">
        <v>74</v>
      </c>
      <c r="P779" t="s">
        <v>74</v>
      </c>
      <c r="Q779" t="s">
        <v>74</v>
      </c>
      <c r="R779" t="s">
        <v>74</v>
      </c>
      <c r="S779" t="s">
        <v>74</v>
      </c>
      <c r="T779" t="s">
        <v>15235</v>
      </c>
      <c r="U779" t="s">
        <v>15236</v>
      </c>
      <c r="V779" t="s">
        <v>15237</v>
      </c>
      <c r="W779" t="s">
        <v>15238</v>
      </c>
      <c r="X779" t="s">
        <v>15239</v>
      </c>
      <c r="Y779" t="s">
        <v>15240</v>
      </c>
      <c r="Z779" t="s">
        <v>15241</v>
      </c>
      <c r="AA779" t="s">
        <v>74</v>
      </c>
      <c r="AB779" t="s">
        <v>15242</v>
      </c>
      <c r="AC779" t="s">
        <v>15161</v>
      </c>
      <c r="AD779" t="s">
        <v>968</v>
      </c>
      <c r="AE779" t="s">
        <v>15243</v>
      </c>
      <c r="AF779" t="s">
        <v>74</v>
      </c>
      <c r="AG779">
        <v>39</v>
      </c>
      <c r="AH779">
        <v>8</v>
      </c>
      <c r="AI779">
        <v>8</v>
      </c>
      <c r="AJ779">
        <v>3</v>
      </c>
      <c r="AK779">
        <v>14</v>
      </c>
      <c r="AL779" t="s">
        <v>4192</v>
      </c>
      <c r="AM779" t="s">
        <v>4193</v>
      </c>
      <c r="AN779" t="s">
        <v>4194</v>
      </c>
      <c r="AO779" t="s">
        <v>74</v>
      </c>
      <c r="AP779" t="s">
        <v>15244</v>
      </c>
      <c r="AQ779" t="s">
        <v>74</v>
      </c>
      <c r="AR779" t="s">
        <v>15245</v>
      </c>
      <c r="AS779" t="s">
        <v>15246</v>
      </c>
      <c r="AT779" t="s">
        <v>627</v>
      </c>
      <c r="AU779">
        <v>2021</v>
      </c>
      <c r="AV779">
        <v>22</v>
      </c>
      <c r="AW779">
        <v>18</v>
      </c>
      <c r="AX779" t="s">
        <v>74</v>
      </c>
      <c r="AY779" t="s">
        <v>74</v>
      </c>
      <c r="AZ779" t="s">
        <v>74</v>
      </c>
      <c r="BA779" t="s">
        <v>74</v>
      </c>
      <c r="BB779" t="s">
        <v>74</v>
      </c>
      <c r="BC779" t="s">
        <v>74</v>
      </c>
      <c r="BD779">
        <v>9674</v>
      </c>
      <c r="BE779" t="s">
        <v>15247</v>
      </c>
      <c r="BF779" t="str">
        <f>HYPERLINK("http://dx.doi.org/10.3390/ijms22189674","http://dx.doi.org/10.3390/ijms22189674")</f>
        <v>http://dx.doi.org/10.3390/ijms22189674</v>
      </c>
      <c r="BG779" t="s">
        <v>74</v>
      </c>
      <c r="BH779" t="s">
        <v>74</v>
      </c>
      <c r="BI779">
        <v>14</v>
      </c>
      <c r="BJ779" t="s">
        <v>5429</v>
      </c>
      <c r="BK779" t="s">
        <v>101</v>
      </c>
      <c r="BL779" t="s">
        <v>5430</v>
      </c>
      <c r="BM779" t="s">
        <v>15248</v>
      </c>
      <c r="BN779">
        <v>34575836</v>
      </c>
      <c r="BO779" t="s">
        <v>394</v>
      </c>
      <c r="BP779" t="s">
        <v>74</v>
      </c>
      <c r="BQ779" t="s">
        <v>74</v>
      </c>
      <c r="BR779" t="s">
        <v>105</v>
      </c>
      <c r="BS779" t="s">
        <v>15249</v>
      </c>
      <c r="BT779" t="str">
        <f>HYPERLINK("https%3A%2F%2Fwww.webofscience.com%2Fwos%2Fwoscc%2Ffull-record%2FWOS:000700729200001","View Full Record in Web of Science")</f>
        <v>View Full Record in Web of Science</v>
      </c>
    </row>
    <row r="780" spans="1:72" x14ac:dyDescent="0.15">
      <c r="A780" t="s">
        <v>72</v>
      </c>
      <c r="B780" t="s">
        <v>15250</v>
      </c>
      <c r="C780" t="s">
        <v>74</v>
      </c>
      <c r="D780" t="s">
        <v>74</v>
      </c>
      <c r="E780" t="s">
        <v>74</v>
      </c>
      <c r="F780" t="s">
        <v>15251</v>
      </c>
      <c r="G780" t="s">
        <v>74</v>
      </c>
      <c r="H780" t="s">
        <v>74</v>
      </c>
      <c r="I780" t="s">
        <v>15252</v>
      </c>
      <c r="J780" t="s">
        <v>4968</v>
      </c>
      <c r="K780" t="s">
        <v>74</v>
      </c>
      <c r="L780" t="s">
        <v>74</v>
      </c>
      <c r="M780" t="s">
        <v>78</v>
      </c>
      <c r="N780" t="s">
        <v>79</v>
      </c>
      <c r="O780" t="s">
        <v>74</v>
      </c>
      <c r="P780" t="s">
        <v>74</v>
      </c>
      <c r="Q780" t="s">
        <v>74</v>
      </c>
      <c r="R780" t="s">
        <v>74</v>
      </c>
      <c r="S780" t="s">
        <v>74</v>
      </c>
      <c r="T780" t="s">
        <v>15253</v>
      </c>
      <c r="U780" t="s">
        <v>15254</v>
      </c>
      <c r="V780" t="s">
        <v>15255</v>
      </c>
      <c r="W780" t="s">
        <v>15256</v>
      </c>
      <c r="X780" t="s">
        <v>15257</v>
      </c>
      <c r="Y780" t="s">
        <v>15258</v>
      </c>
      <c r="Z780" t="s">
        <v>15259</v>
      </c>
      <c r="AA780" t="s">
        <v>15260</v>
      </c>
      <c r="AB780" t="s">
        <v>15261</v>
      </c>
      <c r="AC780" t="s">
        <v>15262</v>
      </c>
      <c r="AD780" t="s">
        <v>15263</v>
      </c>
      <c r="AE780" t="s">
        <v>15264</v>
      </c>
      <c r="AF780" t="s">
        <v>74</v>
      </c>
      <c r="AG780">
        <v>37</v>
      </c>
      <c r="AH780">
        <v>2</v>
      </c>
      <c r="AI780">
        <v>2</v>
      </c>
      <c r="AJ780">
        <v>0</v>
      </c>
      <c r="AK780">
        <v>4</v>
      </c>
      <c r="AL780" t="s">
        <v>4192</v>
      </c>
      <c r="AM780" t="s">
        <v>4193</v>
      </c>
      <c r="AN780" t="s">
        <v>4194</v>
      </c>
      <c r="AO780" t="s">
        <v>74</v>
      </c>
      <c r="AP780" t="s">
        <v>4979</v>
      </c>
      <c r="AQ780" t="s">
        <v>74</v>
      </c>
      <c r="AR780" t="s">
        <v>4980</v>
      </c>
      <c r="AS780" t="s">
        <v>4981</v>
      </c>
      <c r="AT780" t="s">
        <v>627</v>
      </c>
      <c r="AU780">
        <v>2021</v>
      </c>
      <c r="AV780">
        <v>19</v>
      </c>
      <c r="AW780">
        <v>9</v>
      </c>
      <c r="AX780" t="s">
        <v>74</v>
      </c>
      <c r="AY780" t="s">
        <v>74</v>
      </c>
      <c r="AZ780" t="s">
        <v>74</v>
      </c>
      <c r="BA780" t="s">
        <v>74</v>
      </c>
      <c r="BB780" t="s">
        <v>74</v>
      </c>
      <c r="BC780" t="s">
        <v>74</v>
      </c>
      <c r="BD780">
        <v>510</v>
      </c>
      <c r="BE780" t="s">
        <v>15265</v>
      </c>
      <c r="BF780" t="str">
        <f>HYPERLINK("http://dx.doi.org/10.3390/md19090510","http://dx.doi.org/10.3390/md19090510")</f>
        <v>http://dx.doi.org/10.3390/md19090510</v>
      </c>
      <c r="BG780" t="s">
        <v>74</v>
      </c>
      <c r="BH780" t="s">
        <v>74</v>
      </c>
      <c r="BI780">
        <v>15</v>
      </c>
      <c r="BJ780" t="s">
        <v>4983</v>
      </c>
      <c r="BK780" t="s">
        <v>101</v>
      </c>
      <c r="BL780" t="s">
        <v>4984</v>
      </c>
      <c r="BM780" t="s">
        <v>15266</v>
      </c>
      <c r="BN780">
        <v>34564172</v>
      </c>
      <c r="BO780" t="s">
        <v>1094</v>
      </c>
      <c r="BP780" t="s">
        <v>74</v>
      </c>
      <c r="BQ780" t="s">
        <v>74</v>
      </c>
      <c r="BR780" t="s">
        <v>105</v>
      </c>
      <c r="BS780" t="s">
        <v>15267</v>
      </c>
      <c r="BT780" t="str">
        <f>HYPERLINK("https%3A%2F%2Fwww.webofscience.com%2Fwos%2Fwoscc%2Ffull-record%2FWOS:000700683700001","View Full Record in Web of Science")</f>
        <v>View Full Record in Web of Science</v>
      </c>
    </row>
    <row r="781" spans="1:72" x14ac:dyDescent="0.15">
      <c r="A781" t="s">
        <v>72</v>
      </c>
      <c r="B781" t="s">
        <v>15268</v>
      </c>
      <c r="C781" t="s">
        <v>74</v>
      </c>
      <c r="D781" t="s">
        <v>74</v>
      </c>
      <c r="E781" t="s">
        <v>74</v>
      </c>
      <c r="F781" t="s">
        <v>15269</v>
      </c>
      <c r="G781" t="s">
        <v>74</v>
      </c>
      <c r="H781" t="s">
        <v>74</v>
      </c>
      <c r="I781" t="s">
        <v>15270</v>
      </c>
      <c r="J781" t="s">
        <v>5252</v>
      </c>
      <c r="K781" t="s">
        <v>74</v>
      </c>
      <c r="L781" t="s">
        <v>74</v>
      </c>
      <c r="M781" t="s">
        <v>78</v>
      </c>
      <c r="N781" t="s">
        <v>79</v>
      </c>
      <c r="O781" t="s">
        <v>74</v>
      </c>
      <c r="P781" t="s">
        <v>74</v>
      </c>
      <c r="Q781" t="s">
        <v>74</v>
      </c>
      <c r="R781" t="s">
        <v>74</v>
      </c>
      <c r="S781" t="s">
        <v>74</v>
      </c>
      <c r="T781" t="s">
        <v>15271</v>
      </c>
      <c r="U781" t="s">
        <v>15272</v>
      </c>
      <c r="V781" t="s">
        <v>15273</v>
      </c>
      <c r="W781" t="s">
        <v>15274</v>
      </c>
      <c r="X781" t="s">
        <v>15275</v>
      </c>
      <c r="Y781" t="s">
        <v>15276</v>
      </c>
      <c r="Z781" t="s">
        <v>15277</v>
      </c>
      <c r="AA781" t="s">
        <v>15278</v>
      </c>
      <c r="AB781" t="s">
        <v>15279</v>
      </c>
      <c r="AC781" t="s">
        <v>15280</v>
      </c>
      <c r="AD781" t="s">
        <v>15281</v>
      </c>
      <c r="AE781" t="s">
        <v>15282</v>
      </c>
      <c r="AF781" t="s">
        <v>74</v>
      </c>
      <c r="AG781">
        <v>41</v>
      </c>
      <c r="AH781">
        <v>8</v>
      </c>
      <c r="AI781">
        <v>9</v>
      </c>
      <c r="AJ781">
        <v>2</v>
      </c>
      <c r="AK781">
        <v>13</v>
      </c>
      <c r="AL781" t="s">
        <v>4192</v>
      </c>
      <c r="AM781" t="s">
        <v>4193</v>
      </c>
      <c r="AN781" t="s">
        <v>4194</v>
      </c>
      <c r="AO781" t="s">
        <v>74</v>
      </c>
      <c r="AP781" t="s">
        <v>5264</v>
      </c>
      <c r="AQ781" t="s">
        <v>74</v>
      </c>
      <c r="AR781" t="s">
        <v>5252</v>
      </c>
      <c r="AS781" t="s">
        <v>5265</v>
      </c>
      <c r="AT781" t="s">
        <v>627</v>
      </c>
      <c r="AU781">
        <v>2021</v>
      </c>
      <c r="AV781">
        <v>10</v>
      </c>
      <c r="AW781">
        <v>9</v>
      </c>
      <c r="AX781" t="s">
        <v>74</v>
      </c>
      <c r="AY781" t="s">
        <v>74</v>
      </c>
      <c r="AZ781" t="s">
        <v>74</v>
      </c>
      <c r="BA781" t="s">
        <v>74</v>
      </c>
      <c r="BB781" t="s">
        <v>74</v>
      </c>
      <c r="BC781" t="s">
        <v>74</v>
      </c>
      <c r="BD781">
        <v>1787</v>
      </c>
      <c r="BE781" t="s">
        <v>15283</v>
      </c>
      <c r="BF781" t="str">
        <f>HYPERLINK("http://dx.doi.org/10.3390/plants10091787","http://dx.doi.org/10.3390/plants10091787")</f>
        <v>http://dx.doi.org/10.3390/plants10091787</v>
      </c>
      <c r="BG781" t="s">
        <v>74</v>
      </c>
      <c r="BH781" t="s">
        <v>74</v>
      </c>
      <c r="BI781">
        <v>12</v>
      </c>
      <c r="BJ781" t="s">
        <v>4148</v>
      </c>
      <c r="BK781" t="s">
        <v>101</v>
      </c>
      <c r="BL781" t="s">
        <v>4148</v>
      </c>
      <c r="BM781" t="s">
        <v>15284</v>
      </c>
      <c r="BN781">
        <v>34579321</v>
      </c>
      <c r="BO781" t="s">
        <v>394</v>
      </c>
      <c r="BP781" t="s">
        <v>74</v>
      </c>
      <c r="BQ781" t="s">
        <v>74</v>
      </c>
      <c r="BR781" t="s">
        <v>105</v>
      </c>
      <c r="BS781" t="s">
        <v>15285</v>
      </c>
      <c r="BT781" t="str">
        <f>HYPERLINK("https%3A%2F%2Fwww.webofscience.com%2Fwos%2Fwoscc%2Ffull-record%2FWOS:000701089300001","View Full Record in Web of Science")</f>
        <v>View Full Record in Web of Science</v>
      </c>
    </row>
    <row r="782" spans="1:72" x14ac:dyDescent="0.15">
      <c r="A782" t="s">
        <v>72</v>
      </c>
      <c r="B782" t="s">
        <v>15286</v>
      </c>
      <c r="C782" t="s">
        <v>74</v>
      </c>
      <c r="D782" t="s">
        <v>74</v>
      </c>
      <c r="E782" t="s">
        <v>74</v>
      </c>
      <c r="F782" t="s">
        <v>15287</v>
      </c>
      <c r="G782" t="s">
        <v>74</v>
      </c>
      <c r="H782" t="s">
        <v>74</v>
      </c>
      <c r="I782" t="s">
        <v>15288</v>
      </c>
      <c r="J782" t="s">
        <v>4829</v>
      </c>
      <c r="K782" t="s">
        <v>74</v>
      </c>
      <c r="L782" t="s">
        <v>74</v>
      </c>
      <c r="M782" t="s">
        <v>78</v>
      </c>
      <c r="N782" t="s">
        <v>79</v>
      </c>
      <c r="O782" t="s">
        <v>74</v>
      </c>
      <c r="P782" t="s">
        <v>74</v>
      </c>
      <c r="Q782" t="s">
        <v>74</v>
      </c>
      <c r="R782" t="s">
        <v>74</v>
      </c>
      <c r="S782" t="s">
        <v>74</v>
      </c>
      <c r="T782" t="s">
        <v>15289</v>
      </c>
      <c r="U782" t="s">
        <v>15290</v>
      </c>
      <c r="V782" t="s">
        <v>15291</v>
      </c>
      <c r="W782" t="s">
        <v>15292</v>
      </c>
      <c r="X782" t="s">
        <v>15293</v>
      </c>
      <c r="Y782" t="s">
        <v>15294</v>
      </c>
      <c r="Z782" t="s">
        <v>15295</v>
      </c>
      <c r="AA782" t="s">
        <v>15296</v>
      </c>
      <c r="AB782" t="s">
        <v>15297</v>
      </c>
      <c r="AC782" t="s">
        <v>15298</v>
      </c>
      <c r="AD782" t="s">
        <v>15299</v>
      </c>
      <c r="AE782" t="s">
        <v>15300</v>
      </c>
      <c r="AF782" t="s">
        <v>74</v>
      </c>
      <c r="AG782">
        <v>50</v>
      </c>
      <c r="AH782">
        <v>4</v>
      </c>
      <c r="AI782">
        <v>4</v>
      </c>
      <c r="AJ782">
        <v>9</v>
      </c>
      <c r="AK782">
        <v>57</v>
      </c>
      <c r="AL782" t="s">
        <v>4192</v>
      </c>
      <c r="AM782" t="s">
        <v>4193</v>
      </c>
      <c r="AN782" t="s">
        <v>4194</v>
      </c>
      <c r="AO782" t="s">
        <v>4841</v>
      </c>
      <c r="AP782" t="s">
        <v>74</v>
      </c>
      <c r="AQ782" t="s">
        <v>74</v>
      </c>
      <c r="AR782" t="s">
        <v>4842</v>
      </c>
      <c r="AS782" t="s">
        <v>4843</v>
      </c>
      <c r="AT782" t="s">
        <v>627</v>
      </c>
      <c r="AU782">
        <v>2021</v>
      </c>
      <c r="AV782">
        <v>11</v>
      </c>
      <c r="AW782">
        <v>9</v>
      </c>
      <c r="AX782" t="s">
        <v>74</v>
      </c>
      <c r="AY782" t="s">
        <v>74</v>
      </c>
      <c r="AZ782" t="s">
        <v>74</v>
      </c>
      <c r="BA782" t="s">
        <v>74</v>
      </c>
      <c r="BB782" t="s">
        <v>74</v>
      </c>
      <c r="BC782" t="s">
        <v>74</v>
      </c>
      <c r="BD782">
        <v>2681</v>
      </c>
      <c r="BE782" t="s">
        <v>15301</v>
      </c>
      <c r="BF782" t="str">
        <f>HYPERLINK("http://dx.doi.org/10.3390/ani11092681","http://dx.doi.org/10.3390/ani11092681")</f>
        <v>http://dx.doi.org/10.3390/ani11092681</v>
      </c>
      <c r="BG782" t="s">
        <v>74</v>
      </c>
      <c r="BH782" t="s">
        <v>74</v>
      </c>
      <c r="BI782">
        <v>12</v>
      </c>
      <c r="BJ782" t="s">
        <v>4845</v>
      </c>
      <c r="BK782" t="s">
        <v>101</v>
      </c>
      <c r="BL782" t="s">
        <v>4846</v>
      </c>
      <c r="BM782" t="s">
        <v>15302</v>
      </c>
      <c r="BN782">
        <v>34573647</v>
      </c>
      <c r="BO782" t="s">
        <v>394</v>
      </c>
      <c r="BP782" t="s">
        <v>74</v>
      </c>
      <c r="BQ782" t="s">
        <v>74</v>
      </c>
      <c r="BR782" t="s">
        <v>105</v>
      </c>
      <c r="BS782" t="s">
        <v>15303</v>
      </c>
      <c r="BT782" t="str">
        <f>HYPERLINK("https%3A%2F%2Fwww.webofscience.com%2Fwos%2Fwoscc%2Ffull-record%2FWOS:000699574700001","View Full Record in Web of Science")</f>
        <v>View Full Record in Web of Science</v>
      </c>
    </row>
    <row r="783" spans="1:72" x14ac:dyDescent="0.15">
      <c r="A783" t="s">
        <v>72</v>
      </c>
      <c r="B783" t="s">
        <v>15304</v>
      </c>
      <c r="C783" t="s">
        <v>74</v>
      </c>
      <c r="D783" t="s">
        <v>74</v>
      </c>
      <c r="E783" t="s">
        <v>74</v>
      </c>
      <c r="F783" t="s">
        <v>15305</v>
      </c>
      <c r="G783" t="s">
        <v>74</v>
      </c>
      <c r="H783" t="s">
        <v>74</v>
      </c>
      <c r="I783" t="s">
        <v>15306</v>
      </c>
      <c r="J783" t="s">
        <v>4261</v>
      </c>
      <c r="K783" t="s">
        <v>74</v>
      </c>
      <c r="L783" t="s">
        <v>74</v>
      </c>
      <c r="M783" t="s">
        <v>78</v>
      </c>
      <c r="N783" t="s">
        <v>79</v>
      </c>
      <c r="O783" t="s">
        <v>74</v>
      </c>
      <c r="P783" t="s">
        <v>74</v>
      </c>
      <c r="Q783" t="s">
        <v>74</v>
      </c>
      <c r="R783" t="s">
        <v>74</v>
      </c>
      <c r="S783" t="s">
        <v>74</v>
      </c>
      <c r="T783" t="s">
        <v>15307</v>
      </c>
      <c r="U783" t="s">
        <v>15308</v>
      </c>
      <c r="V783" t="s">
        <v>15309</v>
      </c>
      <c r="W783" t="s">
        <v>15310</v>
      </c>
      <c r="X783" t="s">
        <v>15311</v>
      </c>
      <c r="Y783" t="s">
        <v>15312</v>
      </c>
      <c r="Z783" t="s">
        <v>15313</v>
      </c>
      <c r="AA783" t="s">
        <v>15314</v>
      </c>
      <c r="AB783" t="s">
        <v>15315</v>
      </c>
      <c r="AC783" t="s">
        <v>15316</v>
      </c>
      <c r="AD783" t="s">
        <v>15317</v>
      </c>
      <c r="AE783" t="s">
        <v>15318</v>
      </c>
      <c r="AF783" t="s">
        <v>74</v>
      </c>
      <c r="AG783">
        <v>40</v>
      </c>
      <c r="AH783">
        <v>3</v>
      </c>
      <c r="AI783">
        <v>3</v>
      </c>
      <c r="AJ783">
        <v>1</v>
      </c>
      <c r="AK783">
        <v>11</v>
      </c>
      <c r="AL783" t="s">
        <v>4192</v>
      </c>
      <c r="AM783" t="s">
        <v>4193</v>
      </c>
      <c r="AN783" t="s">
        <v>4194</v>
      </c>
      <c r="AO783" t="s">
        <v>74</v>
      </c>
      <c r="AP783" t="s">
        <v>4274</v>
      </c>
      <c r="AQ783" t="s">
        <v>74</v>
      </c>
      <c r="AR783" t="s">
        <v>4275</v>
      </c>
      <c r="AS783" t="s">
        <v>4276</v>
      </c>
      <c r="AT783" t="s">
        <v>627</v>
      </c>
      <c r="AU783">
        <v>2021</v>
      </c>
      <c r="AV783">
        <v>12</v>
      </c>
      <c r="AW783">
        <v>9</v>
      </c>
      <c r="AX783" t="s">
        <v>74</v>
      </c>
      <c r="AY783" t="s">
        <v>74</v>
      </c>
      <c r="AZ783" t="s">
        <v>74</v>
      </c>
      <c r="BA783" t="s">
        <v>74</v>
      </c>
      <c r="BB783" t="s">
        <v>74</v>
      </c>
      <c r="BC783" t="s">
        <v>74</v>
      </c>
      <c r="BD783">
        <v>1152</v>
      </c>
      <c r="BE783" t="s">
        <v>15319</v>
      </c>
      <c r="BF783" t="str">
        <f>HYPERLINK("http://dx.doi.org/10.3390/atmos12091152","http://dx.doi.org/10.3390/atmos12091152")</f>
        <v>http://dx.doi.org/10.3390/atmos12091152</v>
      </c>
      <c r="BG783" t="s">
        <v>74</v>
      </c>
      <c r="BH783" t="s">
        <v>74</v>
      </c>
      <c r="BI783">
        <v>13</v>
      </c>
      <c r="BJ783" t="s">
        <v>100</v>
      </c>
      <c r="BK783" t="s">
        <v>101</v>
      </c>
      <c r="BL783" t="s">
        <v>102</v>
      </c>
      <c r="BM783" t="s">
        <v>15320</v>
      </c>
      <c r="BN783" t="s">
        <v>74</v>
      </c>
      <c r="BO783" t="s">
        <v>394</v>
      </c>
      <c r="BP783" t="s">
        <v>74</v>
      </c>
      <c r="BQ783" t="s">
        <v>74</v>
      </c>
      <c r="BR783" t="s">
        <v>105</v>
      </c>
      <c r="BS783" t="s">
        <v>15321</v>
      </c>
      <c r="BT783" t="str">
        <f>HYPERLINK("https%3A%2F%2Fwww.webofscience.com%2Fwos%2Fwoscc%2Ffull-record%2FWOS:000699107400001","View Full Record in Web of Science")</f>
        <v>View Full Record in Web of Science</v>
      </c>
    </row>
    <row r="784" spans="1:72" x14ac:dyDescent="0.15">
      <c r="A784" t="s">
        <v>72</v>
      </c>
      <c r="B784" t="s">
        <v>15322</v>
      </c>
      <c r="C784" t="s">
        <v>74</v>
      </c>
      <c r="D784" t="s">
        <v>74</v>
      </c>
      <c r="E784" t="s">
        <v>74</v>
      </c>
      <c r="F784" t="s">
        <v>15323</v>
      </c>
      <c r="G784" t="s">
        <v>74</v>
      </c>
      <c r="H784" t="s">
        <v>74</v>
      </c>
      <c r="I784" t="s">
        <v>15324</v>
      </c>
      <c r="J784" t="s">
        <v>4261</v>
      </c>
      <c r="K784" t="s">
        <v>74</v>
      </c>
      <c r="L784" t="s">
        <v>74</v>
      </c>
      <c r="M784" t="s">
        <v>78</v>
      </c>
      <c r="N784" t="s">
        <v>79</v>
      </c>
      <c r="O784" t="s">
        <v>74</v>
      </c>
      <c r="P784" t="s">
        <v>74</v>
      </c>
      <c r="Q784" t="s">
        <v>74</v>
      </c>
      <c r="R784" t="s">
        <v>74</v>
      </c>
      <c r="S784" t="s">
        <v>74</v>
      </c>
      <c r="T784" t="s">
        <v>15325</v>
      </c>
      <c r="U784" t="s">
        <v>15326</v>
      </c>
      <c r="V784" t="s">
        <v>15327</v>
      </c>
      <c r="W784" t="s">
        <v>15328</v>
      </c>
      <c r="X784" t="s">
        <v>15329</v>
      </c>
      <c r="Y784" t="s">
        <v>15330</v>
      </c>
      <c r="Z784" t="s">
        <v>15331</v>
      </c>
      <c r="AA784" t="s">
        <v>15332</v>
      </c>
      <c r="AB784" t="s">
        <v>15333</v>
      </c>
      <c r="AC784" t="s">
        <v>15334</v>
      </c>
      <c r="AD784" t="s">
        <v>15335</v>
      </c>
      <c r="AE784" t="s">
        <v>15336</v>
      </c>
      <c r="AF784" t="s">
        <v>74</v>
      </c>
      <c r="AG784">
        <v>30</v>
      </c>
      <c r="AH784">
        <v>0</v>
      </c>
      <c r="AI784">
        <v>0</v>
      </c>
      <c r="AJ784">
        <v>0</v>
      </c>
      <c r="AK784">
        <v>3</v>
      </c>
      <c r="AL784" t="s">
        <v>4192</v>
      </c>
      <c r="AM784" t="s">
        <v>4193</v>
      </c>
      <c r="AN784" t="s">
        <v>4194</v>
      </c>
      <c r="AO784" t="s">
        <v>74</v>
      </c>
      <c r="AP784" t="s">
        <v>4274</v>
      </c>
      <c r="AQ784" t="s">
        <v>74</v>
      </c>
      <c r="AR784" t="s">
        <v>4275</v>
      </c>
      <c r="AS784" t="s">
        <v>4276</v>
      </c>
      <c r="AT784" t="s">
        <v>627</v>
      </c>
      <c r="AU784">
        <v>2021</v>
      </c>
      <c r="AV784">
        <v>12</v>
      </c>
      <c r="AW784">
        <v>9</v>
      </c>
      <c r="AX784" t="s">
        <v>74</v>
      </c>
      <c r="AY784" t="s">
        <v>74</v>
      </c>
      <c r="AZ784" t="s">
        <v>74</v>
      </c>
      <c r="BA784" t="s">
        <v>74</v>
      </c>
      <c r="BB784" t="s">
        <v>74</v>
      </c>
      <c r="BC784" t="s">
        <v>74</v>
      </c>
      <c r="BD784">
        <v>1095</v>
      </c>
      <c r="BE784" t="s">
        <v>15337</v>
      </c>
      <c r="BF784" t="str">
        <f>HYPERLINK("http://dx.doi.org/10.3390/atmos12091095","http://dx.doi.org/10.3390/atmos12091095")</f>
        <v>http://dx.doi.org/10.3390/atmos12091095</v>
      </c>
      <c r="BG784" t="s">
        <v>74</v>
      </c>
      <c r="BH784" t="s">
        <v>74</v>
      </c>
      <c r="BI784">
        <v>14</v>
      </c>
      <c r="BJ784" t="s">
        <v>100</v>
      </c>
      <c r="BK784" t="s">
        <v>101</v>
      </c>
      <c r="BL784" t="s">
        <v>102</v>
      </c>
      <c r="BM784" t="s">
        <v>15338</v>
      </c>
      <c r="BN784" t="s">
        <v>74</v>
      </c>
      <c r="BO784" t="s">
        <v>210</v>
      </c>
      <c r="BP784" t="s">
        <v>74</v>
      </c>
      <c r="BQ784" t="s">
        <v>74</v>
      </c>
      <c r="BR784" t="s">
        <v>105</v>
      </c>
      <c r="BS784" t="s">
        <v>15339</v>
      </c>
      <c r="BT784" t="str">
        <f>HYPERLINK("https%3A%2F%2Fwww.webofscience.com%2Fwos%2Fwoscc%2Ffull-record%2FWOS:000699107900001","View Full Record in Web of Science")</f>
        <v>View Full Record in Web of Science</v>
      </c>
    </row>
    <row r="785" spans="1:72" x14ac:dyDescent="0.15">
      <c r="A785" t="s">
        <v>72</v>
      </c>
      <c r="B785" t="s">
        <v>15340</v>
      </c>
      <c r="C785" t="s">
        <v>74</v>
      </c>
      <c r="D785" t="s">
        <v>74</v>
      </c>
      <c r="E785" t="s">
        <v>74</v>
      </c>
      <c r="F785" t="s">
        <v>15341</v>
      </c>
      <c r="G785" t="s">
        <v>74</v>
      </c>
      <c r="H785" t="s">
        <v>74</v>
      </c>
      <c r="I785" t="s">
        <v>15342</v>
      </c>
      <c r="J785" t="s">
        <v>4179</v>
      </c>
      <c r="K785" t="s">
        <v>74</v>
      </c>
      <c r="L785" t="s">
        <v>74</v>
      </c>
      <c r="M785" t="s">
        <v>78</v>
      </c>
      <c r="N785" t="s">
        <v>373</v>
      </c>
      <c r="O785" t="s">
        <v>74</v>
      </c>
      <c r="P785" t="s">
        <v>74</v>
      </c>
      <c r="Q785" t="s">
        <v>74</v>
      </c>
      <c r="R785" t="s">
        <v>74</v>
      </c>
      <c r="S785" t="s">
        <v>74</v>
      </c>
      <c r="T785" t="s">
        <v>15343</v>
      </c>
      <c r="U785" t="s">
        <v>15344</v>
      </c>
      <c r="V785" t="s">
        <v>15345</v>
      </c>
      <c r="W785" t="s">
        <v>15346</v>
      </c>
      <c r="X785" t="s">
        <v>15347</v>
      </c>
      <c r="Y785" t="s">
        <v>15348</v>
      </c>
      <c r="Z785" t="s">
        <v>15349</v>
      </c>
      <c r="AA785" t="s">
        <v>15350</v>
      </c>
      <c r="AB785" t="s">
        <v>15351</v>
      </c>
      <c r="AC785" t="s">
        <v>74</v>
      </c>
      <c r="AD785" t="s">
        <v>74</v>
      </c>
      <c r="AE785" t="s">
        <v>74</v>
      </c>
      <c r="AF785" t="s">
        <v>74</v>
      </c>
      <c r="AG785">
        <v>30</v>
      </c>
      <c r="AH785">
        <v>0</v>
      </c>
      <c r="AI785">
        <v>0</v>
      </c>
      <c r="AJ785">
        <v>0</v>
      </c>
      <c r="AK785">
        <v>4</v>
      </c>
      <c r="AL785" t="s">
        <v>4192</v>
      </c>
      <c r="AM785" t="s">
        <v>4193</v>
      </c>
      <c r="AN785" t="s">
        <v>4194</v>
      </c>
      <c r="AO785" t="s">
        <v>74</v>
      </c>
      <c r="AP785" t="s">
        <v>4195</v>
      </c>
      <c r="AQ785" t="s">
        <v>74</v>
      </c>
      <c r="AR785" t="s">
        <v>4179</v>
      </c>
      <c r="AS785" t="s">
        <v>4196</v>
      </c>
      <c r="AT785" t="s">
        <v>627</v>
      </c>
      <c r="AU785">
        <v>2021</v>
      </c>
      <c r="AV785">
        <v>13</v>
      </c>
      <c r="AW785">
        <v>9</v>
      </c>
      <c r="AX785" t="s">
        <v>74</v>
      </c>
      <c r="AY785" t="s">
        <v>74</v>
      </c>
      <c r="AZ785" t="s">
        <v>74</v>
      </c>
      <c r="BA785" t="s">
        <v>74</v>
      </c>
      <c r="BB785" t="s">
        <v>74</v>
      </c>
      <c r="BC785" t="s">
        <v>74</v>
      </c>
      <c r="BD785">
        <v>402</v>
      </c>
      <c r="BE785" t="s">
        <v>15352</v>
      </c>
      <c r="BF785" t="str">
        <f>HYPERLINK("http://dx.doi.org/10.3390/d13090402","http://dx.doi.org/10.3390/d13090402")</f>
        <v>http://dx.doi.org/10.3390/d13090402</v>
      </c>
      <c r="BG785" t="s">
        <v>74</v>
      </c>
      <c r="BH785" t="s">
        <v>74</v>
      </c>
      <c r="BI785">
        <v>8</v>
      </c>
      <c r="BJ785" t="s">
        <v>605</v>
      </c>
      <c r="BK785" t="s">
        <v>101</v>
      </c>
      <c r="BL785" t="s">
        <v>606</v>
      </c>
      <c r="BM785" t="s">
        <v>15353</v>
      </c>
      <c r="BN785" t="s">
        <v>74</v>
      </c>
      <c r="BO785" t="s">
        <v>210</v>
      </c>
      <c r="BP785" t="s">
        <v>74</v>
      </c>
      <c r="BQ785" t="s">
        <v>74</v>
      </c>
      <c r="BR785" t="s">
        <v>105</v>
      </c>
      <c r="BS785" t="s">
        <v>15354</v>
      </c>
      <c r="BT785" t="str">
        <f>HYPERLINK("https%3A%2F%2Fwww.webofscience.com%2Fwos%2Fwoscc%2Ffull-record%2FWOS:000699182200001","View Full Record in Web of Science")</f>
        <v>View Full Record in Web of Science</v>
      </c>
    </row>
    <row r="786" spans="1:72" x14ac:dyDescent="0.15">
      <c r="A786" t="s">
        <v>72</v>
      </c>
      <c r="B786" t="s">
        <v>15355</v>
      </c>
      <c r="C786" t="s">
        <v>74</v>
      </c>
      <c r="D786" t="s">
        <v>74</v>
      </c>
      <c r="E786" t="s">
        <v>74</v>
      </c>
      <c r="F786" t="s">
        <v>15356</v>
      </c>
      <c r="G786" t="s">
        <v>74</v>
      </c>
      <c r="H786" t="s">
        <v>74</v>
      </c>
      <c r="I786" t="s">
        <v>15357</v>
      </c>
      <c r="J786" t="s">
        <v>4924</v>
      </c>
      <c r="K786" t="s">
        <v>74</v>
      </c>
      <c r="L786" t="s">
        <v>74</v>
      </c>
      <c r="M786" t="s">
        <v>78</v>
      </c>
      <c r="N786" t="s">
        <v>79</v>
      </c>
      <c r="O786" t="s">
        <v>74</v>
      </c>
      <c r="P786" t="s">
        <v>74</v>
      </c>
      <c r="Q786" t="s">
        <v>74</v>
      </c>
      <c r="R786" t="s">
        <v>74</v>
      </c>
      <c r="S786" t="s">
        <v>74</v>
      </c>
      <c r="T786" t="s">
        <v>15358</v>
      </c>
      <c r="U786" t="s">
        <v>15359</v>
      </c>
      <c r="V786" t="s">
        <v>15360</v>
      </c>
      <c r="W786" t="s">
        <v>15361</v>
      </c>
      <c r="X786" t="s">
        <v>15362</v>
      </c>
      <c r="Y786" t="s">
        <v>15363</v>
      </c>
      <c r="Z786" t="s">
        <v>15364</v>
      </c>
      <c r="AA786" t="s">
        <v>15365</v>
      </c>
      <c r="AB786" t="s">
        <v>15366</v>
      </c>
      <c r="AC786" t="s">
        <v>15367</v>
      </c>
      <c r="AD786" t="s">
        <v>15368</v>
      </c>
      <c r="AE786" t="s">
        <v>15369</v>
      </c>
      <c r="AF786" t="s">
        <v>74</v>
      </c>
      <c r="AG786">
        <v>64</v>
      </c>
      <c r="AH786">
        <v>6</v>
      </c>
      <c r="AI786">
        <v>6</v>
      </c>
      <c r="AJ786">
        <v>2</v>
      </c>
      <c r="AK786">
        <v>8</v>
      </c>
      <c r="AL786" t="s">
        <v>4192</v>
      </c>
      <c r="AM786" t="s">
        <v>4193</v>
      </c>
      <c r="AN786" t="s">
        <v>4194</v>
      </c>
      <c r="AO786" t="s">
        <v>74</v>
      </c>
      <c r="AP786" t="s">
        <v>4937</v>
      </c>
      <c r="AQ786" t="s">
        <v>74</v>
      </c>
      <c r="AR786" t="s">
        <v>4924</v>
      </c>
      <c r="AS786" t="s">
        <v>4938</v>
      </c>
      <c r="AT786" t="s">
        <v>627</v>
      </c>
      <c r="AU786">
        <v>2021</v>
      </c>
      <c r="AV786">
        <v>11</v>
      </c>
      <c r="AW786">
        <v>9</v>
      </c>
      <c r="AX786" t="s">
        <v>74</v>
      </c>
      <c r="AY786" t="s">
        <v>74</v>
      </c>
      <c r="AZ786" t="s">
        <v>74</v>
      </c>
      <c r="BA786" t="s">
        <v>74</v>
      </c>
      <c r="BB786" t="s">
        <v>74</v>
      </c>
      <c r="BC786" t="s">
        <v>74</v>
      </c>
      <c r="BD786">
        <v>368</v>
      </c>
      <c r="BE786" t="s">
        <v>15370</v>
      </c>
      <c r="BF786" t="str">
        <f>HYPERLINK("http://dx.doi.org/10.3390/geosciences11090368","http://dx.doi.org/10.3390/geosciences11090368")</f>
        <v>http://dx.doi.org/10.3390/geosciences11090368</v>
      </c>
      <c r="BG786" t="s">
        <v>74</v>
      </c>
      <c r="BH786" t="s">
        <v>74</v>
      </c>
      <c r="BI786">
        <v>18</v>
      </c>
      <c r="BJ786" t="s">
        <v>236</v>
      </c>
      <c r="BK786" t="s">
        <v>1629</v>
      </c>
      <c r="BL786" t="s">
        <v>237</v>
      </c>
      <c r="BM786" t="s">
        <v>15371</v>
      </c>
      <c r="BN786" t="s">
        <v>74</v>
      </c>
      <c r="BO786" t="s">
        <v>2114</v>
      </c>
      <c r="BP786" t="s">
        <v>74</v>
      </c>
      <c r="BQ786" t="s">
        <v>74</v>
      </c>
      <c r="BR786" t="s">
        <v>105</v>
      </c>
      <c r="BS786" t="s">
        <v>15372</v>
      </c>
      <c r="BT786" t="str">
        <f>HYPERLINK("https%3A%2F%2Fwww.webofscience.com%2Fwos%2Fwoscc%2Ffull-record%2FWOS:000699613300001","View Full Record in Web of Science")</f>
        <v>View Full Record in Web of Science</v>
      </c>
    </row>
    <row r="787" spans="1:72" x14ac:dyDescent="0.15">
      <c r="A787" t="s">
        <v>72</v>
      </c>
      <c r="B787" t="s">
        <v>15373</v>
      </c>
      <c r="C787" t="s">
        <v>74</v>
      </c>
      <c r="D787" t="s">
        <v>74</v>
      </c>
      <c r="E787" t="s">
        <v>74</v>
      </c>
      <c r="F787" t="s">
        <v>15374</v>
      </c>
      <c r="G787" t="s">
        <v>74</v>
      </c>
      <c r="H787" t="s">
        <v>74</v>
      </c>
      <c r="I787" t="s">
        <v>15375</v>
      </c>
      <c r="J787" t="s">
        <v>15376</v>
      </c>
      <c r="K787" t="s">
        <v>74</v>
      </c>
      <c r="L787" t="s">
        <v>74</v>
      </c>
      <c r="M787" t="s">
        <v>78</v>
      </c>
      <c r="N787" t="s">
        <v>79</v>
      </c>
      <c r="O787" t="s">
        <v>74</v>
      </c>
      <c r="P787" t="s">
        <v>74</v>
      </c>
      <c r="Q787" t="s">
        <v>74</v>
      </c>
      <c r="R787" t="s">
        <v>74</v>
      </c>
      <c r="S787" t="s">
        <v>74</v>
      </c>
      <c r="T787" t="s">
        <v>15377</v>
      </c>
      <c r="U787" t="s">
        <v>15378</v>
      </c>
      <c r="V787" t="s">
        <v>15379</v>
      </c>
      <c r="W787" t="s">
        <v>15380</v>
      </c>
      <c r="X787" t="s">
        <v>15381</v>
      </c>
      <c r="Y787" t="s">
        <v>15382</v>
      </c>
      <c r="Z787" t="s">
        <v>15383</v>
      </c>
      <c r="AA787" t="s">
        <v>15384</v>
      </c>
      <c r="AB787" t="s">
        <v>15385</v>
      </c>
      <c r="AC787" t="s">
        <v>15386</v>
      </c>
      <c r="AD787" t="s">
        <v>15387</v>
      </c>
      <c r="AE787" t="s">
        <v>15388</v>
      </c>
      <c r="AF787" t="s">
        <v>74</v>
      </c>
      <c r="AG787">
        <v>42</v>
      </c>
      <c r="AH787">
        <v>1</v>
      </c>
      <c r="AI787">
        <v>1</v>
      </c>
      <c r="AJ787">
        <v>5</v>
      </c>
      <c r="AK787">
        <v>13</v>
      </c>
      <c r="AL787" t="s">
        <v>4192</v>
      </c>
      <c r="AM787" t="s">
        <v>4193</v>
      </c>
      <c r="AN787" t="s">
        <v>4194</v>
      </c>
      <c r="AO787" t="s">
        <v>74</v>
      </c>
      <c r="AP787" t="s">
        <v>15389</v>
      </c>
      <c r="AQ787" t="s">
        <v>74</v>
      </c>
      <c r="AR787" t="s">
        <v>15390</v>
      </c>
      <c r="AS787" t="s">
        <v>15391</v>
      </c>
      <c r="AT787" t="s">
        <v>627</v>
      </c>
      <c r="AU787">
        <v>2021</v>
      </c>
      <c r="AV787">
        <v>18</v>
      </c>
      <c r="AW787">
        <v>18</v>
      </c>
      <c r="AX787" t="s">
        <v>74</v>
      </c>
      <c r="AY787" t="s">
        <v>74</v>
      </c>
      <c r="AZ787" t="s">
        <v>74</v>
      </c>
      <c r="BA787" t="s">
        <v>74</v>
      </c>
      <c r="BB787" t="s">
        <v>74</v>
      </c>
      <c r="BC787" t="s">
        <v>74</v>
      </c>
      <c r="BD787">
        <v>9918</v>
      </c>
      <c r="BE787" t="s">
        <v>15392</v>
      </c>
      <c r="BF787" t="str">
        <f>HYPERLINK("http://dx.doi.org/10.3390/ijerph18189918","http://dx.doi.org/10.3390/ijerph18189918")</f>
        <v>http://dx.doi.org/10.3390/ijerph18189918</v>
      </c>
      <c r="BG787" t="s">
        <v>74</v>
      </c>
      <c r="BH787" t="s">
        <v>74</v>
      </c>
      <c r="BI787">
        <v>10</v>
      </c>
      <c r="BJ787" t="s">
        <v>12528</v>
      </c>
      <c r="BK787" t="s">
        <v>207</v>
      </c>
      <c r="BL787" t="s">
        <v>12529</v>
      </c>
      <c r="BM787" t="s">
        <v>15393</v>
      </c>
      <c r="BN787">
        <v>34574839</v>
      </c>
      <c r="BO787" t="s">
        <v>1094</v>
      </c>
      <c r="BP787" t="s">
        <v>74</v>
      </c>
      <c r="BQ787" t="s">
        <v>74</v>
      </c>
      <c r="BR787" t="s">
        <v>105</v>
      </c>
      <c r="BS787" t="s">
        <v>15394</v>
      </c>
      <c r="BT787" t="str">
        <f>HYPERLINK("https%3A%2F%2Fwww.webofscience.com%2Fwos%2Fwoscc%2Ffull-record%2FWOS:000699712200001","View Full Record in Web of Science")</f>
        <v>View Full Record in Web of Science</v>
      </c>
    </row>
    <row r="788" spans="1:72" x14ac:dyDescent="0.15">
      <c r="A788" t="s">
        <v>72</v>
      </c>
      <c r="B788" t="s">
        <v>15395</v>
      </c>
      <c r="C788" t="s">
        <v>74</v>
      </c>
      <c r="D788" t="s">
        <v>74</v>
      </c>
      <c r="E788" t="s">
        <v>74</v>
      </c>
      <c r="F788" t="s">
        <v>15396</v>
      </c>
      <c r="G788" t="s">
        <v>74</v>
      </c>
      <c r="H788" t="s">
        <v>74</v>
      </c>
      <c r="I788" t="s">
        <v>15397</v>
      </c>
      <c r="J788" t="s">
        <v>5111</v>
      </c>
      <c r="K788" t="s">
        <v>74</v>
      </c>
      <c r="L788" t="s">
        <v>74</v>
      </c>
      <c r="M788" t="s">
        <v>78</v>
      </c>
      <c r="N788" t="s">
        <v>79</v>
      </c>
      <c r="O788" t="s">
        <v>74</v>
      </c>
      <c r="P788" t="s">
        <v>74</v>
      </c>
      <c r="Q788" t="s">
        <v>74</v>
      </c>
      <c r="R788" t="s">
        <v>74</v>
      </c>
      <c r="S788" t="s">
        <v>74</v>
      </c>
      <c r="T788" t="s">
        <v>15398</v>
      </c>
      <c r="U788" t="s">
        <v>15399</v>
      </c>
      <c r="V788" t="s">
        <v>15400</v>
      </c>
      <c r="W788" t="s">
        <v>15401</v>
      </c>
      <c r="X788" t="s">
        <v>15402</v>
      </c>
      <c r="Y788" t="s">
        <v>15403</v>
      </c>
      <c r="Z788" t="s">
        <v>15404</v>
      </c>
      <c r="AA788" t="s">
        <v>15405</v>
      </c>
      <c r="AB788" t="s">
        <v>15406</v>
      </c>
      <c r="AC788" t="s">
        <v>15407</v>
      </c>
      <c r="AD788" t="s">
        <v>15408</v>
      </c>
      <c r="AE788" t="s">
        <v>15409</v>
      </c>
      <c r="AF788" t="s">
        <v>74</v>
      </c>
      <c r="AG788">
        <v>242</v>
      </c>
      <c r="AH788">
        <v>2</v>
      </c>
      <c r="AI788">
        <v>2</v>
      </c>
      <c r="AJ788">
        <v>1</v>
      </c>
      <c r="AK788">
        <v>9</v>
      </c>
      <c r="AL788" t="s">
        <v>5120</v>
      </c>
      <c r="AM788" t="s">
        <v>5121</v>
      </c>
      <c r="AN788" t="s">
        <v>5122</v>
      </c>
      <c r="AO788" t="s">
        <v>5123</v>
      </c>
      <c r="AP788" t="s">
        <v>5124</v>
      </c>
      <c r="AQ788" t="s">
        <v>74</v>
      </c>
      <c r="AR788" t="s">
        <v>5125</v>
      </c>
      <c r="AS788" t="s">
        <v>5126</v>
      </c>
      <c r="AT788" t="s">
        <v>627</v>
      </c>
      <c r="AU788">
        <v>2021</v>
      </c>
      <c r="AV788">
        <v>42</v>
      </c>
      <c r="AW788">
        <v>12</v>
      </c>
      <c r="AX788" t="s">
        <v>74</v>
      </c>
      <c r="AY788" t="s">
        <v>74</v>
      </c>
      <c r="AZ788" t="s">
        <v>74</v>
      </c>
      <c r="BA788" t="s">
        <v>74</v>
      </c>
      <c r="BB788">
        <v>173</v>
      </c>
      <c r="BC788">
        <v>216</v>
      </c>
      <c r="BD788" t="s">
        <v>74</v>
      </c>
      <c r="BE788" t="s">
        <v>15410</v>
      </c>
      <c r="BF788" t="str">
        <f>HYPERLINK("http://dx.doi.org/10.5252/cryptogamie-algologie2021v42a12","http://dx.doi.org/10.5252/cryptogamie-algologie2021v42a12")</f>
        <v>http://dx.doi.org/10.5252/cryptogamie-algologie2021v42a12</v>
      </c>
      <c r="BG788" t="s">
        <v>74</v>
      </c>
      <c r="BH788" t="s">
        <v>74</v>
      </c>
      <c r="BI788">
        <v>44</v>
      </c>
      <c r="BJ788" t="s">
        <v>2215</v>
      </c>
      <c r="BK788" t="s">
        <v>101</v>
      </c>
      <c r="BL788" t="s">
        <v>2215</v>
      </c>
      <c r="BM788" t="s">
        <v>15411</v>
      </c>
      <c r="BN788" t="s">
        <v>74</v>
      </c>
      <c r="BO788" t="s">
        <v>419</v>
      </c>
      <c r="BP788" t="s">
        <v>74</v>
      </c>
      <c r="BQ788" t="s">
        <v>74</v>
      </c>
      <c r="BR788" t="s">
        <v>105</v>
      </c>
      <c r="BS788" t="s">
        <v>15412</v>
      </c>
      <c r="BT788" t="str">
        <f>HYPERLINK("https%3A%2F%2Fwww.webofscience.com%2Fwos%2Fwoscc%2Ffull-record%2FWOS:000696173600001","View Full Record in Web of Science")</f>
        <v>View Full Record in Web of Science</v>
      </c>
    </row>
    <row r="789" spans="1:72" x14ac:dyDescent="0.15">
      <c r="A789" t="s">
        <v>72</v>
      </c>
      <c r="B789" t="s">
        <v>15413</v>
      </c>
      <c r="C789" t="s">
        <v>74</v>
      </c>
      <c r="D789" t="s">
        <v>74</v>
      </c>
      <c r="E789" t="s">
        <v>74</v>
      </c>
      <c r="F789" t="s">
        <v>15414</v>
      </c>
      <c r="G789" t="s">
        <v>74</v>
      </c>
      <c r="H789" t="s">
        <v>74</v>
      </c>
      <c r="I789" t="s">
        <v>15415</v>
      </c>
      <c r="J789" t="s">
        <v>10243</v>
      </c>
      <c r="K789" t="s">
        <v>74</v>
      </c>
      <c r="L789" t="s">
        <v>74</v>
      </c>
      <c r="M789" t="s">
        <v>78</v>
      </c>
      <c r="N789" t="s">
        <v>79</v>
      </c>
      <c r="O789" t="s">
        <v>74</v>
      </c>
      <c r="P789" t="s">
        <v>74</v>
      </c>
      <c r="Q789" t="s">
        <v>74</v>
      </c>
      <c r="R789" t="s">
        <v>74</v>
      </c>
      <c r="S789" t="s">
        <v>74</v>
      </c>
      <c r="T789" t="s">
        <v>74</v>
      </c>
      <c r="U789" t="s">
        <v>15416</v>
      </c>
      <c r="V789" t="s">
        <v>15417</v>
      </c>
      <c r="W789" t="s">
        <v>15418</v>
      </c>
      <c r="X789" t="s">
        <v>15419</v>
      </c>
      <c r="Y789" t="s">
        <v>15420</v>
      </c>
      <c r="Z789" t="s">
        <v>15421</v>
      </c>
      <c r="AA789" t="s">
        <v>15422</v>
      </c>
      <c r="AB789" t="s">
        <v>15423</v>
      </c>
      <c r="AC789" t="s">
        <v>15424</v>
      </c>
      <c r="AD789" t="s">
        <v>15425</v>
      </c>
      <c r="AE789" t="s">
        <v>15426</v>
      </c>
      <c r="AF789" t="s">
        <v>74</v>
      </c>
      <c r="AG789">
        <v>106</v>
      </c>
      <c r="AH789">
        <v>10</v>
      </c>
      <c r="AI789">
        <v>10</v>
      </c>
      <c r="AJ789">
        <v>1</v>
      </c>
      <c r="AK789">
        <v>12</v>
      </c>
      <c r="AL789" t="s">
        <v>3835</v>
      </c>
      <c r="AM789" t="s">
        <v>438</v>
      </c>
      <c r="AN789" t="s">
        <v>3836</v>
      </c>
      <c r="AO789" t="s">
        <v>10255</v>
      </c>
      <c r="AP789" t="s">
        <v>74</v>
      </c>
      <c r="AQ789" t="s">
        <v>74</v>
      </c>
      <c r="AR789" t="s">
        <v>10256</v>
      </c>
      <c r="AS789" t="s">
        <v>10257</v>
      </c>
      <c r="AT789" t="s">
        <v>627</v>
      </c>
      <c r="AU789">
        <v>2021</v>
      </c>
      <c r="AV789">
        <v>7</v>
      </c>
      <c r="AW789">
        <v>38</v>
      </c>
      <c r="AX789" t="s">
        <v>74</v>
      </c>
      <c r="AY789" t="s">
        <v>74</v>
      </c>
      <c r="AZ789" t="s">
        <v>74</v>
      </c>
      <c r="BA789" t="s">
        <v>74</v>
      </c>
      <c r="BB789" t="s">
        <v>74</v>
      </c>
      <c r="BC789" t="s">
        <v>74</v>
      </c>
      <c r="BD789" t="s">
        <v>15427</v>
      </c>
      <c r="BE789" t="s">
        <v>15428</v>
      </c>
      <c r="BF789" t="str">
        <f>HYPERLINK("http://dx.doi.org/10.1126/sciadv.abh3233","http://dx.doi.org/10.1126/sciadv.abh3233")</f>
        <v>http://dx.doi.org/10.1126/sciadv.abh3233</v>
      </c>
      <c r="BG789" t="s">
        <v>74</v>
      </c>
      <c r="BH789" t="s">
        <v>74</v>
      </c>
      <c r="BI789">
        <v>14</v>
      </c>
      <c r="BJ789" t="s">
        <v>126</v>
      </c>
      <c r="BK789" t="s">
        <v>101</v>
      </c>
      <c r="BL789" t="s">
        <v>127</v>
      </c>
      <c r="BM789" t="s">
        <v>15429</v>
      </c>
      <c r="BN789">
        <v>34524843</v>
      </c>
      <c r="BO789" t="s">
        <v>1248</v>
      </c>
      <c r="BP789" t="s">
        <v>74</v>
      </c>
      <c r="BQ789" t="s">
        <v>74</v>
      </c>
      <c r="BR789" t="s">
        <v>105</v>
      </c>
      <c r="BS789" t="s">
        <v>15430</v>
      </c>
      <c r="BT789" t="str">
        <f>HYPERLINK("https%3A%2F%2Fwww.webofscience.com%2Fwos%2Fwoscc%2Ffull-record%2FWOS:000697350600027","View Full Record in Web of Science")</f>
        <v>View Full Record in Web of Science</v>
      </c>
    </row>
    <row r="790" spans="1:72" x14ac:dyDescent="0.15">
      <c r="A790" t="s">
        <v>72</v>
      </c>
      <c r="B790" t="s">
        <v>15431</v>
      </c>
      <c r="C790" t="s">
        <v>74</v>
      </c>
      <c r="D790" t="s">
        <v>74</v>
      </c>
      <c r="E790" t="s">
        <v>74</v>
      </c>
      <c r="F790" t="s">
        <v>15432</v>
      </c>
      <c r="G790" t="s">
        <v>74</v>
      </c>
      <c r="H790" t="s">
        <v>74</v>
      </c>
      <c r="I790" t="s">
        <v>15433</v>
      </c>
      <c r="J790" t="s">
        <v>2047</v>
      </c>
      <c r="K790" t="s">
        <v>74</v>
      </c>
      <c r="L790" t="s">
        <v>74</v>
      </c>
      <c r="M790" t="s">
        <v>78</v>
      </c>
      <c r="N790" t="s">
        <v>79</v>
      </c>
      <c r="O790" t="s">
        <v>74</v>
      </c>
      <c r="P790" t="s">
        <v>74</v>
      </c>
      <c r="Q790" t="s">
        <v>74</v>
      </c>
      <c r="R790" t="s">
        <v>74</v>
      </c>
      <c r="S790" t="s">
        <v>74</v>
      </c>
      <c r="T790" t="s">
        <v>15434</v>
      </c>
      <c r="U790" t="s">
        <v>15435</v>
      </c>
      <c r="V790" t="s">
        <v>15436</v>
      </c>
      <c r="W790" t="s">
        <v>15437</v>
      </c>
      <c r="X790" t="s">
        <v>15438</v>
      </c>
      <c r="Y790" t="s">
        <v>15439</v>
      </c>
      <c r="Z790" t="s">
        <v>15440</v>
      </c>
      <c r="AA790" t="s">
        <v>15441</v>
      </c>
      <c r="AB790" t="s">
        <v>15442</v>
      </c>
      <c r="AC790" t="s">
        <v>15443</v>
      </c>
      <c r="AD790" t="s">
        <v>15444</v>
      </c>
      <c r="AE790" t="s">
        <v>15445</v>
      </c>
      <c r="AF790" t="s">
        <v>74</v>
      </c>
      <c r="AG790">
        <v>63</v>
      </c>
      <c r="AH790">
        <v>7</v>
      </c>
      <c r="AI790">
        <v>7</v>
      </c>
      <c r="AJ790">
        <v>1</v>
      </c>
      <c r="AK790">
        <v>17</v>
      </c>
      <c r="AL790" t="s">
        <v>847</v>
      </c>
      <c r="AM790" t="s">
        <v>848</v>
      </c>
      <c r="AN790" t="s">
        <v>849</v>
      </c>
      <c r="AO790" t="s">
        <v>2059</v>
      </c>
      <c r="AP790" t="s">
        <v>2060</v>
      </c>
      <c r="AQ790" t="s">
        <v>74</v>
      </c>
      <c r="AR790" t="s">
        <v>2061</v>
      </c>
      <c r="AS790" t="s">
        <v>2062</v>
      </c>
      <c r="AT790" t="s">
        <v>98</v>
      </c>
      <c r="AU790">
        <v>2021</v>
      </c>
      <c r="AV790">
        <v>224</v>
      </c>
      <c r="AW790" t="s">
        <v>74</v>
      </c>
      <c r="AX790" t="s">
        <v>74</v>
      </c>
      <c r="AY790" t="s">
        <v>74</v>
      </c>
      <c r="AZ790" t="s">
        <v>74</v>
      </c>
      <c r="BA790" t="s">
        <v>74</v>
      </c>
      <c r="BB790" t="s">
        <v>74</v>
      </c>
      <c r="BC790" t="s">
        <v>74</v>
      </c>
      <c r="BD790">
        <v>103625</v>
      </c>
      <c r="BE790" t="s">
        <v>15446</v>
      </c>
      <c r="BF790" t="str">
        <f>HYPERLINK("http://dx.doi.org/10.1016/j.jmarsys.2021.103625","http://dx.doi.org/10.1016/j.jmarsys.2021.103625")</f>
        <v>http://dx.doi.org/10.1016/j.jmarsys.2021.103625</v>
      </c>
      <c r="BG790" t="s">
        <v>74</v>
      </c>
      <c r="BH790" t="s">
        <v>11189</v>
      </c>
      <c r="BI790">
        <v>10</v>
      </c>
      <c r="BJ790" t="s">
        <v>2064</v>
      </c>
      <c r="BK790" t="s">
        <v>101</v>
      </c>
      <c r="BL790" t="s">
        <v>2065</v>
      </c>
      <c r="BM790" t="s">
        <v>15447</v>
      </c>
      <c r="BN790" t="s">
        <v>74</v>
      </c>
      <c r="BO790" t="s">
        <v>8343</v>
      </c>
      <c r="BP790" t="s">
        <v>74</v>
      </c>
      <c r="BQ790" t="s">
        <v>74</v>
      </c>
      <c r="BR790" t="s">
        <v>105</v>
      </c>
      <c r="BS790" t="s">
        <v>15448</v>
      </c>
      <c r="BT790" t="str">
        <f>HYPERLINK("https%3A%2F%2Fwww.webofscience.com%2Fwos%2Fwoscc%2Ffull-record%2FWOS:000696307800003","View Full Record in Web of Science")</f>
        <v>View Full Record in Web of Science</v>
      </c>
    </row>
    <row r="791" spans="1:72" x14ac:dyDescent="0.15">
      <c r="A791" t="s">
        <v>72</v>
      </c>
      <c r="B791" t="s">
        <v>15449</v>
      </c>
      <c r="C791" t="s">
        <v>74</v>
      </c>
      <c r="D791" t="s">
        <v>74</v>
      </c>
      <c r="E791" t="s">
        <v>74</v>
      </c>
      <c r="F791" t="s">
        <v>15450</v>
      </c>
      <c r="G791" t="s">
        <v>74</v>
      </c>
      <c r="H791" t="s">
        <v>74</v>
      </c>
      <c r="I791" t="s">
        <v>15451</v>
      </c>
      <c r="J791" t="s">
        <v>15452</v>
      </c>
      <c r="K791" t="s">
        <v>74</v>
      </c>
      <c r="L791" t="s">
        <v>74</v>
      </c>
      <c r="M791" t="s">
        <v>78</v>
      </c>
      <c r="N791" t="s">
        <v>373</v>
      </c>
      <c r="O791" t="s">
        <v>74</v>
      </c>
      <c r="P791" t="s">
        <v>74</v>
      </c>
      <c r="Q791" t="s">
        <v>74</v>
      </c>
      <c r="R791" t="s">
        <v>74</v>
      </c>
      <c r="S791" t="s">
        <v>74</v>
      </c>
      <c r="T791" t="s">
        <v>15453</v>
      </c>
      <c r="U791" t="s">
        <v>15454</v>
      </c>
      <c r="V791" t="s">
        <v>15455</v>
      </c>
      <c r="W791" t="s">
        <v>15456</v>
      </c>
      <c r="X791" t="s">
        <v>15457</v>
      </c>
      <c r="Y791" t="s">
        <v>15458</v>
      </c>
      <c r="Z791" t="s">
        <v>15459</v>
      </c>
      <c r="AA791" t="s">
        <v>15460</v>
      </c>
      <c r="AB791" t="s">
        <v>15461</v>
      </c>
      <c r="AC791" t="s">
        <v>15462</v>
      </c>
      <c r="AD791" t="s">
        <v>15463</v>
      </c>
      <c r="AE791" t="s">
        <v>15464</v>
      </c>
      <c r="AF791" t="s">
        <v>74</v>
      </c>
      <c r="AG791">
        <v>75</v>
      </c>
      <c r="AH791">
        <v>0</v>
      </c>
      <c r="AI791">
        <v>0</v>
      </c>
      <c r="AJ791">
        <v>14</v>
      </c>
      <c r="AK791">
        <v>45</v>
      </c>
      <c r="AL791" t="s">
        <v>169</v>
      </c>
      <c r="AM791" t="s">
        <v>170</v>
      </c>
      <c r="AN791" t="s">
        <v>171</v>
      </c>
      <c r="AO791" t="s">
        <v>15465</v>
      </c>
      <c r="AP791" t="s">
        <v>15466</v>
      </c>
      <c r="AQ791" t="s">
        <v>74</v>
      </c>
      <c r="AR791" t="s">
        <v>15467</v>
      </c>
      <c r="AS791" t="s">
        <v>15468</v>
      </c>
      <c r="AT791" t="s">
        <v>627</v>
      </c>
      <c r="AU791">
        <v>2021</v>
      </c>
      <c r="AV791">
        <v>80</v>
      </c>
      <c r="AW791">
        <v>18</v>
      </c>
      <c r="AX791" t="s">
        <v>74</v>
      </c>
      <c r="AY791" t="s">
        <v>74</v>
      </c>
      <c r="AZ791" t="s">
        <v>74</v>
      </c>
      <c r="BA791" t="s">
        <v>74</v>
      </c>
      <c r="BB791" t="s">
        <v>74</v>
      </c>
      <c r="BC791" t="s">
        <v>74</v>
      </c>
      <c r="BD791">
        <v>648</v>
      </c>
      <c r="BE791" t="s">
        <v>15469</v>
      </c>
      <c r="BF791" t="str">
        <f>HYPERLINK("http://dx.doi.org/10.1007/s12665-021-09946-3","http://dx.doi.org/10.1007/s12665-021-09946-3")</f>
        <v>http://dx.doi.org/10.1007/s12665-021-09946-3</v>
      </c>
      <c r="BG791" t="s">
        <v>74</v>
      </c>
      <c r="BH791" t="s">
        <v>74</v>
      </c>
      <c r="BI791">
        <v>9</v>
      </c>
      <c r="BJ791" t="s">
        <v>15470</v>
      </c>
      <c r="BK791" t="s">
        <v>101</v>
      </c>
      <c r="BL791" t="s">
        <v>15471</v>
      </c>
      <c r="BM791" t="s">
        <v>15472</v>
      </c>
      <c r="BN791" t="s">
        <v>74</v>
      </c>
      <c r="BO791" t="s">
        <v>74</v>
      </c>
      <c r="BP791" t="s">
        <v>74</v>
      </c>
      <c r="BQ791" t="s">
        <v>74</v>
      </c>
      <c r="BR791" t="s">
        <v>105</v>
      </c>
      <c r="BS791" t="s">
        <v>15473</v>
      </c>
      <c r="BT791" t="str">
        <f>HYPERLINK("https%3A%2F%2Fwww.webofscience.com%2Fwos%2Fwoscc%2Ffull-record%2FWOS:000696552700004","View Full Record in Web of Science")</f>
        <v>View Full Record in Web of Science</v>
      </c>
    </row>
    <row r="792" spans="1:72" x14ac:dyDescent="0.15">
      <c r="A792" t="s">
        <v>72</v>
      </c>
      <c r="B792" t="s">
        <v>182</v>
      </c>
      <c r="C792" t="s">
        <v>74</v>
      </c>
      <c r="D792" t="s">
        <v>74</v>
      </c>
      <c r="E792" t="s">
        <v>74</v>
      </c>
      <c r="F792" t="s">
        <v>15474</v>
      </c>
      <c r="G792" t="s">
        <v>74</v>
      </c>
      <c r="H792" t="s">
        <v>74</v>
      </c>
      <c r="I792" t="s">
        <v>15475</v>
      </c>
      <c r="J792" t="s">
        <v>15476</v>
      </c>
      <c r="K792" t="s">
        <v>74</v>
      </c>
      <c r="L792" t="s">
        <v>74</v>
      </c>
      <c r="M792" t="s">
        <v>78</v>
      </c>
      <c r="N792" t="s">
        <v>79</v>
      </c>
      <c r="O792" t="s">
        <v>74</v>
      </c>
      <c r="P792" t="s">
        <v>74</v>
      </c>
      <c r="Q792" t="s">
        <v>74</v>
      </c>
      <c r="R792" t="s">
        <v>74</v>
      </c>
      <c r="S792" t="s">
        <v>74</v>
      </c>
      <c r="T792" t="s">
        <v>74</v>
      </c>
      <c r="U792" t="s">
        <v>15477</v>
      </c>
      <c r="V792" t="s">
        <v>15478</v>
      </c>
      <c r="W792" t="s">
        <v>15479</v>
      </c>
      <c r="X792" t="s">
        <v>190</v>
      </c>
      <c r="Y792" t="s">
        <v>15480</v>
      </c>
      <c r="Z792" t="s">
        <v>15481</v>
      </c>
      <c r="AA792" t="s">
        <v>193</v>
      </c>
      <c r="AB792" t="s">
        <v>15482</v>
      </c>
      <c r="AC792" t="s">
        <v>15483</v>
      </c>
      <c r="AD792" t="s">
        <v>15484</v>
      </c>
      <c r="AE792" t="s">
        <v>15485</v>
      </c>
      <c r="AF792" t="s">
        <v>74</v>
      </c>
      <c r="AG792">
        <v>65</v>
      </c>
      <c r="AH792">
        <v>6</v>
      </c>
      <c r="AI792">
        <v>6</v>
      </c>
      <c r="AJ792">
        <v>1</v>
      </c>
      <c r="AK792">
        <v>4</v>
      </c>
      <c r="AL792" t="s">
        <v>15486</v>
      </c>
      <c r="AM792" t="s">
        <v>15487</v>
      </c>
      <c r="AN792" t="s">
        <v>15488</v>
      </c>
      <c r="AO792" t="s">
        <v>15489</v>
      </c>
      <c r="AP792" t="s">
        <v>15490</v>
      </c>
      <c r="AQ792" t="s">
        <v>74</v>
      </c>
      <c r="AR792" t="s">
        <v>15491</v>
      </c>
      <c r="AS792" t="s">
        <v>15492</v>
      </c>
      <c r="AT792" t="s">
        <v>627</v>
      </c>
      <c r="AU792">
        <v>2021</v>
      </c>
      <c r="AV792">
        <v>124</v>
      </c>
      <c r="AW792">
        <v>3</v>
      </c>
      <c r="AX792" t="s">
        <v>74</v>
      </c>
      <c r="AY792" t="s">
        <v>74</v>
      </c>
      <c r="AZ792" t="s">
        <v>74</v>
      </c>
      <c r="BA792" t="s">
        <v>74</v>
      </c>
      <c r="BB792">
        <v>627</v>
      </c>
      <c r="BC792">
        <v>638</v>
      </c>
      <c r="BD792" t="s">
        <v>74</v>
      </c>
      <c r="BE792" t="s">
        <v>15493</v>
      </c>
      <c r="BF792" t="str">
        <f>HYPERLINK("http://dx.doi.org/10.25131/sajg.124.0014","http://dx.doi.org/10.25131/sajg.124.0014")</f>
        <v>http://dx.doi.org/10.25131/sajg.124.0014</v>
      </c>
      <c r="BG792" t="s">
        <v>74</v>
      </c>
      <c r="BH792" t="s">
        <v>74</v>
      </c>
      <c r="BI792">
        <v>12</v>
      </c>
      <c r="BJ792" t="s">
        <v>237</v>
      </c>
      <c r="BK792" t="s">
        <v>101</v>
      </c>
      <c r="BL792" t="s">
        <v>237</v>
      </c>
      <c r="BM792" t="s">
        <v>15494</v>
      </c>
      <c r="BN792" t="s">
        <v>74</v>
      </c>
      <c r="BO792" t="s">
        <v>74</v>
      </c>
      <c r="BP792" t="s">
        <v>74</v>
      </c>
      <c r="BQ792" t="s">
        <v>74</v>
      </c>
      <c r="BR792" t="s">
        <v>105</v>
      </c>
      <c r="BS792" t="s">
        <v>15495</v>
      </c>
      <c r="BT792" t="str">
        <f>HYPERLINK("https%3A%2F%2Fwww.webofscience.com%2Fwos%2Fwoscc%2Ffull-record%2FWOS:000696701300004","View Full Record in Web of Science")</f>
        <v>View Full Record in Web of Science</v>
      </c>
    </row>
    <row r="793" spans="1:72" x14ac:dyDescent="0.15">
      <c r="A793" t="s">
        <v>72</v>
      </c>
      <c r="B793" t="s">
        <v>15496</v>
      </c>
      <c r="C793" t="s">
        <v>74</v>
      </c>
      <c r="D793" t="s">
        <v>74</v>
      </c>
      <c r="E793" t="s">
        <v>74</v>
      </c>
      <c r="F793" t="s">
        <v>15497</v>
      </c>
      <c r="G793" t="s">
        <v>74</v>
      </c>
      <c r="H793" t="s">
        <v>74</v>
      </c>
      <c r="I793" t="s">
        <v>15498</v>
      </c>
      <c r="J793" t="s">
        <v>15499</v>
      </c>
      <c r="K793" t="s">
        <v>74</v>
      </c>
      <c r="L793" t="s">
        <v>74</v>
      </c>
      <c r="M793" t="s">
        <v>78</v>
      </c>
      <c r="N793" t="s">
        <v>79</v>
      </c>
      <c r="O793" t="s">
        <v>74</v>
      </c>
      <c r="P793" t="s">
        <v>74</v>
      </c>
      <c r="Q793" t="s">
        <v>74</v>
      </c>
      <c r="R793" t="s">
        <v>74</v>
      </c>
      <c r="S793" t="s">
        <v>74</v>
      </c>
      <c r="T793" t="s">
        <v>15500</v>
      </c>
      <c r="U793" t="s">
        <v>15501</v>
      </c>
      <c r="V793" t="s">
        <v>15502</v>
      </c>
      <c r="W793" t="s">
        <v>15503</v>
      </c>
      <c r="X793" t="s">
        <v>15504</v>
      </c>
      <c r="Y793" t="s">
        <v>15505</v>
      </c>
      <c r="Z793" t="s">
        <v>15506</v>
      </c>
      <c r="AA793" t="s">
        <v>15507</v>
      </c>
      <c r="AB793" t="s">
        <v>15508</v>
      </c>
      <c r="AC793" t="s">
        <v>15509</v>
      </c>
      <c r="AD793" t="s">
        <v>15510</v>
      </c>
      <c r="AE793" t="s">
        <v>15511</v>
      </c>
      <c r="AF793" t="s">
        <v>74</v>
      </c>
      <c r="AG793">
        <v>89</v>
      </c>
      <c r="AH793">
        <v>1</v>
      </c>
      <c r="AI793">
        <v>1</v>
      </c>
      <c r="AJ793">
        <v>1</v>
      </c>
      <c r="AK793">
        <v>13</v>
      </c>
      <c r="AL793" t="s">
        <v>169</v>
      </c>
      <c r="AM793" t="s">
        <v>170</v>
      </c>
      <c r="AN793" t="s">
        <v>171</v>
      </c>
      <c r="AO793" t="s">
        <v>15512</v>
      </c>
      <c r="AP793" t="s">
        <v>15513</v>
      </c>
      <c r="AQ793" t="s">
        <v>74</v>
      </c>
      <c r="AR793" t="s">
        <v>15514</v>
      </c>
      <c r="AS793" t="s">
        <v>15515</v>
      </c>
      <c r="AT793" t="s">
        <v>627</v>
      </c>
      <c r="AU793">
        <v>2021</v>
      </c>
      <c r="AV793">
        <v>75</v>
      </c>
      <c r="AW793">
        <v>9</v>
      </c>
      <c r="AX793" t="s">
        <v>74</v>
      </c>
      <c r="AY793" t="s">
        <v>74</v>
      </c>
      <c r="AZ793" t="s">
        <v>74</v>
      </c>
      <c r="BA793" t="s">
        <v>74</v>
      </c>
      <c r="BB793" t="s">
        <v>74</v>
      </c>
      <c r="BC793" t="s">
        <v>74</v>
      </c>
      <c r="BD793">
        <v>135</v>
      </c>
      <c r="BE793" t="s">
        <v>15516</v>
      </c>
      <c r="BF793" t="str">
        <f>HYPERLINK("http://dx.doi.org/10.1007/s00265-021-03076-3","http://dx.doi.org/10.1007/s00265-021-03076-3")</f>
        <v>http://dx.doi.org/10.1007/s00265-021-03076-3</v>
      </c>
      <c r="BG793" t="s">
        <v>74</v>
      </c>
      <c r="BH793" t="s">
        <v>74</v>
      </c>
      <c r="BI793">
        <v>17</v>
      </c>
      <c r="BJ793" t="s">
        <v>15517</v>
      </c>
      <c r="BK793" t="s">
        <v>101</v>
      </c>
      <c r="BL793" t="s">
        <v>15518</v>
      </c>
      <c r="BM793" t="s">
        <v>15519</v>
      </c>
      <c r="BN793" t="s">
        <v>74</v>
      </c>
      <c r="BO793" t="s">
        <v>1511</v>
      </c>
      <c r="BP793" t="s">
        <v>74</v>
      </c>
      <c r="BQ793" t="s">
        <v>74</v>
      </c>
      <c r="BR793" t="s">
        <v>105</v>
      </c>
      <c r="BS793" t="s">
        <v>15520</v>
      </c>
      <c r="BT793" t="str">
        <f>HYPERLINK("https%3A%2F%2Fwww.webofscience.com%2Fwos%2Fwoscc%2Ffull-record%2FWOS:000694834300001","View Full Record in Web of Science")</f>
        <v>View Full Record in Web of Science</v>
      </c>
    </row>
    <row r="794" spans="1:72" x14ac:dyDescent="0.15">
      <c r="A794" t="s">
        <v>72</v>
      </c>
      <c r="B794" t="s">
        <v>15521</v>
      </c>
      <c r="C794" t="s">
        <v>74</v>
      </c>
      <c r="D794" t="s">
        <v>74</v>
      </c>
      <c r="E794" t="s">
        <v>74</v>
      </c>
      <c r="F794" t="s">
        <v>15522</v>
      </c>
      <c r="G794" t="s">
        <v>74</v>
      </c>
      <c r="H794" t="s">
        <v>74</v>
      </c>
      <c r="I794" t="s">
        <v>15523</v>
      </c>
      <c r="J794" t="s">
        <v>4222</v>
      </c>
      <c r="K794" t="s">
        <v>74</v>
      </c>
      <c r="L794" t="s">
        <v>74</v>
      </c>
      <c r="M794" t="s">
        <v>78</v>
      </c>
      <c r="N794" t="s">
        <v>373</v>
      </c>
      <c r="O794" t="s">
        <v>74</v>
      </c>
      <c r="P794" t="s">
        <v>74</v>
      </c>
      <c r="Q794" t="s">
        <v>74</v>
      </c>
      <c r="R794" t="s">
        <v>74</v>
      </c>
      <c r="S794" t="s">
        <v>74</v>
      </c>
      <c r="T794" t="s">
        <v>15524</v>
      </c>
      <c r="U794" t="s">
        <v>15525</v>
      </c>
      <c r="V794" t="s">
        <v>15526</v>
      </c>
      <c r="W794" t="s">
        <v>15527</v>
      </c>
      <c r="X794" t="s">
        <v>15528</v>
      </c>
      <c r="Y794" t="s">
        <v>15529</v>
      </c>
      <c r="Z794" t="s">
        <v>15530</v>
      </c>
      <c r="AA794" t="s">
        <v>15531</v>
      </c>
      <c r="AB794" t="s">
        <v>15532</v>
      </c>
      <c r="AC794" t="s">
        <v>15533</v>
      </c>
      <c r="AD794" t="s">
        <v>15534</v>
      </c>
      <c r="AE794" t="s">
        <v>15535</v>
      </c>
      <c r="AF794" t="s">
        <v>74</v>
      </c>
      <c r="AG794">
        <v>135</v>
      </c>
      <c r="AH794">
        <v>10</v>
      </c>
      <c r="AI794">
        <v>10</v>
      </c>
      <c r="AJ794">
        <v>4</v>
      </c>
      <c r="AK794">
        <v>45</v>
      </c>
      <c r="AL794" t="s">
        <v>4192</v>
      </c>
      <c r="AM794" t="s">
        <v>4193</v>
      </c>
      <c r="AN794" t="s">
        <v>4194</v>
      </c>
      <c r="AO794" t="s">
        <v>74</v>
      </c>
      <c r="AP794" t="s">
        <v>4233</v>
      </c>
      <c r="AQ794" t="s">
        <v>74</v>
      </c>
      <c r="AR794" t="s">
        <v>4234</v>
      </c>
      <c r="AS794" t="s">
        <v>4235</v>
      </c>
      <c r="AT794" t="s">
        <v>627</v>
      </c>
      <c r="AU794">
        <v>2021</v>
      </c>
      <c r="AV794">
        <v>13</v>
      </c>
      <c r="AW794">
        <v>17</v>
      </c>
      <c r="AX794" t="s">
        <v>74</v>
      </c>
      <c r="AY794" t="s">
        <v>74</v>
      </c>
      <c r="AZ794" t="s">
        <v>74</v>
      </c>
      <c r="BA794" t="s">
        <v>74</v>
      </c>
      <c r="BB794" t="s">
        <v>74</v>
      </c>
      <c r="BC794" t="s">
        <v>74</v>
      </c>
      <c r="BD794">
        <v>3451</v>
      </c>
      <c r="BE794" t="s">
        <v>15536</v>
      </c>
      <c r="BF794" t="str">
        <f>HYPERLINK("http://dx.doi.org/10.3390/rs13173451","http://dx.doi.org/10.3390/rs13173451")</f>
        <v>http://dx.doi.org/10.3390/rs13173451</v>
      </c>
      <c r="BG794" t="s">
        <v>74</v>
      </c>
      <c r="BH794" t="s">
        <v>74</v>
      </c>
      <c r="BI794">
        <v>27</v>
      </c>
      <c r="BJ794" t="s">
        <v>4237</v>
      </c>
      <c r="BK794" t="s">
        <v>101</v>
      </c>
      <c r="BL794" t="s">
        <v>4238</v>
      </c>
      <c r="BM794" t="s">
        <v>15537</v>
      </c>
      <c r="BN794" t="s">
        <v>74</v>
      </c>
      <c r="BO794" t="s">
        <v>1094</v>
      </c>
      <c r="BP794" t="s">
        <v>74</v>
      </c>
      <c r="BQ794" t="s">
        <v>74</v>
      </c>
      <c r="BR794" t="s">
        <v>105</v>
      </c>
      <c r="BS794" t="s">
        <v>15538</v>
      </c>
      <c r="BT794" t="str">
        <f>HYPERLINK("https%3A%2F%2Fwww.webofscience.com%2Fwos%2Fwoscc%2Ffull-record%2FWOS:000694554400001","View Full Record in Web of Science")</f>
        <v>View Full Record in Web of Science</v>
      </c>
    </row>
    <row r="795" spans="1:72" x14ac:dyDescent="0.15">
      <c r="A795" t="s">
        <v>72</v>
      </c>
      <c r="B795" t="s">
        <v>15539</v>
      </c>
      <c r="C795" t="s">
        <v>74</v>
      </c>
      <c r="D795" t="s">
        <v>74</v>
      </c>
      <c r="E795" t="s">
        <v>74</v>
      </c>
      <c r="F795" t="s">
        <v>15540</v>
      </c>
      <c r="G795" t="s">
        <v>74</v>
      </c>
      <c r="H795" t="s">
        <v>74</v>
      </c>
      <c r="I795" t="s">
        <v>15541</v>
      </c>
      <c r="J795" t="s">
        <v>15542</v>
      </c>
      <c r="K795" t="s">
        <v>74</v>
      </c>
      <c r="L795" t="s">
        <v>74</v>
      </c>
      <c r="M795" t="s">
        <v>78</v>
      </c>
      <c r="N795" t="s">
        <v>79</v>
      </c>
      <c r="O795" t="s">
        <v>74</v>
      </c>
      <c r="P795" t="s">
        <v>74</v>
      </c>
      <c r="Q795" t="s">
        <v>74</v>
      </c>
      <c r="R795" t="s">
        <v>74</v>
      </c>
      <c r="S795" t="s">
        <v>74</v>
      </c>
      <c r="T795" t="s">
        <v>74</v>
      </c>
      <c r="U795" t="s">
        <v>74</v>
      </c>
      <c r="V795" t="s">
        <v>15543</v>
      </c>
      <c r="W795" t="s">
        <v>15544</v>
      </c>
      <c r="X795" t="s">
        <v>6514</v>
      </c>
      <c r="Y795" t="s">
        <v>15545</v>
      </c>
      <c r="Z795" t="s">
        <v>15546</v>
      </c>
      <c r="AA795" t="s">
        <v>74</v>
      </c>
      <c r="AB795" t="s">
        <v>15547</v>
      </c>
      <c r="AC795" t="s">
        <v>74</v>
      </c>
      <c r="AD795" t="s">
        <v>74</v>
      </c>
      <c r="AE795" t="s">
        <v>74</v>
      </c>
      <c r="AF795" t="s">
        <v>74</v>
      </c>
      <c r="AG795">
        <v>68</v>
      </c>
      <c r="AH795">
        <v>0</v>
      </c>
      <c r="AI795">
        <v>0</v>
      </c>
      <c r="AJ795">
        <v>0</v>
      </c>
      <c r="AK795">
        <v>0</v>
      </c>
      <c r="AL795" t="s">
        <v>11890</v>
      </c>
      <c r="AM795" t="s">
        <v>199</v>
      </c>
      <c r="AN795" t="s">
        <v>11891</v>
      </c>
      <c r="AO795" t="s">
        <v>15548</v>
      </c>
      <c r="AP795" t="s">
        <v>15549</v>
      </c>
      <c r="AQ795" t="s">
        <v>74</v>
      </c>
      <c r="AR795" t="s">
        <v>15550</v>
      </c>
      <c r="AS795" t="s">
        <v>15551</v>
      </c>
      <c r="AT795" t="s">
        <v>15552</v>
      </c>
      <c r="AU795">
        <v>2022</v>
      </c>
      <c r="AV795">
        <v>53</v>
      </c>
      <c r="AW795">
        <v>1</v>
      </c>
      <c r="AX795" t="s">
        <v>74</v>
      </c>
      <c r="AY795" t="s">
        <v>74</v>
      </c>
      <c r="AZ795" t="s">
        <v>74</v>
      </c>
      <c r="BA795" t="s">
        <v>74</v>
      </c>
      <c r="BB795">
        <v>26</v>
      </c>
      <c r="BC795">
        <v>42</v>
      </c>
      <c r="BD795" t="s">
        <v>74</v>
      </c>
      <c r="BE795" t="s">
        <v>15553</v>
      </c>
      <c r="BF795" t="str">
        <f>HYPERLINK("http://dx.doi.org/10.1080/1031461X.2021.1958878","http://dx.doi.org/10.1080/1031461X.2021.1958878")</f>
        <v>http://dx.doi.org/10.1080/1031461X.2021.1958878</v>
      </c>
      <c r="BG795" t="s">
        <v>74</v>
      </c>
      <c r="BH795" t="s">
        <v>11189</v>
      </c>
      <c r="BI795">
        <v>17</v>
      </c>
      <c r="BJ795" t="s">
        <v>15554</v>
      </c>
      <c r="BK795" t="s">
        <v>8541</v>
      </c>
      <c r="BL795" t="s">
        <v>15554</v>
      </c>
      <c r="BM795" t="s">
        <v>15555</v>
      </c>
      <c r="BN795" t="s">
        <v>74</v>
      </c>
      <c r="BO795" t="s">
        <v>74</v>
      </c>
      <c r="BP795" t="s">
        <v>74</v>
      </c>
      <c r="BQ795" t="s">
        <v>74</v>
      </c>
      <c r="BR795" t="s">
        <v>105</v>
      </c>
      <c r="BS795" t="s">
        <v>15556</v>
      </c>
      <c r="BT795" t="str">
        <f>HYPERLINK("https%3A%2F%2Fwww.webofscience.com%2Fwos%2Fwoscc%2Ffull-record%2FWOS:000694548500001","View Full Record in Web of Science")</f>
        <v>View Full Record in Web of Science</v>
      </c>
    </row>
    <row r="796" spans="1:72" x14ac:dyDescent="0.15">
      <c r="A796" t="s">
        <v>72</v>
      </c>
      <c r="B796" t="s">
        <v>15557</v>
      </c>
      <c r="C796" t="s">
        <v>74</v>
      </c>
      <c r="D796" t="s">
        <v>74</v>
      </c>
      <c r="E796" t="s">
        <v>74</v>
      </c>
      <c r="F796" t="s">
        <v>15558</v>
      </c>
      <c r="G796" t="s">
        <v>74</v>
      </c>
      <c r="H796" t="s">
        <v>74</v>
      </c>
      <c r="I796" t="s">
        <v>15559</v>
      </c>
      <c r="J796" t="s">
        <v>4222</v>
      </c>
      <c r="K796" t="s">
        <v>74</v>
      </c>
      <c r="L796" t="s">
        <v>74</v>
      </c>
      <c r="M796" t="s">
        <v>78</v>
      </c>
      <c r="N796" t="s">
        <v>79</v>
      </c>
      <c r="O796" t="s">
        <v>74</v>
      </c>
      <c r="P796" t="s">
        <v>74</v>
      </c>
      <c r="Q796" t="s">
        <v>74</v>
      </c>
      <c r="R796" t="s">
        <v>74</v>
      </c>
      <c r="S796" t="s">
        <v>74</v>
      </c>
      <c r="T796" t="s">
        <v>15560</v>
      </c>
      <c r="U796" t="s">
        <v>15561</v>
      </c>
      <c r="V796" t="s">
        <v>15562</v>
      </c>
      <c r="W796" t="s">
        <v>15563</v>
      </c>
      <c r="X796" t="s">
        <v>15564</v>
      </c>
      <c r="Y796" t="s">
        <v>15565</v>
      </c>
      <c r="Z796" t="s">
        <v>15566</v>
      </c>
      <c r="AA796" t="s">
        <v>15567</v>
      </c>
      <c r="AB796" t="s">
        <v>15568</v>
      </c>
      <c r="AC796" t="s">
        <v>15569</v>
      </c>
      <c r="AD796" t="s">
        <v>15570</v>
      </c>
      <c r="AE796" t="s">
        <v>15571</v>
      </c>
      <c r="AF796" t="s">
        <v>74</v>
      </c>
      <c r="AG796">
        <v>39</v>
      </c>
      <c r="AH796">
        <v>6</v>
      </c>
      <c r="AI796">
        <v>6</v>
      </c>
      <c r="AJ796">
        <v>1</v>
      </c>
      <c r="AK796">
        <v>8</v>
      </c>
      <c r="AL796" t="s">
        <v>4192</v>
      </c>
      <c r="AM796" t="s">
        <v>4193</v>
      </c>
      <c r="AN796" t="s">
        <v>4194</v>
      </c>
      <c r="AO796" t="s">
        <v>74</v>
      </c>
      <c r="AP796" t="s">
        <v>4233</v>
      </c>
      <c r="AQ796" t="s">
        <v>74</v>
      </c>
      <c r="AR796" t="s">
        <v>4234</v>
      </c>
      <c r="AS796" t="s">
        <v>4235</v>
      </c>
      <c r="AT796" t="s">
        <v>627</v>
      </c>
      <c r="AU796">
        <v>2021</v>
      </c>
      <c r="AV796">
        <v>13</v>
      </c>
      <c r="AW796">
        <v>17</v>
      </c>
      <c r="AX796" t="s">
        <v>74</v>
      </c>
      <c r="AY796" t="s">
        <v>74</v>
      </c>
      <c r="AZ796" t="s">
        <v>74</v>
      </c>
      <c r="BA796" t="s">
        <v>74</v>
      </c>
      <c r="BB796" t="s">
        <v>74</v>
      </c>
      <c r="BC796" t="s">
        <v>74</v>
      </c>
      <c r="BD796">
        <v>3408</v>
      </c>
      <c r="BE796" t="s">
        <v>15572</v>
      </c>
      <c r="BF796" t="str">
        <f>HYPERLINK("http://dx.doi.org/10.3390/rs13173408","http://dx.doi.org/10.3390/rs13173408")</f>
        <v>http://dx.doi.org/10.3390/rs13173408</v>
      </c>
      <c r="BG796" t="s">
        <v>74</v>
      </c>
      <c r="BH796" t="s">
        <v>74</v>
      </c>
      <c r="BI796">
        <v>14</v>
      </c>
      <c r="BJ796" t="s">
        <v>4237</v>
      </c>
      <c r="BK796" t="s">
        <v>101</v>
      </c>
      <c r="BL796" t="s">
        <v>4238</v>
      </c>
      <c r="BM796" t="s">
        <v>15573</v>
      </c>
      <c r="BN796" t="s">
        <v>74</v>
      </c>
      <c r="BO796" t="s">
        <v>394</v>
      </c>
      <c r="BP796" t="s">
        <v>74</v>
      </c>
      <c r="BQ796" t="s">
        <v>74</v>
      </c>
      <c r="BR796" t="s">
        <v>105</v>
      </c>
      <c r="BS796" t="s">
        <v>15574</v>
      </c>
      <c r="BT796" t="str">
        <f>HYPERLINK("https%3A%2F%2Fwww.webofscience.com%2Fwos%2Fwoscc%2Ffull-record%2FWOS:000694520100001","View Full Record in Web of Science")</f>
        <v>View Full Record in Web of Science</v>
      </c>
    </row>
    <row r="797" spans="1:72" x14ac:dyDescent="0.15">
      <c r="A797" t="s">
        <v>72</v>
      </c>
      <c r="B797" t="s">
        <v>15575</v>
      </c>
      <c r="C797" t="s">
        <v>74</v>
      </c>
      <c r="D797" t="s">
        <v>74</v>
      </c>
      <c r="E797" t="s">
        <v>74</v>
      </c>
      <c r="F797" t="s">
        <v>15576</v>
      </c>
      <c r="G797" t="s">
        <v>74</v>
      </c>
      <c r="H797" t="s">
        <v>74</v>
      </c>
      <c r="I797" t="s">
        <v>15577</v>
      </c>
      <c r="J797" t="s">
        <v>4222</v>
      </c>
      <c r="K797" t="s">
        <v>74</v>
      </c>
      <c r="L797" t="s">
        <v>74</v>
      </c>
      <c r="M797" t="s">
        <v>78</v>
      </c>
      <c r="N797" t="s">
        <v>79</v>
      </c>
      <c r="O797" t="s">
        <v>74</v>
      </c>
      <c r="P797" t="s">
        <v>74</v>
      </c>
      <c r="Q797" t="s">
        <v>74</v>
      </c>
      <c r="R797" t="s">
        <v>74</v>
      </c>
      <c r="S797" t="s">
        <v>74</v>
      </c>
      <c r="T797" t="s">
        <v>15578</v>
      </c>
      <c r="U797" t="s">
        <v>15579</v>
      </c>
      <c r="V797" t="s">
        <v>15580</v>
      </c>
      <c r="W797" t="s">
        <v>15581</v>
      </c>
      <c r="X797" t="s">
        <v>15582</v>
      </c>
      <c r="Y797" t="s">
        <v>15583</v>
      </c>
      <c r="Z797" t="s">
        <v>15584</v>
      </c>
      <c r="AA797" t="s">
        <v>74</v>
      </c>
      <c r="AB797" t="s">
        <v>15585</v>
      </c>
      <c r="AC797" t="s">
        <v>15586</v>
      </c>
      <c r="AD797" t="s">
        <v>15587</v>
      </c>
      <c r="AE797" t="s">
        <v>15588</v>
      </c>
      <c r="AF797" t="s">
        <v>74</v>
      </c>
      <c r="AG797">
        <v>38</v>
      </c>
      <c r="AH797">
        <v>0</v>
      </c>
      <c r="AI797">
        <v>0</v>
      </c>
      <c r="AJ797">
        <v>1</v>
      </c>
      <c r="AK797">
        <v>15</v>
      </c>
      <c r="AL797" t="s">
        <v>4192</v>
      </c>
      <c r="AM797" t="s">
        <v>4193</v>
      </c>
      <c r="AN797" t="s">
        <v>4194</v>
      </c>
      <c r="AO797" t="s">
        <v>74</v>
      </c>
      <c r="AP797" t="s">
        <v>4233</v>
      </c>
      <c r="AQ797" t="s">
        <v>74</v>
      </c>
      <c r="AR797" t="s">
        <v>4234</v>
      </c>
      <c r="AS797" t="s">
        <v>4235</v>
      </c>
      <c r="AT797" t="s">
        <v>627</v>
      </c>
      <c r="AU797">
        <v>2021</v>
      </c>
      <c r="AV797">
        <v>13</v>
      </c>
      <c r="AW797">
        <v>17</v>
      </c>
      <c r="AX797" t="s">
        <v>74</v>
      </c>
      <c r="AY797" t="s">
        <v>74</v>
      </c>
      <c r="AZ797" t="s">
        <v>74</v>
      </c>
      <c r="BA797" t="s">
        <v>74</v>
      </c>
      <c r="BB797" t="s">
        <v>74</v>
      </c>
      <c r="BC797" t="s">
        <v>74</v>
      </c>
      <c r="BD797">
        <v>3528</v>
      </c>
      <c r="BE797" t="s">
        <v>15589</v>
      </c>
      <c r="BF797" t="str">
        <f>HYPERLINK("http://dx.doi.org/10.3390/rs13173528","http://dx.doi.org/10.3390/rs13173528")</f>
        <v>http://dx.doi.org/10.3390/rs13173528</v>
      </c>
      <c r="BG797" t="s">
        <v>74</v>
      </c>
      <c r="BH797" t="s">
        <v>74</v>
      </c>
      <c r="BI797">
        <v>15</v>
      </c>
      <c r="BJ797" t="s">
        <v>4237</v>
      </c>
      <c r="BK797" t="s">
        <v>101</v>
      </c>
      <c r="BL797" t="s">
        <v>4238</v>
      </c>
      <c r="BM797" t="s">
        <v>15590</v>
      </c>
      <c r="BN797" t="s">
        <v>74</v>
      </c>
      <c r="BO797" t="s">
        <v>210</v>
      </c>
      <c r="BP797" t="s">
        <v>74</v>
      </c>
      <c r="BQ797" t="s">
        <v>74</v>
      </c>
      <c r="BR797" t="s">
        <v>105</v>
      </c>
      <c r="BS797" t="s">
        <v>15591</v>
      </c>
      <c r="BT797" t="str">
        <f>HYPERLINK("https%3A%2F%2Fwww.webofscience.com%2Fwos%2Fwoscc%2Ffull-record%2FWOS:000694471400001","View Full Record in Web of Science")</f>
        <v>View Full Record in Web of Science</v>
      </c>
    </row>
    <row r="798" spans="1:72" x14ac:dyDescent="0.15">
      <c r="A798" t="s">
        <v>72</v>
      </c>
      <c r="B798" t="s">
        <v>15592</v>
      </c>
      <c r="C798" t="s">
        <v>74</v>
      </c>
      <c r="D798" t="s">
        <v>74</v>
      </c>
      <c r="E798" t="s">
        <v>74</v>
      </c>
      <c r="F798" t="s">
        <v>15593</v>
      </c>
      <c r="G798" t="s">
        <v>74</v>
      </c>
      <c r="H798" t="s">
        <v>74</v>
      </c>
      <c r="I798" t="s">
        <v>15594</v>
      </c>
      <c r="J798" t="s">
        <v>4806</v>
      </c>
      <c r="K798" t="s">
        <v>74</v>
      </c>
      <c r="L798" t="s">
        <v>74</v>
      </c>
      <c r="M798" t="s">
        <v>78</v>
      </c>
      <c r="N798" t="s">
        <v>79</v>
      </c>
      <c r="O798" t="s">
        <v>74</v>
      </c>
      <c r="P798" t="s">
        <v>74</v>
      </c>
      <c r="Q798" t="s">
        <v>74</v>
      </c>
      <c r="R798" t="s">
        <v>74</v>
      </c>
      <c r="S798" t="s">
        <v>74</v>
      </c>
      <c r="T798" t="s">
        <v>15595</v>
      </c>
      <c r="U798" t="s">
        <v>15596</v>
      </c>
      <c r="V798" t="s">
        <v>15597</v>
      </c>
      <c r="W798" t="s">
        <v>15598</v>
      </c>
      <c r="X798" t="s">
        <v>15599</v>
      </c>
      <c r="Y798" t="s">
        <v>15600</v>
      </c>
      <c r="Z798" t="s">
        <v>15601</v>
      </c>
      <c r="AA798" t="s">
        <v>15602</v>
      </c>
      <c r="AB798" t="s">
        <v>15603</v>
      </c>
      <c r="AC798" t="s">
        <v>15604</v>
      </c>
      <c r="AD798" t="s">
        <v>15604</v>
      </c>
      <c r="AE798" t="s">
        <v>15605</v>
      </c>
      <c r="AF798" t="s">
        <v>74</v>
      </c>
      <c r="AG798">
        <v>38</v>
      </c>
      <c r="AH798">
        <v>4</v>
      </c>
      <c r="AI798">
        <v>4</v>
      </c>
      <c r="AJ798">
        <v>5</v>
      </c>
      <c r="AK798">
        <v>8</v>
      </c>
      <c r="AL798" t="s">
        <v>4192</v>
      </c>
      <c r="AM798" t="s">
        <v>4193</v>
      </c>
      <c r="AN798" t="s">
        <v>4194</v>
      </c>
      <c r="AO798" t="s">
        <v>74</v>
      </c>
      <c r="AP798" t="s">
        <v>4818</v>
      </c>
      <c r="AQ798" t="s">
        <v>74</v>
      </c>
      <c r="AR798" t="s">
        <v>4819</v>
      </c>
      <c r="AS798" t="s">
        <v>4820</v>
      </c>
      <c r="AT798" t="s">
        <v>627</v>
      </c>
      <c r="AU798">
        <v>2021</v>
      </c>
      <c r="AV798">
        <v>13</v>
      </c>
      <c r="AW798">
        <v>17</v>
      </c>
      <c r="AX798" t="s">
        <v>74</v>
      </c>
      <c r="AY798" t="s">
        <v>74</v>
      </c>
      <c r="AZ798" t="s">
        <v>74</v>
      </c>
      <c r="BA798" t="s">
        <v>74</v>
      </c>
      <c r="BB798" t="s">
        <v>74</v>
      </c>
      <c r="BC798" t="s">
        <v>74</v>
      </c>
      <c r="BD798">
        <v>2367</v>
      </c>
      <c r="BE798" t="s">
        <v>15606</v>
      </c>
      <c r="BF798" t="str">
        <f>HYPERLINK("http://dx.doi.org/10.3390/w13172367","http://dx.doi.org/10.3390/w13172367")</f>
        <v>http://dx.doi.org/10.3390/w13172367</v>
      </c>
      <c r="BG798" t="s">
        <v>74</v>
      </c>
      <c r="BH798" t="s">
        <v>74</v>
      </c>
      <c r="BI798">
        <v>15</v>
      </c>
      <c r="BJ798" t="s">
        <v>4822</v>
      </c>
      <c r="BK798" t="s">
        <v>101</v>
      </c>
      <c r="BL798" t="s">
        <v>4823</v>
      </c>
      <c r="BM798" t="s">
        <v>15607</v>
      </c>
      <c r="BN798" t="s">
        <v>74</v>
      </c>
      <c r="BO798" t="s">
        <v>210</v>
      </c>
      <c r="BP798" t="s">
        <v>74</v>
      </c>
      <c r="BQ798" t="s">
        <v>74</v>
      </c>
      <c r="BR798" t="s">
        <v>105</v>
      </c>
      <c r="BS798" t="s">
        <v>15608</v>
      </c>
      <c r="BT798" t="str">
        <f>HYPERLINK("https%3A%2F%2Fwww.webofscience.com%2Fwos%2Fwoscc%2Ffull-record%2FWOS:000694514700001","View Full Record in Web of Science")</f>
        <v>View Full Record in Web of Science</v>
      </c>
    </row>
    <row r="799" spans="1:72" x14ac:dyDescent="0.15">
      <c r="A799" t="s">
        <v>72</v>
      </c>
      <c r="B799" t="s">
        <v>15609</v>
      </c>
      <c r="C799" t="s">
        <v>74</v>
      </c>
      <c r="D799" t="s">
        <v>74</v>
      </c>
      <c r="E799" t="s">
        <v>74</v>
      </c>
      <c r="F799" t="s">
        <v>15610</v>
      </c>
      <c r="G799" t="s">
        <v>74</v>
      </c>
      <c r="H799" t="s">
        <v>74</v>
      </c>
      <c r="I799" t="s">
        <v>15611</v>
      </c>
      <c r="J799" t="s">
        <v>536</v>
      </c>
      <c r="K799" t="s">
        <v>74</v>
      </c>
      <c r="L799" t="s">
        <v>74</v>
      </c>
      <c r="M799" t="s">
        <v>78</v>
      </c>
      <c r="N799" t="s">
        <v>79</v>
      </c>
      <c r="O799" t="s">
        <v>74</v>
      </c>
      <c r="P799" t="s">
        <v>74</v>
      </c>
      <c r="Q799" t="s">
        <v>74</v>
      </c>
      <c r="R799" t="s">
        <v>74</v>
      </c>
      <c r="S799" t="s">
        <v>74</v>
      </c>
      <c r="T799" t="s">
        <v>74</v>
      </c>
      <c r="U799" t="s">
        <v>15612</v>
      </c>
      <c r="V799" t="s">
        <v>15613</v>
      </c>
      <c r="W799" t="s">
        <v>15614</v>
      </c>
      <c r="X799" t="s">
        <v>15615</v>
      </c>
      <c r="Y799" t="s">
        <v>15616</v>
      </c>
      <c r="Z799" t="s">
        <v>15617</v>
      </c>
      <c r="AA799" t="s">
        <v>15618</v>
      </c>
      <c r="AB799" t="s">
        <v>15619</v>
      </c>
      <c r="AC799" t="s">
        <v>15620</v>
      </c>
      <c r="AD799" t="s">
        <v>15621</v>
      </c>
      <c r="AE799" t="s">
        <v>15622</v>
      </c>
      <c r="AF799" t="s">
        <v>74</v>
      </c>
      <c r="AG799">
        <v>343</v>
      </c>
      <c r="AH799">
        <v>3</v>
      </c>
      <c r="AI799">
        <v>3</v>
      </c>
      <c r="AJ799">
        <v>1</v>
      </c>
      <c r="AK799">
        <v>48</v>
      </c>
      <c r="AL799" t="s">
        <v>227</v>
      </c>
      <c r="AM799" t="s">
        <v>228</v>
      </c>
      <c r="AN799" t="s">
        <v>229</v>
      </c>
      <c r="AO799" t="s">
        <v>548</v>
      </c>
      <c r="AP799" t="s">
        <v>549</v>
      </c>
      <c r="AQ799" t="s">
        <v>74</v>
      </c>
      <c r="AR799" t="s">
        <v>550</v>
      </c>
      <c r="AS799" t="s">
        <v>551</v>
      </c>
      <c r="AT799" t="s">
        <v>15623</v>
      </c>
      <c r="AU799">
        <v>2021</v>
      </c>
      <c r="AV799">
        <v>21</v>
      </c>
      <c r="AW799">
        <v>17</v>
      </c>
      <c r="AX799" t="s">
        <v>74</v>
      </c>
      <c r="AY799" t="s">
        <v>74</v>
      </c>
      <c r="AZ799" t="s">
        <v>74</v>
      </c>
      <c r="BA799" t="s">
        <v>74</v>
      </c>
      <c r="BB799">
        <v>12909</v>
      </c>
      <c r="BC799">
        <v>12948</v>
      </c>
      <c r="BD799" t="s">
        <v>74</v>
      </c>
      <c r="BE799" t="s">
        <v>15624</v>
      </c>
      <c r="BF799" t="str">
        <f>HYPERLINK("http://dx.doi.org/10.5194/acp-21-12909-2021","http://dx.doi.org/10.5194/acp-21-12909-2021")</f>
        <v>http://dx.doi.org/10.5194/acp-21-12909-2021</v>
      </c>
      <c r="BG799" t="s">
        <v>74</v>
      </c>
      <c r="BH799" t="s">
        <v>74</v>
      </c>
      <c r="BI799">
        <v>40</v>
      </c>
      <c r="BJ799" t="s">
        <v>100</v>
      </c>
      <c r="BK799" t="s">
        <v>101</v>
      </c>
      <c r="BL799" t="s">
        <v>102</v>
      </c>
      <c r="BM799" t="s">
        <v>15625</v>
      </c>
      <c r="BN799" t="s">
        <v>74</v>
      </c>
      <c r="BO799" t="s">
        <v>239</v>
      </c>
      <c r="BP799" t="s">
        <v>74</v>
      </c>
      <c r="BQ799" t="s">
        <v>74</v>
      </c>
      <c r="BR799" t="s">
        <v>105</v>
      </c>
      <c r="BS799" t="s">
        <v>15626</v>
      </c>
      <c r="BT799" t="str">
        <f>HYPERLINK("https%3A%2F%2Fwww.webofscience.com%2Fwos%2Fwoscc%2Ffull-record%2FWOS:000692690100002","View Full Record in Web of Science")</f>
        <v>View Full Record in Web of Science</v>
      </c>
    </row>
    <row r="800" spans="1:72" x14ac:dyDescent="0.15">
      <c r="A800" t="s">
        <v>72</v>
      </c>
      <c r="B800" t="s">
        <v>15627</v>
      </c>
      <c r="C800" t="s">
        <v>74</v>
      </c>
      <c r="D800" t="s">
        <v>74</v>
      </c>
      <c r="E800" t="s">
        <v>74</v>
      </c>
      <c r="F800" t="s">
        <v>15628</v>
      </c>
      <c r="G800" t="s">
        <v>74</v>
      </c>
      <c r="H800" t="s">
        <v>74</v>
      </c>
      <c r="I800" t="s">
        <v>15629</v>
      </c>
      <c r="J800" t="s">
        <v>15630</v>
      </c>
      <c r="K800" t="s">
        <v>74</v>
      </c>
      <c r="L800" t="s">
        <v>74</v>
      </c>
      <c r="M800" t="s">
        <v>78</v>
      </c>
      <c r="N800" t="s">
        <v>79</v>
      </c>
      <c r="O800" t="s">
        <v>74</v>
      </c>
      <c r="P800" t="s">
        <v>74</v>
      </c>
      <c r="Q800" t="s">
        <v>74</v>
      </c>
      <c r="R800" t="s">
        <v>74</v>
      </c>
      <c r="S800" t="s">
        <v>74</v>
      </c>
      <c r="T800" t="s">
        <v>15631</v>
      </c>
      <c r="U800" t="s">
        <v>74</v>
      </c>
      <c r="V800" t="s">
        <v>15632</v>
      </c>
      <c r="W800" t="s">
        <v>74</v>
      </c>
      <c r="X800" t="s">
        <v>74</v>
      </c>
      <c r="Y800" t="s">
        <v>15633</v>
      </c>
      <c r="Z800" t="s">
        <v>15634</v>
      </c>
      <c r="AA800" t="s">
        <v>74</v>
      </c>
      <c r="AB800" t="s">
        <v>74</v>
      </c>
      <c r="AC800" t="s">
        <v>74</v>
      </c>
      <c r="AD800" t="s">
        <v>74</v>
      </c>
      <c r="AE800" t="s">
        <v>74</v>
      </c>
      <c r="AF800" t="s">
        <v>74</v>
      </c>
      <c r="AG800">
        <v>33</v>
      </c>
      <c r="AH800">
        <v>13</v>
      </c>
      <c r="AI800">
        <v>13</v>
      </c>
      <c r="AJ800">
        <v>0</v>
      </c>
      <c r="AK800">
        <v>9</v>
      </c>
      <c r="AL800" t="s">
        <v>1175</v>
      </c>
      <c r="AM800" t="s">
        <v>170</v>
      </c>
      <c r="AN800" t="s">
        <v>1176</v>
      </c>
      <c r="AO800" t="s">
        <v>15635</v>
      </c>
      <c r="AP800" t="s">
        <v>15636</v>
      </c>
      <c r="AQ800" t="s">
        <v>74</v>
      </c>
      <c r="AR800" t="s">
        <v>15637</v>
      </c>
      <c r="AS800" t="s">
        <v>15638</v>
      </c>
      <c r="AT800" t="s">
        <v>627</v>
      </c>
      <c r="AU800">
        <v>2021</v>
      </c>
      <c r="AV800">
        <v>32</v>
      </c>
      <c r="AW800">
        <v>3</v>
      </c>
      <c r="AX800" t="s">
        <v>74</v>
      </c>
      <c r="AY800" t="s">
        <v>74</v>
      </c>
      <c r="AZ800" t="s">
        <v>74</v>
      </c>
      <c r="BA800" t="s">
        <v>74</v>
      </c>
      <c r="BB800">
        <v>392</v>
      </c>
      <c r="BC800">
        <v>399</v>
      </c>
      <c r="BD800" t="s">
        <v>74</v>
      </c>
      <c r="BE800" t="s">
        <v>74</v>
      </c>
      <c r="BF800" t="s">
        <v>74</v>
      </c>
      <c r="BG800" t="s">
        <v>74</v>
      </c>
      <c r="BH800" t="s">
        <v>74</v>
      </c>
      <c r="BI800">
        <v>8</v>
      </c>
      <c r="BJ800" t="s">
        <v>15639</v>
      </c>
      <c r="BK800" t="s">
        <v>101</v>
      </c>
      <c r="BL800" t="s">
        <v>15639</v>
      </c>
      <c r="BM800" t="s">
        <v>15640</v>
      </c>
      <c r="BN800">
        <v>34294536</v>
      </c>
      <c r="BO800" t="s">
        <v>1471</v>
      </c>
      <c r="BP800" t="s">
        <v>74</v>
      </c>
      <c r="BQ800" t="s">
        <v>74</v>
      </c>
      <c r="BR800" t="s">
        <v>105</v>
      </c>
      <c r="BS800" t="s">
        <v>15641</v>
      </c>
      <c r="BT800" t="str">
        <f>HYPERLINK("https%3A%2F%2Fwww.webofscience.com%2Fwos%2Fwoscc%2Ffull-record%2FWOS:000692620800020","View Full Record in Web of Science")</f>
        <v>View Full Record in Web of Science</v>
      </c>
    </row>
    <row r="801" spans="1:72" x14ac:dyDescent="0.15">
      <c r="A801" t="s">
        <v>72</v>
      </c>
      <c r="B801" t="s">
        <v>15642</v>
      </c>
      <c r="C801" t="s">
        <v>74</v>
      </c>
      <c r="D801" t="s">
        <v>74</v>
      </c>
      <c r="E801" t="s">
        <v>74</v>
      </c>
      <c r="F801" t="s">
        <v>15643</v>
      </c>
      <c r="G801" t="s">
        <v>74</v>
      </c>
      <c r="H801" t="s">
        <v>74</v>
      </c>
      <c r="I801" t="s">
        <v>15644</v>
      </c>
      <c r="J801" t="s">
        <v>1058</v>
      </c>
      <c r="K801" t="s">
        <v>74</v>
      </c>
      <c r="L801" t="s">
        <v>74</v>
      </c>
      <c r="M801" t="s">
        <v>78</v>
      </c>
      <c r="N801" t="s">
        <v>79</v>
      </c>
      <c r="O801" t="s">
        <v>74</v>
      </c>
      <c r="P801" t="s">
        <v>74</v>
      </c>
      <c r="Q801" t="s">
        <v>74</v>
      </c>
      <c r="R801" t="s">
        <v>74</v>
      </c>
      <c r="S801" t="s">
        <v>74</v>
      </c>
      <c r="T801" t="s">
        <v>74</v>
      </c>
      <c r="U801" t="s">
        <v>15645</v>
      </c>
      <c r="V801" t="s">
        <v>15646</v>
      </c>
      <c r="W801" t="s">
        <v>15647</v>
      </c>
      <c r="X801" t="s">
        <v>15648</v>
      </c>
      <c r="Y801" t="s">
        <v>15649</v>
      </c>
      <c r="Z801" t="s">
        <v>15650</v>
      </c>
      <c r="AA801" t="s">
        <v>74</v>
      </c>
      <c r="AB801" t="s">
        <v>74</v>
      </c>
      <c r="AC801" t="s">
        <v>15651</v>
      </c>
      <c r="AD801" t="s">
        <v>15652</v>
      </c>
      <c r="AE801" t="s">
        <v>15653</v>
      </c>
      <c r="AF801" t="s">
        <v>74</v>
      </c>
      <c r="AG801">
        <v>50</v>
      </c>
      <c r="AH801">
        <v>9</v>
      </c>
      <c r="AI801">
        <v>10</v>
      </c>
      <c r="AJ801">
        <v>1</v>
      </c>
      <c r="AK801">
        <v>13</v>
      </c>
      <c r="AL801" t="s">
        <v>227</v>
      </c>
      <c r="AM801" t="s">
        <v>228</v>
      </c>
      <c r="AN801" t="s">
        <v>229</v>
      </c>
      <c r="AO801" t="s">
        <v>1065</v>
      </c>
      <c r="AP801" t="s">
        <v>1066</v>
      </c>
      <c r="AQ801" t="s">
        <v>74</v>
      </c>
      <c r="AR801" t="s">
        <v>1058</v>
      </c>
      <c r="AS801" t="s">
        <v>1067</v>
      </c>
      <c r="AT801" t="s">
        <v>15623</v>
      </c>
      <c r="AU801">
        <v>2021</v>
      </c>
      <c r="AV801">
        <v>15</v>
      </c>
      <c r="AW801">
        <v>9</v>
      </c>
      <c r="AX801" t="s">
        <v>74</v>
      </c>
      <c r="AY801" t="s">
        <v>74</v>
      </c>
      <c r="AZ801" t="s">
        <v>74</v>
      </c>
      <c r="BA801" t="s">
        <v>74</v>
      </c>
      <c r="BB801">
        <v>4179</v>
      </c>
      <c r="BC801">
        <v>4199</v>
      </c>
      <c r="BD801" t="s">
        <v>74</v>
      </c>
      <c r="BE801" t="s">
        <v>15654</v>
      </c>
      <c r="BF801" t="str">
        <f>HYPERLINK("http://dx.doi.org/10.5194/tc-15-4179-2021","http://dx.doi.org/10.5194/tc-15-4179-2021")</f>
        <v>http://dx.doi.org/10.5194/tc-15-4179-2021</v>
      </c>
      <c r="BG801" t="s">
        <v>74</v>
      </c>
      <c r="BH801" t="s">
        <v>74</v>
      </c>
      <c r="BI801">
        <v>21</v>
      </c>
      <c r="BJ801" t="s">
        <v>340</v>
      </c>
      <c r="BK801" t="s">
        <v>101</v>
      </c>
      <c r="BL801" t="s">
        <v>341</v>
      </c>
      <c r="BM801" t="s">
        <v>15655</v>
      </c>
      <c r="BN801" t="s">
        <v>74</v>
      </c>
      <c r="BO801" t="s">
        <v>1070</v>
      </c>
      <c r="BP801" t="s">
        <v>74</v>
      </c>
      <c r="BQ801" t="s">
        <v>74</v>
      </c>
      <c r="BR801" t="s">
        <v>105</v>
      </c>
      <c r="BS801" t="s">
        <v>15656</v>
      </c>
      <c r="BT801" t="str">
        <f>HYPERLINK("https%3A%2F%2Fwww.webofscience.com%2Fwos%2Fwoscc%2Ffull-record%2FWOS:000692694600001","View Full Record in Web of Science")</f>
        <v>View Full Record in Web of Science</v>
      </c>
    </row>
    <row r="802" spans="1:72" x14ac:dyDescent="0.15">
      <c r="A802" t="s">
        <v>72</v>
      </c>
      <c r="B802" t="s">
        <v>15657</v>
      </c>
      <c r="C802" t="s">
        <v>74</v>
      </c>
      <c r="D802" t="s">
        <v>74</v>
      </c>
      <c r="E802" t="s">
        <v>74</v>
      </c>
      <c r="F802" t="s">
        <v>15658</v>
      </c>
      <c r="G802" t="s">
        <v>74</v>
      </c>
      <c r="H802" t="s">
        <v>74</v>
      </c>
      <c r="I802" t="s">
        <v>15659</v>
      </c>
      <c r="J802" t="s">
        <v>15660</v>
      </c>
      <c r="K802" t="s">
        <v>74</v>
      </c>
      <c r="L802" t="s">
        <v>74</v>
      </c>
      <c r="M802" t="s">
        <v>78</v>
      </c>
      <c r="N802" t="s">
        <v>373</v>
      </c>
      <c r="O802" t="s">
        <v>74</v>
      </c>
      <c r="P802" t="s">
        <v>74</v>
      </c>
      <c r="Q802" t="s">
        <v>74</v>
      </c>
      <c r="R802" t="s">
        <v>74</v>
      </c>
      <c r="S802" t="s">
        <v>74</v>
      </c>
      <c r="T802" t="s">
        <v>15661</v>
      </c>
      <c r="U802" t="s">
        <v>15662</v>
      </c>
      <c r="V802" t="s">
        <v>15663</v>
      </c>
      <c r="W802" t="s">
        <v>15664</v>
      </c>
      <c r="X802" t="s">
        <v>15665</v>
      </c>
      <c r="Y802" t="s">
        <v>15666</v>
      </c>
      <c r="Z802" t="s">
        <v>15667</v>
      </c>
      <c r="AA802" t="s">
        <v>15668</v>
      </c>
      <c r="AB802" t="s">
        <v>15669</v>
      </c>
      <c r="AC802" t="s">
        <v>15670</v>
      </c>
      <c r="AD802" t="s">
        <v>15671</v>
      </c>
      <c r="AE802" t="s">
        <v>15672</v>
      </c>
      <c r="AF802" t="s">
        <v>74</v>
      </c>
      <c r="AG802">
        <v>81</v>
      </c>
      <c r="AH802">
        <v>5</v>
      </c>
      <c r="AI802">
        <v>5</v>
      </c>
      <c r="AJ802">
        <v>5</v>
      </c>
      <c r="AK802">
        <v>33</v>
      </c>
      <c r="AL802" t="s">
        <v>15673</v>
      </c>
      <c r="AM802" t="s">
        <v>333</v>
      </c>
      <c r="AN802" t="s">
        <v>15674</v>
      </c>
      <c r="AO802" t="s">
        <v>15675</v>
      </c>
      <c r="AP802" t="s">
        <v>15676</v>
      </c>
      <c r="AQ802" t="s">
        <v>74</v>
      </c>
      <c r="AR802" t="s">
        <v>15677</v>
      </c>
      <c r="AS802" t="s">
        <v>15678</v>
      </c>
      <c r="AT802" t="s">
        <v>98</v>
      </c>
      <c r="AU802">
        <v>2021</v>
      </c>
      <c r="AV802">
        <v>33</v>
      </c>
      <c r="AW802">
        <v>23</v>
      </c>
      <c r="AX802" t="s">
        <v>74</v>
      </c>
      <c r="AY802" t="s">
        <v>74</v>
      </c>
      <c r="AZ802" t="s">
        <v>74</v>
      </c>
      <c r="BA802" t="s">
        <v>74</v>
      </c>
      <c r="BB802">
        <v>15933</v>
      </c>
      <c r="BC802">
        <v>15953</v>
      </c>
      <c r="BD802" t="s">
        <v>74</v>
      </c>
      <c r="BE802" t="s">
        <v>15679</v>
      </c>
      <c r="BF802" t="str">
        <f>HYPERLINK("http://dx.doi.org/10.1007/s00521-021-06442-4","http://dx.doi.org/10.1007/s00521-021-06442-4")</f>
        <v>http://dx.doi.org/10.1007/s00521-021-06442-4</v>
      </c>
      <c r="BG802" t="s">
        <v>74</v>
      </c>
      <c r="BH802" t="s">
        <v>11189</v>
      </c>
      <c r="BI802">
        <v>21</v>
      </c>
      <c r="BJ802" t="s">
        <v>15680</v>
      </c>
      <c r="BK802" t="s">
        <v>101</v>
      </c>
      <c r="BL802" t="s">
        <v>15681</v>
      </c>
      <c r="BM802" t="s">
        <v>15682</v>
      </c>
      <c r="BN802" t="s">
        <v>74</v>
      </c>
      <c r="BO802" t="s">
        <v>74</v>
      </c>
      <c r="BP802" t="s">
        <v>74</v>
      </c>
      <c r="BQ802" t="s">
        <v>74</v>
      </c>
      <c r="BR802" t="s">
        <v>105</v>
      </c>
      <c r="BS802" t="s">
        <v>15683</v>
      </c>
      <c r="BT802" t="str">
        <f>HYPERLINK("https%3A%2F%2Fwww.webofscience.com%2Fwos%2Fwoscc%2Ffull-record%2FWOS:000691937200003","View Full Record in Web of Science")</f>
        <v>View Full Record in Web of Science</v>
      </c>
    </row>
    <row r="803" spans="1:72" x14ac:dyDescent="0.15">
      <c r="A803" t="s">
        <v>72</v>
      </c>
      <c r="B803" t="s">
        <v>15684</v>
      </c>
      <c r="C803" t="s">
        <v>74</v>
      </c>
      <c r="D803" t="s">
        <v>74</v>
      </c>
      <c r="E803" t="s">
        <v>74</v>
      </c>
      <c r="F803" t="s">
        <v>15685</v>
      </c>
      <c r="G803" t="s">
        <v>74</v>
      </c>
      <c r="H803" t="s">
        <v>74</v>
      </c>
      <c r="I803" t="s">
        <v>15686</v>
      </c>
      <c r="J803" t="s">
        <v>134</v>
      </c>
      <c r="K803" t="s">
        <v>74</v>
      </c>
      <c r="L803" t="s">
        <v>74</v>
      </c>
      <c r="M803" t="s">
        <v>78</v>
      </c>
      <c r="N803" t="s">
        <v>79</v>
      </c>
      <c r="O803" t="s">
        <v>74</v>
      </c>
      <c r="P803" t="s">
        <v>74</v>
      </c>
      <c r="Q803" t="s">
        <v>74</v>
      </c>
      <c r="R803" t="s">
        <v>74</v>
      </c>
      <c r="S803" t="s">
        <v>74</v>
      </c>
      <c r="T803" t="s">
        <v>15687</v>
      </c>
      <c r="U803" t="s">
        <v>15688</v>
      </c>
      <c r="V803" t="s">
        <v>15689</v>
      </c>
      <c r="W803" t="s">
        <v>15690</v>
      </c>
      <c r="X803" t="s">
        <v>15691</v>
      </c>
      <c r="Y803" t="s">
        <v>15692</v>
      </c>
      <c r="Z803" t="s">
        <v>15693</v>
      </c>
      <c r="AA803" t="s">
        <v>15694</v>
      </c>
      <c r="AB803" t="s">
        <v>74</v>
      </c>
      <c r="AC803" t="s">
        <v>15695</v>
      </c>
      <c r="AD803" t="s">
        <v>15696</v>
      </c>
      <c r="AE803" t="s">
        <v>15697</v>
      </c>
      <c r="AF803" t="s">
        <v>74</v>
      </c>
      <c r="AG803">
        <v>25</v>
      </c>
      <c r="AH803">
        <v>1</v>
      </c>
      <c r="AI803">
        <v>1</v>
      </c>
      <c r="AJ803">
        <v>2</v>
      </c>
      <c r="AK803">
        <v>21</v>
      </c>
      <c r="AL803" t="s">
        <v>142</v>
      </c>
      <c r="AM803" t="s">
        <v>143</v>
      </c>
      <c r="AN803" t="s">
        <v>144</v>
      </c>
      <c r="AO803" t="s">
        <v>145</v>
      </c>
      <c r="AP803" t="s">
        <v>146</v>
      </c>
      <c r="AQ803" t="s">
        <v>74</v>
      </c>
      <c r="AR803" t="s">
        <v>147</v>
      </c>
      <c r="AS803" t="s">
        <v>148</v>
      </c>
      <c r="AT803" t="s">
        <v>627</v>
      </c>
      <c r="AU803">
        <v>2021</v>
      </c>
      <c r="AV803">
        <v>130</v>
      </c>
      <c r="AW803">
        <v>3</v>
      </c>
      <c r="AX803" t="s">
        <v>74</v>
      </c>
      <c r="AY803" t="s">
        <v>74</v>
      </c>
      <c r="AZ803" t="s">
        <v>74</v>
      </c>
      <c r="BA803" t="s">
        <v>74</v>
      </c>
      <c r="BB803" t="s">
        <v>74</v>
      </c>
      <c r="BC803" t="s">
        <v>74</v>
      </c>
      <c r="BD803">
        <v>126</v>
      </c>
      <c r="BE803" t="s">
        <v>15698</v>
      </c>
      <c r="BF803" t="str">
        <f>HYPERLINK("http://dx.doi.org/10.1007/s12040-021-01632-z","http://dx.doi.org/10.1007/s12040-021-01632-z")</f>
        <v>http://dx.doi.org/10.1007/s12040-021-01632-z</v>
      </c>
      <c r="BG803" t="s">
        <v>74</v>
      </c>
      <c r="BH803" t="s">
        <v>74</v>
      </c>
      <c r="BI803">
        <v>15</v>
      </c>
      <c r="BJ803" t="s">
        <v>150</v>
      </c>
      <c r="BK803" t="s">
        <v>101</v>
      </c>
      <c r="BL803" t="s">
        <v>151</v>
      </c>
      <c r="BM803" t="s">
        <v>15699</v>
      </c>
      <c r="BN803" t="s">
        <v>74</v>
      </c>
      <c r="BO803" t="s">
        <v>74</v>
      </c>
      <c r="BP803" t="s">
        <v>74</v>
      </c>
      <c r="BQ803" t="s">
        <v>74</v>
      </c>
      <c r="BR803" t="s">
        <v>105</v>
      </c>
      <c r="BS803" t="s">
        <v>15700</v>
      </c>
      <c r="BT803" t="str">
        <f>HYPERLINK("https%3A%2F%2Fwww.webofscience.com%2Fwos%2Fwoscc%2Ffull-record%2FWOS:000691488400002","View Full Record in Web of Science")</f>
        <v>View Full Record in Web of Science</v>
      </c>
    </row>
    <row r="804" spans="1:72" x14ac:dyDescent="0.15">
      <c r="A804" t="s">
        <v>72</v>
      </c>
      <c r="B804" t="s">
        <v>15701</v>
      </c>
      <c r="C804" t="s">
        <v>74</v>
      </c>
      <c r="D804" t="s">
        <v>74</v>
      </c>
      <c r="E804" t="s">
        <v>74</v>
      </c>
      <c r="F804" t="s">
        <v>15702</v>
      </c>
      <c r="G804" t="s">
        <v>74</v>
      </c>
      <c r="H804" t="s">
        <v>74</v>
      </c>
      <c r="I804" t="s">
        <v>15703</v>
      </c>
      <c r="J804" t="s">
        <v>15704</v>
      </c>
      <c r="K804" t="s">
        <v>74</v>
      </c>
      <c r="L804" t="s">
        <v>74</v>
      </c>
      <c r="M804" t="s">
        <v>78</v>
      </c>
      <c r="N804" t="s">
        <v>79</v>
      </c>
      <c r="O804" t="s">
        <v>74</v>
      </c>
      <c r="P804" t="s">
        <v>74</v>
      </c>
      <c r="Q804" t="s">
        <v>74</v>
      </c>
      <c r="R804" t="s">
        <v>74</v>
      </c>
      <c r="S804" t="s">
        <v>74</v>
      </c>
      <c r="T804" t="s">
        <v>15705</v>
      </c>
      <c r="U804" t="s">
        <v>15706</v>
      </c>
      <c r="V804" t="s">
        <v>15707</v>
      </c>
      <c r="W804" t="s">
        <v>15708</v>
      </c>
      <c r="X804" t="s">
        <v>15709</v>
      </c>
      <c r="Y804" t="s">
        <v>15710</v>
      </c>
      <c r="Z804" t="s">
        <v>15711</v>
      </c>
      <c r="AA804" t="s">
        <v>74</v>
      </c>
      <c r="AB804" t="s">
        <v>15712</v>
      </c>
      <c r="AC804" t="s">
        <v>15713</v>
      </c>
      <c r="AD804" t="s">
        <v>15714</v>
      </c>
      <c r="AE804" t="s">
        <v>15715</v>
      </c>
      <c r="AF804" t="s">
        <v>74</v>
      </c>
      <c r="AG804">
        <v>25</v>
      </c>
      <c r="AH804">
        <v>3</v>
      </c>
      <c r="AI804">
        <v>3</v>
      </c>
      <c r="AJ804">
        <v>2</v>
      </c>
      <c r="AK804">
        <v>31</v>
      </c>
      <c r="AL804" t="s">
        <v>5359</v>
      </c>
      <c r="AM804" t="s">
        <v>5360</v>
      </c>
      <c r="AN804" t="s">
        <v>5361</v>
      </c>
      <c r="AO804" t="s">
        <v>15716</v>
      </c>
      <c r="AP804" t="s">
        <v>15717</v>
      </c>
      <c r="AQ804" t="s">
        <v>74</v>
      </c>
      <c r="AR804" t="s">
        <v>15718</v>
      </c>
      <c r="AS804" t="s">
        <v>15719</v>
      </c>
      <c r="AT804" t="s">
        <v>627</v>
      </c>
      <c r="AU804">
        <v>2021</v>
      </c>
      <c r="AV804">
        <v>18</v>
      </c>
      <c r="AW804">
        <v>9</v>
      </c>
      <c r="AX804" t="s">
        <v>74</v>
      </c>
      <c r="AY804" t="s">
        <v>74</v>
      </c>
      <c r="AZ804" t="s">
        <v>74</v>
      </c>
      <c r="BA804" t="s">
        <v>74</v>
      </c>
      <c r="BB804">
        <v>1520</v>
      </c>
      <c r="BC804">
        <v>1524</v>
      </c>
      <c r="BD804" t="s">
        <v>74</v>
      </c>
      <c r="BE804" t="s">
        <v>15720</v>
      </c>
      <c r="BF804" t="str">
        <f>HYPERLINK("http://dx.doi.org/10.1109/LGRS.2020.3004257","http://dx.doi.org/10.1109/LGRS.2020.3004257")</f>
        <v>http://dx.doi.org/10.1109/LGRS.2020.3004257</v>
      </c>
      <c r="BG804" t="s">
        <v>74</v>
      </c>
      <c r="BH804" t="s">
        <v>74</v>
      </c>
      <c r="BI804">
        <v>5</v>
      </c>
      <c r="BJ804" t="s">
        <v>15721</v>
      </c>
      <c r="BK804" t="s">
        <v>101</v>
      </c>
      <c r="BL804" t="s">
        <v>15722</v>
      </c>
      <c r="BM804" t="s">
        <v>15723</v>
      </c>
      <c r="BN804" t="s">
        <v>74</v>
      </c>
      <c r="BO804" t="s">
        <v>74</v>
      </c>
      <c r="BP804" t="s">
        <v>74</v>
      </c>
      <c r="BQ804" t="s">
        <v>74</v>
      </c>
      <c r="BR804" t="s">
        <v>105</v>
      </c>
      <c r="BS804" t="s">
        <v>15724</v>
      </c>
      <c r="BT804" t="str">
        <f>HYPERLINK("https%3A%2F%2Fwww.webofscience.com%2Fwos%2Fwoscc%2Ffull-record%2FWOS:000690441200010","View Full Record in Web of Science")</f>
        <v>View Full Record in Web of Science</v>
      </c>
    </row>
    <row r="805" spans="1:72" x14ac:dyDescent="0.15">
      <c r="A805" t="s">
        <v>72</v>
      </c>
      <c r="B805" t="s">
        <v>15725</v>
      </c>
      <c r="C805" t="s">
        <v>74</v>
      </c>
      <c r="D805" t="s">
        <v>74</v>
      </c>
      <c r="E805" t="s">
        <v>74</v>
      </c>
      <c r="F805" t="s">
        <v>15726</v>
      </c>
      <c r="G805" t="s">
        <v>74</v>
      </c>
      <c r="H805" t="s">
        <v>74</v>
      </c>
      <c r="I805" t="s">
        <v>15727</v>
      </c>
      <c r="J805" t="s">
        <v>15728</v>
      </c>
      <c r="K805" t="s">
        <v>74</v>
      </c>
      <c r="L805" t="s">
        <v>74</v>
      </c>
      <c r="M805" t="s">
        <v>78</v>
      </c>
      <c r="N805" t="s">
        <v>1764</v>
      </c>
      <c r="O805" t="s">
        <v>74</v>
      </c>
      <c r="P805" t="s">
        <v>74</v>
      </c>
      <c r="Q805" t="s">
        <v>74</v>
      </c>
      <c r="R805" t="s">
        <v>74</v>
      </c>
      <c r="S805" t="s">
        <v>74</v>
      </c>
      <c r="T805" t="s">
        <v>74</v>
      </c>
      <c r="U805" t="s">
        <v>74</v>
      </c>
      <c r="V805" t="s">
        <v>74</v>
      </c>
      <c r="W805" t="s">
        <v>15729</v>
      </c>
      <c r="X805" t="s">
        <v>15730</v>
      </c>
      <c r="Y805" t="s">
        <v>74</v>
      </c>
      <c r="Z805" t="s">
        <v>15731</v>
      </c>
      <c r="AA805" t="s">
        <v>15732</v>
      </c>
      <c r="AB805" t="s">
        <v>15733</v>
      </c>
      <c r="AC805" t="s">
        <v>74</v>
      </c>
      <c r="AD805" t="s">
        <v>74</v>
      </c>
      <c r="AE805" t="s">
        <v>74</v>
      </c>
      <c r="AF805" t="s">
        <v>74</v>
      </c>
      <c r="AG805">
        <v>20</v>
      </c>
      <c r="AH805">
        <v>1</v>
      </c>
      <c r="AI805">
        <v>1</v>
      </c>
      <c r="AJ805">
        <v>0</v>
      </c>
      <c r="AK805">
        <v>2</v>
      </c>
      <c r="AL805" t="s">
        <v>15734</v>
      </c>
      <c r="AM805" t="s">
        <v>15735</v>
      </c>
      <c r="AN805" t="s">
        <v>15736</v>
      </c>
      <c r="AO805" t="s">
        <v>15737</v>
      </c>
      <c r="AP805" t="s">
        <v>15738</v>
      </c>
      <c r="AQ805" t="s">
        <v>74</v>
      </c>
      <c r="AR805" t="s">
        <v>15739</v>
      </c>
      <c r="AS805" t="s">
        <v>15740</v>
      </c>
      <c r="AT805" t="s">
        <v>627</v>
      </c>
      <c r="AU805">
        <v>2021</v>
      </c>
      <c r="AV805">
        <v>92</v>
      </c>
      <c r="AW805">
        <v>5</v>
      </c>
      <c r="AX805" t="s">
        <v>74</v>
      </c>
      <c r="AY805" t="s">
        <v>74</v>
      </c>
      <c r="AZ805" t="s">
        <v>74</v>
      </c>
      <c r="BA805" t="s">
        <v>74</v>
      </c>
      <c r="BB805">
        <v>2691</v>
      </c>
      <c r="BC805">
        <v>2694</v>
      </c>
      <c r="BD805" t="s">
        <v>74</v>
      </c>
      <c r="BE805" t="s">
        <v>15741</v>
      </c>
      <c r="BF805" t="str">
        <f>HYPERLINK("http://dx.doi.org/10.1785/0220210163","http://dx.doi.org/10.1785/0220210163")</f>
        <v>http://dx.doi.org/10.1785/0220210163</v>
      </c>
      <c r="BG805" t="s">
        <v>74</v>
      </c>
      <c r="BH805" t="s">
        <v>74</v>
      </c>
      <c r="BI805">
        <v>4</v>
      </c>
      <c r="BJ805" t="s">
        <v>365</v>
      </c>
      <c r="BK805" t="s">
        <v>101</v>
      </c>
      <c r="BL805" t="s">
        <v>365</v>
      </c>
      <c r="BM805" t="s">
        <v>15742</v>
      </c>
      <c r="BN805" t="s">
        <v>74</v>
      </c>
      <c r="BO805" t="s">
        <v>74</v>
      </c>
      <c r="BP805" t="s">
        <v>74</v>
      </c>
      <c r="BQ805" t="s">
        <v>74</v>
      </c>
      <c r="BR805" t="s">
        <v>105</v>
      </c>
      <c r="BS805" t="s">
        <v>15743</v>
      </c>
      <c r="BT805" t="str">
        <f>HYPERLINK("https%3A%2F%2Fwww.webofscience.com%2Fwos%2Fwoscc%2Ffull-record%2FWOS:000689485800001","View Full Record in Web of Science")</f>
        <v>View Full Record in Web of Science</v>
      </c>
    </row>
    <row r="806" spans="1:72" x14ac:dyDescent="0.15">
      <c r="A806" t="s">
        <v>72</v>
      </c>
      <c r="B806" t="s">
        <v>15744</v>
      </c>
      <c r="C806" t="s">
        <v>74</v>
      </c>
      <c r="D806" t="s">
        <v>74</v>
      </c>
      <c r="E806" t="s">
        <v>74</v>
      </c>
      <c r="F806" t="s">
        <v>15745</v>
      </c>
      <c r="G806" t="s">
        <v>74</v>
      </c>
      <c r="H806" t="s">
        <v>74</v>
      </c>
      <c r="I806" t="s">
        <v>15746</v>
      </c>
      <c r="J806" t="s">
        <v>15728</v>
      </c>
      <c r="K806" t="s">
        <v>74</v>
      </c>
      <c r="L806" t="s">
        <v>74</v>
      </c>
      <c r="M806" t="s">
        <v>78</v>
      </c>
      <c r="N806" t="s">
        <v>79</v>
      </c>
      <c r="O806" t="s">
        <v>74</v>
      </c>
      <c r="P806" t="s">
        <v>74</v>
      </c>
      <c r="Q806" t="s">
        <v>74</v>
      </c>
      <c r="R806" t="s">
        <v>74</v>
      </c>
      <c r="S806" t="s">
        <v>74</v>
      </c>
      <c r="T806" t="s">
        <v>74</v>
      </c>
      <c r="U806" t="s">
        <v>15747</v>
      </c>
      <c r="V806" t="s">
        <v>15748</v>
      </c>
      <c r="W806" t="s">
        <v>15749</v>
      </c>
      <c r="X806" t="s">
        <v>15750</v>
      </c>
      <c r="Y806" t="s">
        <v>15751</v>
      </c>
      <c r="Z806" t="s">
        <v>15752</v>
      </c>
      <c r="AA806" t="s">
        <v>15753</v>
      </c>
      <c r="AB806" t="s">
        <v>15754</v>
      </c>
      <c r="AC806" t="s">
        <v>15755</v>
      </c>
      <c r="AD806" t="s">
        <v>15756</v>
      </c>
      <c r="AE806" t="s">
        <v>15757</v>
      </c>
      <c r="AF806" t="s">
        <v>74</v>
      </c>
      <c r="AG806">
        <v>45</v>
      </c>
      <c r="AH806">
        <v>6</v>
      </c>
      <c r="AI806">
        <v>6</v>
      </c>
      <c r="AJ806">
        <v>0</v>
      </c>
      <c r="AK806">
        <v>7</v>
      </c>
      <c r="AL806" t="s">
        <v>15734</v>
      </c>
      <c r="AM806" t="s">
        <v>15735</v>
      </c>
      <c r="AN806" t="s">
        <v>15736</v>
      </c>
      <c r="AO806" t="s">
        <v>15737</v>
      </c>
      <c r="AP806" t="s">
        <v>15738</v>
      </c>
      <c r="AQ806" t="s">
        <v>74</v>
      </c>
      <c r="AR806" t="s">
        <v>15739</v>
      </c>
      <c r="AS806" t="s">
        <v>15740</v>
      </c>
      <c r="AT806" t="s">
        <v>627</v>
      </c>
      <c r="AU806">
        <v>2021</v>
      </c>
      <c r="AV806">
        <v>92</v>
      </c>
      <c r="AW806">
        <v>5</v>
      </c>
      <c r="AX806" t="s">
        <v>74</v>
      </c>
      <c r="AY806" t="s">
        <v>74</v>
      </c>
      <c r="AZ806" t="s">
        <v>74</v>
      </c>
      <c r="BA806" t="s">
        <v>74</v>
      </c>
      <c r="BB806">
        <v>2736</v>
      </c>
      <c r="BC806">
        <v>2747</v>
      </c>
      <c r="BD806" t="s">
        <v>74</v>
      </c>
      <c r="BE806" t="s">
        <v>15758</v>
      </c>
      <c r="BF806" t="str">
        <f>HYPERLINK("http://dx.doi.org/10.1785/0220200483","http://dx.doi.org/10.1785/0220200483")</f>
        <v>http://dx.doi.org/10.1785/0220200483</v>
      </c>
      <c r="BG806" t="s">
        <v>74</v>
      </c>
      <c r="BH806" t="s">
        <v>74</v>
      </c>
      <c r="BI806">
        <v>12</v>
      </c>
      <c r="BJ806" t="s">
        <v>365</v>
      </c>
      <c r="BK806" t="s">
        <v>101</v>
      </c>
      <c r="BL806" t="s">
        <v>365</v>
      </c>
      <c r="BM806" t="s">
        <v>15742</v>
      </c>
      <c r="BN806" t="s">
        <v>74</v>
      </c>
      <c r="BO806" t="s">
        <v>314</v>
      </c>
      <c r="BP806" t="s">
        <v>74</v>
      </c>
      <c r="BQ806" t="s">
        <v>74</v>
      </c>
      <c r="BR806" t="s">
        <v>105</v>
      </c>
      <c r="BS806" t="s">
        <v>15759</v>
      </c>
      <c r="BT806" t="str">
        <f>HYPERLINK("https%3A%2F%2Fwww.webofscience.com%2Fwos%2Fwoscc%2Ffull-record%2FWOS:000689485800005","View Full Record in Web of Science")</f>
        <v>View Full Record in Web of Science</v>
      </c>
    </row>
    <row r="807" spans="1:72" x14ac:dyDescent="0.15">
      <c r="A807" t="s">
        <v>72</v>
      </c>
      <c r="B807" t="s">
        <v>15760</v>
      </c>
      <c r="C807" t="s">
        <v>74</v>
      </c>
      <c r="D807" t="s">
        <v>74</v>
      </c>
      <c r="E807" t="s">
        <v>74</v>
      </c>
      <c r="F807" t="s">
        <v>15761</v>
      </c>
      <c r="G807" t="s">
        <v>74</v>
      </c>
      <c r="H807" t="s">
        <v>74</v>
      </c>
      <c r="I807" t="s">
        <v>15762</v>
      </c>
      <c r="J807" t="s">
        <v>15728</v>
      </c>
      <c r="K807" t="s">
        <v>74</v>
      </c>
      <c r="L807" t="s">
        <v>74</v>
      </c>
      <c r="M807" t="s">
        <v>78</v>
      </c>
      <c r="N807" t="s">
        <v>79</v>
      </c>
      <c r="O807" t="s">
        <v>74</v>
      </c>
      <c r="P807" t="s">
        <v>74</v>
      </c>
      <c r="Q807" t="s">
        <v>74</v>
      </c>
      <c r="R807" t="s">
        <v>74</v>
      </c>
      <c r="S807" t="s">
        <v>74</v>
      </c>
      <c r="T807" t="s">
        <v>74</v>
      </c>
      <c r="U807" t="s">
        <v>15763</v>
      </c>
      <c r="V807" t="s">
        <v>15764</v>
      </c>
      <c r="W807" t="s">
        <v>15765</v>
      </c>
      <c r="X807" t="s">
        <v>74</v>
      </c>
      <c r="Y807" t="s">
        <v>15766</v>
      </c>
      <c r="Z807" t="s">
        <v>15767</v>
      </c>
      <c r="AA807" t="s">
        <v>15768</v>
      </c>
      <c r="AB807" t="s">
        <v>15769</v>
      </c>
      <c r="AC807" t="s">
        <v>15770</v>
      </c>
      <c r="AD807" t="s">
        <v>15771</v>
      </c>
      <c r="AE807" t="s">
        <v>15772</v>
      </c>
      <c r="AF807" t="s">
        <v>74</v>
      </c>
      <c r="AG807">
        <v>37</v>
      </c>
      <c r="AH807">
        <v>1</v>
      </c>
      <c r="AI807">
        <v>1</v>
      </c>
      <c r="AJ807">
        <v>1</v>
      </c>
      <c r="AK807">
        <v>6</v>
      </c>
      <c r="AL807" t="s">
        <v>15734</v>
      </c>
      <c r="AM807" t="s">
        <v>15735</v>
      </c>
      <c r="AN807" t="s">
        <v>15736</v>
      </c>
      <c r="AO807" t="s">
        <v>15737</v>
      </c>
      <c r="AP807" t="s">
        <v>15738</v>
      </c>
      <c r="AQ807" t="s">
        <v>74</v>
      </c>
      <c r="AR807" t="s">
        <v>15739</v>
      </c>
      <c r="AS807" t="s">
        <v>15740</v>
      </c>
      <c r="AT807" t="s">
        <v>627</v>
      </c>
      <c r="AU807">
        <v>2021</v>
      </c>
      <c r="AV807">
        <v>92</v>
      </c>
      <c r="AW807">
        <v>5</v>
      </c>
      <c r="AX807" t="s">
        <v>74</v>
      </c>
      <c r="AY807" t="s">
        <v>74</v>
      </c>
      <c r="AZ807" t="s">
        <v>74</v>
      </c>
      <c r="BA807" t="s">
        <v>74</v>
      </c>
      <c r="BB807">
        <v>2748</v>
      </c>
      <c r="BC807">
        <v>2757</v>
      </c>
      <c r="BD807" t="s">
        <v>74</v>
      </c>
      <c r="BE807" t="s">
        <v>15773</v>
      </c>
      <c r="BF807" t="str">
        <f>HYPERLINK("http://dx.doi.org/10.1785/0220200484","http://dx.doi.org/10.1785/0220200484")</f>
        <v>http://dx.doi.org/10.1785/0220200484</v>
      </c>
      <c r="BG807" t="s">
        <v>74</v>
      </c>
      <c r="BH807" t="s">
        <v>74</v>
      </c>
      <c r="BI807">
        <v>10</v>
      </c>
      <c r="BJ807" t="s">
        <v>365</v>
      </c>
      <c r="BK807" t="s">
        <v>101</v>
      </c>
      <c r="BL807" t="s">
        <v>365</v>
      </c>
      <c r="BM807" t="s">
        <v>15742</v>
      </c>
      <c r="BN807" t="s">
        <v>74</v>
      </c>
      <c r="BO807" t="s">
        <v>74</v>
      </c>
      <c r="BP807" t="s">
        <v>74</v>
      </c>
      <c r="BQ807" t="s">
        <v>74</v>
      </c>
      <c r="BR807" t="s">
        <v>105</v>
      </c>
      <c r="BS807" t="s">
        <v>15774</v>
      </c>
      <c r="BT807" t="str">
        <f>HYPERLINK("https%3A%2F%2Fwww.webofscience.com%2Fwos%2Fwoscc%2Ffull-record%2FWOS:000689485800006","View Full Record in Web of Science")</f>
        <v>View Full Record in Web of Science</v>
      </c>
    </row>
    <row r="808" spans="1:72" x14ac:dyDescent="0.15">
      <c r="A808" t="s">
        <v>72</v>
      </c>
      <c r="B808" t="s">
        <v>15775</v>
      </c>
      <c r="C808" t="s">
        <v>74</v>
      </c>
      <c r="D808" t="s">
        <v>74</v>
      </c>
      <c r="E808" t="s">
        <v>74</v>
      </c>
      <c r="F808" t="s">
        <v>15776</v>
      </c>
      <c r="G808" t="s">
        <v>74</v>
      </c>
      <c r="H808" t="s">
        <v>74</v>
      </c>
      <c r="I808" t="s">
        <v>15777</v>
      </c>
      <c r="J808" t="s">
        <v>15728</v>
      </c>
      <c r="K808" t="s">
        <v>74</v>
      </c>
      <c r="L808" t="s">
        <v>74</v>
      </c>
      <c r="M808" t="s">
        <v>78</v>
      </c>
      <c r="N808" t="s">
        <v>79</v>
      </c>
      <c r="O808" t="s">
        <v>74</v>
      </c>
      <c r="P808" t="s">
        <v>74</v>
      </c>
      <c r="Q808" t="s">
        <v>74</v>
      </c>
      <c r="R808" t="s">
        <v>74</v>
      </c>
      <c r="S808" t="s">
        <v>74</v>
      </c>
      <c r="T808" t="s">
        <v>74</v>
      </c>
      <c r="U808" t="s">
        <v>15778</v>
      </c>
      <c r="V808" t="s">
        <v>15779</v>
      </c>
      <c r="W808" t="s">
        <v>15780</v>
      </c>
      <c r="X808" t="s">
        <v>15781</v>
      </c>
      <c r="Y808" t="s">
        <v>15782</v>
      </c>
      <c r="Z808" t="s">
        <v>15783</v>
      </c>
      <c r="AA808" t="s">
        <v>15784</v>
      </c>
      <c r="AB808" t="s">
        <v>15785</v>
      </c>
      <c r="AC808" t="s">
        <v>15786</v>
      </c>
      <c r="AD808" t="s">
        <v>15787</v>
      </c>
      <c r="AE808" t="s">
        <v>15788</v>
      </c>
      <c r="AF808" t="s">
        <v>74</v>
      </c>
      <c r="AG808">
        <v>64</v>
      </c>
      <c r="AH808">
        <v>4</v>
      </c>
      <c r="AI808">
        <v>4</v>
      </c>
      <c r="AJ808">
        <v>2</v>
      </c>
      <c r="AK808">
        <v>13</v>
      </c>
      <c r="AL808" t="s">
        <v>15734</v>
      </c>
      <c r="AM808" t="s">
        <v>15735</v>
      </c>
      <c r="AN808" t="s">
        <v>15736</v>
      </c>
      <c r="AO808" t="s">
        <v>15737</v>
      </c>
      <c r="AP808" t="s">
        <v>15738</v>
      </c>
      <c r="AQ808" t="s">
        <v>74</v>
      </c>
      <c r="AR808" t="s">
        <v>15739</v>
      </c>
      <c r="AS808" t="s">
        <v>15740</v>
      </c>
      <c r="AT808" t="s">
        <v>627</v>
      </c>
      <c r="AU808">
        <v>2021</v>
      </c>
      <c r="AV808">
        <v>92</v>
      </c>
      <c r="AW808">
        <v>5</v>
      </c>
      <c r="AX808" t="s">
        <v>74</v>
      </c>
      <c r="AY808" t="s">
        <v>74</v>
      </c>
      <c r="AZ808" t="s">
        <v>74</v>
      </c>
      <c r="BA808" t="s">
        <v>74</v>
      </c>
      <c r="BB808">
        <v>2768</v>
      </c>
      <c r="BC808">
        <v>2792</v>
      </c>
      <c r="BD808" t="s">
        <v>74</v>
      </c>
      <c r="BE808" t="s">
        <v>15789</v>
      </c>
      <c r="BF808" t="str">
        <f>HYPERLINK("http://dx.doi.org/10.1785/0220200478","http://dx.doi.org/10.1785/0220200478")</f>
        <v>http://dx.doi.org/10.1785/0220200478</v>
      </c>
      <c r="BG808" t="s">
        <v>74</v>
      </c>
      <c r="BH808" t="s">
        <v>74</v>
      </c>
      <c r="BI808">
        <v>25</v>
      </c>
      <c r="BJ808" t="s">
        <v>365</v>
      </c>
      <c r="BK808" t="s">
        <v>101</v>
      </c>
      <c r="BL808" t="s">
        <v>365</v>
      </c>
      <c r="BM808" t="s">
        <v>15742</v>
      </c>
      <c r="BN808" t="s">
        <v>74</v>
      </c>
      <c r="BO808" t="s">
        <v>74</v>
      </c>
      <c r="BP808" t="s">
        <v>74</v>
      </c>
      <c r="BQ808" t="s">
        <v>74</v>
      </c>
      <c r="BR808" t="s">
        <v>105</v>
      </c>
      <c r="BS808" t="s">
        <v>15790</v>
      </c>
      <c r="BT808" t="str">
        <f>HYPERLINK("https%3A%2F%2Fwww.webofscience.com%2Fwos%2Fwoscc%2Ffull-record%2FWOS:000689485800008","View Full Record in Web of Science")</f>
        <v>View Full Record in Web of Science</v>
      </c>
    </row>
    <row r="809" spans="1:72" x14ac:dyDescent="0.15">
      <c r="A809" t="s">
        <v>72</v>
      </c>
      <c r="B809" t="s">
        <v>15791</v>
      </c>
      <c r="C809" t="s">
        <v>74</v>
      </c>
      <c r="D809" t="s">
        <v>74</v>
      </c>
      <c r="E809" t="s">
        <v>74</v>
      </c>
      <c r="F809" t="s">
        <v>15792</v>
      </c>
      <c r="G809" t="s">
        <v>74</v>
      </c>
      <c r="H809" t="s">
        <v>74</v>
      </c>
      <c r="I809" t="s">
        <v>15793</v>
      </c>
      <c r="J809" t="s">
        <v>14116</v>
      </c>
      <c r="K809" t="s">
        <v>74</v>
      </c>
      <c r="L809" t="s">
        <v>74</v>
      </c>
      <c r="M809" t="s">
        <v>78</v>
      </c>
      <c r="N809" t="s">
        <v>79</v>
      </c>
      <c r="O809" t="s">
        <v>74</v>
      </c>
      <c r="P809" t="s">
        <v>74</v>
      </c>
      <c r="Q809" t="s">
        <v>74</v>
      </c>
      <c r="R809" t="s">
        <v>74</v>
      </c>
      <c r="S809" t="s">
        <v>74</v>
      </c>
      <c r="T809" t="s">
        <v>15794</v>
      </c>
      <c r="U809" t="s">
        <v>15795</v>
      </c>
      <c r="V809" t="s">
        <v>15796</v>
      </c>
      <c r="W809" t="s">
        <v>15797</v>
      </c>
      <c r="X809" t="s">
        <v>15798</v>
      </c>
      <c r="Y809" t="s">
        <v>15799</v>
      </c>
      <c r="Z809" t="s">
        <v>15800</v>
      </c>
      <c r="AA809" t="s">
        <v>74</v>
      </c>
      <c r="AB809" t="s">
        <v>74</v>
      </c>
      <c r="AC809" t="s">
        <v>74</v>
      </c>
      <c r="AD809" t="s">
        <v>74</v>
      </c>
      <c r="AE809" t="s">
        <v>74</v>
      </c>
      <c r="AF809" t="s">
        <v>74</v>
      </c>
      <c r="AG809">
        <v>31</v>
      </c>
      <c r="AH809">
        <v>11</v>
      </c>
      <c r="AI809">
        <v>12</v>
      </c>
      <c r="AJ809">
        <v>1</v>
      </c>
      <c r="AK809">
        <v>14</v>
      </c>
      <c r="AL809" t="s">
        <v>666</v>
      </c>
      <c r="AM809" t="s">
        <v>994</v>
      </c>
      <c r="AN809" t="s">
        <v>995</v>
      </c>
      <c r="AO809" t="s">
        <v>14129</v>
      </c>
      <c r="AP809" t="s">
        <v>14130</v>
      </c>
      <c r="AQ809" t="s">
        <v>74</v>
      </c>
      <c r="AR809" t="s">
        <v>14131</v>
      </c>
      <c r="AS809" t="s">
        <v>14132</v>
      </c>
      <c r="AT809" t="s">
        <v>627</v>
      </c>
      <c r="AU809">
        <v>2021</v>
      </c>
      <c r="AV809">
        <v>62</v>
      </c>
      <c r="AW809" t="s">
        <v>14133</v>
      </c>
      <c r="AX809" t="s">
        <v>74</v>
      </c>
      <c r="AY809" t="s">
        <v>74</v>
      </c>
      <c r="AZ809" t="s">
        <v>74</v>
      </c>
      <c r="BA809" t="s">
        <v>74</v>
      </c>
      <c r="BB809">
        <v>212</v>
      </c>
      <c r="BC809">
        <v>222</v>
      </c>
      <c r="BD809" t="s">
        <v>74</v>
      </c>
      <c r="BE809" t="s">
        <v>15801</v>
      </c>
      <c r="BF809" t="str">
        <f>HYPERLINK("http://dx.doi.org/10.1017/aog.2020.84","http://dx.doi.org/10.1017/aog.2020.84")</f>
        <v>http://dx.doi.org/10.1017/aog.2020.84</v>
      </c>
      <c r="BG809" t="s">
        <v>74</v>
      </c>
      <c r="BH809" t="s">
        <v>74</v>
      </c>
      <c r="BI809">
        <v>11</v>
      </c>
      <c r="BJ809" t="s">
        <v>340</v>
      </c>
      <c r="BK809" t="s">
        <v>101</v>
      </c>
      <c r="BL809" t="s">
        <v>341</v>
      </c>
      <c r="BM809" t="s">
        <v>14135</v>
      </c>
      <c r="BN809" t="s">
        <v>74</v>
      </c>
      <c r="BO809" t="s">
        <v>210</v>
      </c>
      <c r="BP809" t="s">
        <v>74</v>
      </c>
      <c r="BQ809" t="s">
        <v>74</v>
      </c>
      <c r="BR809" t="s">
        <v>105</v>
      </c>
      <c r="BS809" t="s">
        <v>15802</v>
      </c>
      <c r="BT809" t="str">
        <f>HYPERLINK("https%3A%2F%2Fwww.webofscience.com%2Fwos%2Fwoscc%2Ffull-record%2FWOS:000756851600004","View Full Record in Web of Science")</f>
        <v>View Full Record in Web of Science</v>
      </c>
    </row>
    <row r="810" spans="1:72" x14ac:dyDescent="0.15">
      <c r="A810" t="s">
        <v>72</v>
      </c>
      <c r="B810" t="s">
        <v>15803</v>
      </c>
      <c r="C810" t="s">
        <v>74</v>
      </c>
      <c r="D810" t="s">
        <v>74</v>
      </c>
      <c r="E810" t="s">
        <v>74</v>
      </c>
      <c r="F810" t="s">
        <v>15804</v>
      </c>
      <c r="G810" t="s">
        <v>74</v>
      </c>
      <c r="H810" t="s">
        <v>74</v>
      </c>
      <c r="I810" t="s">
        <v>15805</v>
      </c>
      <c r="J810" t="s">
        <v>15806</v>
      </c>
      <c r="K810" t="s">
        <v>74</v>
      </c>
      <c r="L810" t="s">
        <v>74</v>
      </c>
      <c r="M810" t="s">
        <v>78</v>
      </c>
      <c r="N810" t="s">
        <v>79</v>
      </c>
      <c r="O810" t="s">
        <v>74</v>
      </c>
      <c r="P810" t="s">
        <v>74</v>
      </c>
      <c r="Q810" t="s">
        <v>74</v>
      </c>
      <c r="R810" t="s">
        <v>74</v>
      </c>
      <c r="S810" t="s">
        <v>74</v>
      </c>
      <c r="T810" t="s">
        <v>15807</v>
      </c>
      <c r="U810" t="s">
        <v>15808</v>
      </c>
      <c r="V810" t="s">
        <v>15809</v>
      </c>
      <c r="W810" t="s">
        <v>15810</v>
      </c>
      <c r="X810" t="s">
        <v>15811</v>
      </c>
      <c r="Y810" t="s">
        <v>15812</v>
      </c>
      <c r="Z810" t="s">
        <v>15813</v>
      </c>
      <c r="AA810" t="s">
        <v>74</v>
      </c>
      <c r="AB810" t="s">
        <v>15814</v>
      </c>
      <c r="AC810" t="s">
        <v>74</v>
      </c>
      <c r="AD810" t="s">
        <v>74</v>
      </c>
      <c r="AE810" t="s">
        <v>74</v>
      </c>
      <c r="AF810" t="s">
        <v>74</v>
      </c>
      <c r="AG810">
        <v>36</v>
      </c>
      <c r="AH810">
        <v>2</v>
      </c>
      <c r="AI810">
        <v>2</v>
      </c>
      <c r="AJ810">
        <v>2</v>
      </c>
      <c r="AK810">
        <v>2</v>
      </c>
      <c r="AL810" t="s">
        <v>4192</v>
      </c>
      <c r="AM810" t="s">
        <v>4193</v>
      </c>
      <c r="AN810" t="s">
        <v>4194</v>
      </c>
      <c r="AO810" t="s">
        <v>74</v>
      </c>
      <c r="AP810" t="s">
        <v>15815</v>
      </c>
      <c r="AQ810" t="s">
        <v>74</v>
      </c>
      <c r="AR810" t="s">
        <v>15816</v>
      </c>
      <c r="AS810" t="s">
        <v>15817</v>
      </c>
      <c r="AT810" t="s">
        <v>627</v>
      </c>
      <c r="AU810">
        <v>2021</v>
      </c>
      <c r="AV810">
        <v>2</v>
      </c>
      <c r="AW810">
        <v>3</v>
      </c>
      <c r="AX810" t="s">
        <v>74</v>
      </c>
      <c r="AY810" t="s">
        <v>74</v>
      </c>
      <c r="AZ810" t="s">
        <v>74</v>
      </c>
      <c r="BA810" t="s">
        <v>74</v>
      </c>
      <c r="BB810">
        <v>275</v>
      </c>
      <c r="BC810">
        <v>284</v>
      </c>
      <c r="BD810" t="s">
        <v>74</v>
      </c>
      <c r="BE810" t="s">
        <v>15818</v>
      </c>
      <c r="BF810" t="str">
        <f>HYPERLINK("http://dx.doi.org/10.3390/birds2030020","http://dx.doi.org/10.3390/birds2030020")</f>
        <v>http://dx.doi.org/10.3390/birds2030020</v>
      </c>
      <c r="BG810" t="s">
        <v>74</v>
      </c>
      <c r="BH810" t="s">
        <v>74</v>
      </c>
      <c r="BI810">
        <v>10</v>
      </c>
      <c r="BJ810" t="s">
        <v>9410</v>
      </c>
      <c r="BK810" t="s">
        <v>1629</v>
      </c>
      <c r="BL810" t="s">
        <v>1612</v>
      </c>
      <c r="BM810" t="s">
        <v>15819</v>
      </c>
      <c r="BN810" t="s">
        <v>74</v>
      </c>
      <c r="BO810" t="s">
        <v>210</v>
      </c>
      <c r="BP810" t="s">
        <v>74</v>
      </c>
      <c r="BQ810" t="s">
        <v>74</v>
      </c>
      <c r="BR810" t="s">
        <v>105</v>
      </c>
      <c r="BS810" t="s">
        <v>15820</v>
      </c>
      <c r="BT810" t="str">
        <f>HYPERLINK("https%3A%2F%2Fwww.webofscience.com%2Fwos%2Fwoscc%2Ffull-record%2FWOS:001109233100001","View Full Record in Web of Science")</f>
        <v>View Full Record in Web of Science</v>
      </c>
    </row>
    <row r="811" spans="1:72" x14ac:dyDescent="0.15">
      <c r="A811" t="s">
        <v>72</v>
      </c>
      <c r="B811" t="s">
        <v>15821</v>
      </c>
      <c r="C811" t="s">
        <v>74</v>
      </c>
      <c r="D811" t="s">
        <v>74</v>
      </c>
      <c r="E811" t="s">
        <v>74</v>
      </c>
      <c r="F811" t="s">
        <v>15822</v>
      </c>
      <c r="G811" t="s">
        <v>74</v>
      </c>
      <c r="H811" t="s">
        <v>74</v>
      </c>
      <c r="I811" t="s">
        <v>15823</v>
      </c>
      <c r="J811" t="s">
        <v>5573</v>
      </c>
      <c r="K811" t="s">
        <v>74</v>
      </c>
      <c r="L811" t="s">
        <v>74</v>
      </c>
      <c r="M811" t="s">
        <v>78</v>
      </c>
      <c r="N811" t="s">
        <v>79</v>
      </c>
      <c r="O811" t="s">
        <v>74</v>
      </c>
      <c r="P811" t="s">
        <v>74</v>
      </c>
      <c r="Q811" t="s">
        <v>74</v>
      </c>
      <c r="R811" t="s">
        <v>74</v>
      </c>
      <c r="S811" t="s">
        <v>74</v>
      </c>
      <c r="T811" t="s">
        <v>74</v>
      </c>
      <c r="U811" t="s">
        <v>15824</v>
      </c>
      <c r="V811" t="s">
        <v>15825</v>
      </c>
      <c r="W811" t="s">
        <v>15826</v>
      </c>
      <c r="X811" t="s">
        <v>2075</v>
      </c>
      <c r="Y811" t="s">
        <v>15827</v>
      </c>
      <c r="Z811" t="s">
        <v>15828</v>
      </c>
      <c r="AA811" t="s">
        <v>15829</v>
      </c>
      <c r="AB811" t="s">
        <v>15830</v>
      </c>
      <c r="AC811" t="s">
        <v>15831</v>
      </c>
      <c r="AD811" t="s">
        <v>15831</v>
      </c>
      <c r="AE811" t="s">
        <v>15832</v>
      </c>
      <c r="AF811" t="s">
        <v>74</v>
      </c>
      <c r="AG811">
        <v>37</v>
      </c>
      <c r="AH811">
        <v>4</v>
      </c>
      <c r="AI811">
        <v>4</v>
      </c>
      <c r="AJ811">
        <v>1</v>
      </c>
      <c r="AK811">
        <v>4</v>
      </c>
      <c r="AL811" t="s">
        <v>1043</v>
      </c>
      <c r="AM811" t="s">
        <v>994</v>
      </c>
      <c r="AN811" t="s">
        <v>1044</v>
      </c>
      <c r="AO811" t="s">
        <v>74</v>
      </c>
      <c r="AP811" t="s">
        <v>5584</v>
      </c>
      <c r="AQ811" t="s">
        <v>74</v>
      </c>
      <c r="AR811" t="s">
        <v>5585</v>
      </c>
      <c r="AS811" t="s">
        <v>5586</v>
      </c>
      <c r="AT811" t="s">
        <v>15623</v>
      </c>
      <c r="AU811">
        <v>2021</v>
      </c>
      <c r="AV811">
        <v>1</v>
      </c>
      <c r="AW811">
        <v>6</v>
      </c>
      <c r="AX811" t="s">
        <v>74</v>
      </c>
      <c r="AY811" t="s">
        <v>74</v>
      </c>
      <c r="AZ811" t="s">
        <v>74</v>
      </c>
      <c r="BA811" t="s">
        <v>74</v>
      </c>
      <c r="BB811">
        <v>416</v>
      </c>
      <c r="BC811">
        <v>422</v>
      </c>
      <c r="BD811" t="s">
        <v>74</v>
      </c>
      <c r="BE811" t="s">
        <v>15833</v>
      </c>
      <c r="BF811" t="str">
        <f>HYPERLINK("http://dx.doi.org/10.1039/d1ea00024a","http://dx.doi.org/10.1039/d1ea00024a")</f>
        <v>http://dx.doi.org/10.1039/d1ea00024a</v>
      </c>
      <c r="BG811" t="s">
        <v>74</v>
      </c>
      <c r="BH811" t="s">
        <v>74</v>
      </c>
      <c r="BI811">
        <v>7</v>
      </c>
      <c r="BJ811" t="s">
        <v>100</v>
      </c>
      <c r="BK811" t="s">
        <v>1629</v>
      </c>
      <c r="BL811" t="s">
        <v>102</v>
      </c>
      <c r="BM811" t="s">
        <v>15834</v>
      </c>
      <c r="BN811" t="s">
        <v>74</v>
      </c>
      <c r="BO811" t="s">
        <v>210</v>
      </c>
      <c r="BP811" t="s">
        <v>74</v>
      </c>
      <c r="BQ811" t="s">
        <v>74</v>
      </c>
      <c r="BR811" t="s">
        <v>105</v>
      </c>
      <c r="BS811" t="s">
        <v>15835</v>
      </c>
      <c r="BT811" t="str">
        <f>HYPERLINK("https%3A%2F%2Fwww.webofscience.com%2Fwos%2Fwoscc%2Ffull-record%2FWOS:000870705700007","View Full Record in Web of Science")</f>
        <v>View Full Record in Web of Science</v>
      </c>
    </row>
    <row r="812" spans="1:72" x14ac:dyDescent="0.15">
      <c r="A812" t="s">
        <v>72</v>
      </c>
      <c r="B812" t="s">
        <v>15836</v>
      </c>
      <c r="C812" t="s">
        <v>74</v>
      </c>
      <c r="D812" t="s">
        <v>74</v>
      </c>
      <c r="E812" t="s">
        <v>74</v>
      </c>
      <c r="F812" t="s">
        <v>15837</v>
      </c>
      <c r="G812" t="s">
        <v>74</v>
      </c>
      <c r="H812" t="s">
        <v>74</v>
      </c>
      <c r="I812" t="s">
        <v>15838</v>
      </c>
      <c r="J812" t="s">
        <v>4347</v>
      </c>
      <c r="K812" t="s">
        <v>74</v>
      </c>
      <c r="L812" t="s">
        <v>74</v>
      </c>
      <c r="M812" t="s">
        <v>78</v>
      </c>
      <c r="N812" t="s">
        <v>79</v>
      </c>
      <c r="O812" t="s">
        <v>74</v>
      </c>
      <c r="P812" t="s">
        <v>74</v>
      </c>
      <c r="Q812" t="s">
        <v>74</v>
      </c>
      <c r="R812" t="s">
        <v>74</v>
      </c>
      <c r="S812" t="s">
        <v>74</v>
      </c>
      <c r="T812" t="s">
        <v>15839</v>
      </c>
      <c r="U812" t="s">
        <v>15840</v>
      </c>
      <c r="V812" t="s">
        <v>15841</v>
      </c>
      <c r="W812" t="s">
        <v>15842</v>
      </c>
      <c r="X812" t="s">
        <v>15843</v>
      </c>
      <c r="Y812" t="s">
        <v>15844</v>
      </c>
      <c r="Z812" t="s">
        <v>15845</v>
      </c>
      <c r="AA812" t="s">
        <v>15846</v>
      </c>
      <c r="AB812" t="s">
        <v>15847</v>
      </c>
      <c r="AC812" t="s">
        <v>15848</v>
      </c>
      <c r="AD812" t="s">
        <v>15849</v>
      </c>
      <c r="AE812" t="s">
        <v>15850</v>
      </c>
      <c r="AF812" t="s">
        <v>74</v>
      </c>
      <c r="AG812">
        <v>36</v>
      </c>
      <c r="AH812">
        <v>3</v>
      </c>
      <c r="AI812">
        <v>3</v>
      </c>
      <c r="AJ812">
        <v>1</v>
      </c>
      <c r="AK812">
        <v>6</v>
      </c>
      <c r="AL812" t="s">
        <v>4312</v>
      </c>
      <c r="AM812" t="s">
        <v>4313</v>
      </c>
      <c r="AN812" t="s">
        <v>4314</v>
      </c>
      <c r="AO812" t="s">
        <v>4360</v>
      </c>
      <c r="AP812" t="s">
        <v>4361</v>
      </c>
      <c r="AQ812" t="s">
        <v>74</v>
      </c>
      <c r="AR812" t="s">
        <v>4362</v>
      </c>
      <c r="AS812" t="s">
        <v>4363</v>
      </c>
      <c r="AT812" t="s">
        <v>627</v>
      </c>
      <c r="AU812">
        <v>2021</v>
      </c>
      <c r="AV812">
        <v>34</v>
      </c>
      <c r="AW812">
        <v>17</v>
      </c>
      <c r="AX812" t="s">
        <v>74</v>
      </c>
      <c r="AY812" t="s">
        <v>74</v>
      </c>
      <c r="AZ812" t="s">
        <v>74</v>
      </c>
      <c r="BA812" t="s">
        <v>74</v>
      </c>
      <c r="BB812">
        <v>7073</v>
      </c>
      <c r="BC812">
        <v>7090</v>
      </c>
      <c r="BD812" t="s">
        <v>74</v>
      </c>
      <c r="BE812" t="s">
        <v>15851</v>
      </c>
      <c r="BF812" t="str">
        <f>HYPERLINK("http://dx.doi.org/10.1175/JCLI-D-20-0858.1","http://dx.doi.org/10.1175/JCLI-D-20-0858.1")</f>
        <v>http://dx.doi.org/10.1175/JCLI-D-20-0858.1</v>
      </c>
      <c r="BG812" t="s">
        <v>74</v>
      </c>
      <c r="BH812" t="s">
        <v>74</v>
      </c>
      <c r="BI812">
        <v>18</v>
      </c>
      <c r="BJ812" t="s">
        <v>829</v>
      </c>
      <c r="BK812" t="s">
        <v>101</v>
      </c>
      <c r="BL812" t="s">
        <v>829</v>
      </c>
      <c r="BM812" t="s">
        <v>14482</v>
      </c>
      <c r="BN812" t="s">
        <v>74</v>
      </c>
      <c r="BO812" t="s">
        <v>74</v>
      </c>
      <c r="BP812" t="s">
        <v>74</v>
      </c>
      <c r="BQ812" t="s">
        <v>74</v>
      </c>
      <c r="BR812" t="s">
        <v>105</v>
      </c>
      <c r="BS812" t="s">
        <v>15852</v>
      </c>
      <c r="BT812" t="str">
        <f>HYPERLINK("https%3A%2F%2Fwww.webofscience.com%2Fwos%2Fwoscc%2Ffull-record%2FWOS:000752587000008","View Full Record in Web of Science")</f>
        <v>View Full Record in Web of Science</v>
      </c>
    </row>
    <row r="813" spans="1:72" x14ac:dyDescent="0.15">
      <c r="A813" t="s">
        <v>72</v>
      </c>
      <c r="B813" t="s">
        <v>15853</v>
      </c>
      <c r="C813" t="s">
        <v>74</v>
      </c>
      <c r="D813" t="s">
        <v>74</v>
      </c>
      <c r="E813" t="s">
        <v>74</v>
      </c>
      <c r="F813" t="s">
        <v>15854</v>
      </c>
      <c r="G813" t="s">
        <v>74</v>
      </c>
      <c r="H813" t="s">
        <v>74</v>
      </c>
      <c r="I813" t="s">
        <v>15855</v>
      </c>
      <c r="J813" t="s">
        <v>5212</v>
      </c>
      <c r="K813" t="s">
        <v>74</v>
      </c>
      <c r="L813" t="s">
        <v>74</v>
      </c>
      <c r="M813" t="s">
        <v>78</v>
      </c>
      <c r="N813" t="s">
        <v>79</v>
      </c>
      <c r="O813" t="s">
        <v>74</v>
      </c>
      <c r="P813" t="s">
        <v>74</v>
      </c>
      <c r="Q813" t="s">
        <v>74</v>
      </c>
      <c r="R813" t="s">
        <v>74</v>
      </c>
      <c r="S813" t="s">
        <v>74</v>
      </c>
      <c r="T813" t="s">
        <v>15856</v>
      </c>
      <c r="U813" t="s">
        <v>15857</v>
      </c>
      <c r="V813" t="s">
        <v>15858</v>
      </c>
      <c r="W813" t="s">
        <v>15859</v>
      </c>
      <c r="X813" t="s">
        <v>15860</v>
      </c>
      <c r="Y813" t="s">
        <v>15861</v>
      </c>
      <c r="Z813" t="s">
        <v>15862</v>
      </c>
      <c r="AA813" t="s">
        <v>15863</v>
      </c>
      <c r="AB813" t="s">
        <v>15864</v>
      </c>
      <c r="AC813" t="s">
        <v>15865</v>
      </c>
      <c r="AD813" t="s">
        <v>6396</v>
      </c>
      <c r="AE813" t="s">
        <v>15866</v>
      </c>
      <c r="AF813" t="s">
        <v>74</v>
      </c>
      <c r="AG813">
        <v>68</v>
      </c>
      <c r="AH813">
        <v>7</v>
      </c>
      <c r="AI813">
        <v>7</v>
      </c>
      <c r="AJ813">
        <v>1</v>
      </c>
      <c r="AK813">
        <v>4</v>
      </c>
      <c r="AL813" t="s">
        <v>760</v>
      </c>
      <c r="AM813" t="s">
        <v>438</v>
      </c>
      <c r="AN813" t="s">
        <v>761</v>
      </c>
      <c r="AO813" t="s">
        <v>5224</v>
      </c>
      <c r="AP813" t="s">
        <v>5225</v>
      </c>
      <c r="AQ813" t="s">
        <v>74</v>
      </c>
      <c r="AR813" t="s">
        <v>5226</v>
      </c>
      <c r="AS813" t="s">
        <v>5227</v>
      </c>
      <c r="AT813" t="s">
        <v>627</v>
      </c>
      <c r="AU813">
        <v>2021</v>
      </c>
      <c r="AV813">
        <v>126</v>
      </c>
      <c r="AW813">
        <v>9</v>
      </c>
      <c r="AX813" t="s">
        <v>74</v>
      </c>
      <c r="AY813" t="s">
        <v>74</v>
      </c>
      <c r="AZ813" t="s">
        <v>74</v>
      </c>
      <c r="BA813" t="s">
        <v>74</v>
      </c>
      <c r="BB813" t="s">
        <v>74</v>
      </c>
      <c r="BC813" t="s">
        <v>74</v>
      </c>
      <c r="BD813" t="s">
        <v>15867</v>
      </c>
      <c r="BE813" t="s">
        <v>15868</v>
      </c>
      <c r="BF813" t="str">
        <f>HYPERLINK("http://dx.doi.org/10.1029/2021JA029335","http://dx.doi.org/10.1029/2021JA029335")</f>
        <v>http://dx.doi.org/10.1029/2021JA029335</v>
      </c>
      <c r="BG813" t="s">
        <v>74</v>
      </c>
      <c r="BH813" t="s">
        <v>74</v>
      </c>
      <c r="BI813">
        <v>22</v>
      </c>
      <c r="BJ813" t="s">
        <v>1721</v>
      </c>
      <c r="BK813" t="s">
        <v>101</v>
      </c>
      <c r="BL813" t="s">
        <v>1721</v>
      </c>
      <c r="BM813" t="s">
        <v>14806</v>
      </c>
      <c r="BN813" t="s">
        <v>74</v>
      </c>
      <c r="BO813" t="s">
        <v>74</v>
      </c>
      <c r="BP813" t="s">
        <v>74</v>
      </c>
      <c r="BQ813" t="s">
        <v>74</v>
      </c>
      <c r="BR813" t="s">
        <v>105</v>
      </c>
      <c r="BS813" t="s">
        <v>15869</v>
      </c>
      <c r="BT813" t="str">
        <f>HYPERLINK("https%3A%2F%2Fwww.webofscience.com%2Fwos%2Fwoscc%2Ffull-record%2FWOS:000702340700002","View Full Record in Web of Science")</f>
        <v>View Full Record in Web of Science</v>
      </c>
    </row>
    <row r="814" spans="1:72" x14ac:dyDescent="0.15">
      <c r="A814" t="s">
        <v>72</v>
      </c>
      <c r="B814" t="s">
        <v>15870</v>
      </c>
      <c r="C814" t="s">
        <v>74</v>
      </c>
      <c r="D814" t="s">
        <v>74</v>
      </c>
      <c r="E814" t="s">
        <v>74</v>
      </c>
      <c r="F814" t="s">
        <v>15871</v>
      </c>
      <c r="G814" t="s">
        <v>74</v>
      </c>
      <c r="H814" t="s">
        <v>74</v>
      </c>
      <c r="I814" t="s">
        <v>15872</v>
      </c>
      <c r="J814" t="s">
        <v>15873</v>
      </c>
      <c r="K814" t="s">
        <v>74</v>
      </c>
      <c r="L814" t="s">
        <v>74</v>
      </c>
      <c r="M814" t="s">
        <v>78</v>
      </c>
      <c r="N814" t="s">
        <v>79</v>
      </c>
      <c r="O814" t="s">
        <v>74</v>
      </c>
      <c r="P814" t="s">
        <v>74</v>
      </c>
      <c r="Q814" t="s">
        <v>74</v>
      </c>
      <c r="R814" t="s">
        <v>74</v>
      </c>
      <c r="S814" t="s">
        <v>74</v>
      </c>
      <c r="T814" t="s">
        <v>15874</v>
      </c>
      <c r="U814" t="s">
        <v>15875</v>
      </c>
      <c r="V814" t="s">
        <v>15876</v>
      </c>
      <c r="W814" t="s">
        <v>15877</v>
      </c>
      <c r="X814" t="s">
        <v>15878</v>
      </c>
      <c r="Y814" t="s">
        <v>15879</v>
      </c>
      <c r="Z814" t="s">
        <v>15880</v>
      </c>
      <c r="AA814" t="s">
        <v>15881</v>
      </c>
      <c r="AB814" t="s">
        <v>15882</v>
      </c>
      <c r="AC814" t="s">
        <v>15883</v>
      </c>
      <c r="AD814" t="s">
        <v>15884</v>
      </c>
      <c r="AE814" t="s">
        <v>15885</v>
      </c>
      <c r="AF814" t="s">
        <v>74</v>
      </c>
      <c r="AG814">
        <v>128</v>
      </c>
      <c r="AH814">
        <v>22</v>
      </c>
      <c r="AI814">
        <v>22</v>
      </c>
      <c r="AJ814">
        <v>3</v>
      </c>
      <c r="AK814">
        <v>36</v>
      </c>
      <c r="AL814" t="s">
        <v>1714</v>
      </c>
      <c r="AM814" t="s">
        <v>256</v>
      </c>
      <c r="AN814" t="s">
        <v>1715</v>
      </c>
      <c r="AO814" t="s">
        <v>15886</v>
      </c>
      <c r="AP814" t="s">
        <v>15887</v>
      </c>
      <c r="AQ814" t="s">
        <v>74</v>
      </c>
      <c r="AR814" t="s">
        <v>15888</v>
      </c>
      <c r="AS814" t="s">
        <v>15889</v>
      </c>
      <c r="AT814" t="s">
        <v>98</v>
      </c>
      <c r="AU814">
        <v>2021</v>
      </c>
      <c r="AV814">
        <v>38</v>
      </c>
      <c r="AW814">
        <v>12</v>
      </c>
      <c r="AX814" t="s">
        <v>74</v>
      </c>
      <c r="AY814" t="s">
        <v>74</v>
      </c>
      <c r="AZ814" t="s">
        <v>74</v>
      </c>
      <c r="BA814" t="s">
        <v>74</v>
      </c>
      <c r="BB814">
        <v>5782</v>
      </c>
      <c r="BC814">
        <v>5805</v>
      </c>
      <c r="BD814" t="s">
        <v>74</v>
      </c>
      <c r="BE814" t="s">
        <v>15890</v>
      </c>
      <c r="BF814" t="str">
        <f>HYPERLINK("http://dx.doi.org/10.1093/molbev/msab259","http://dx.doi.org/10.1093/molbev/msab259")</f>
        <v>http://dx.doi.org/10.1093/molbev/msab259</v>
      </c>
      <c r="BG814" t="s">
        <v>74</v>
      </c>
      <c r="BH814" t="s">
        <v>11189</v>
      </c>
      <c r="BI814">
        <v>24</v>
      </c>
      <c r="BJ814" t="s">
        <v>3293</v>
      </c>
      <c r="BK814" t="s">
        <v>101</v>
      </c>
      <c r="BL814" t="s">
        <v>3293</v>
      </c>
      <c r="BM814" t="s">
        <v>15891</v>
      </c>
      <c r="BN814">
        <v>34469576</v>
      </c>
      <c r="BO814" t="s">
        <v>394</v>
      </c>
      <c r="BP814" t="s">
        <v>74</v>
      </c>
      <c r="BQ814" t="s">
        <v>74</v>
      </c>
      <c r="BR814" t="s">
        <v>105</v>
      </c>
      <c r="BS814" t="s">
        <v>15892</v>
      </c>
      <c r="BT814" t="str">
        <f>HYPERLINK("https%3A%2F%2Fwww.webofscience.com%2Fwos%2Fwoscc%2Ffull-record%2FWOS:000741368600039","View Full Record in Web of Science")</f>
        <v>View Full Record in Web of Science</v>
      </c>
    </row>
    <row r="815" spans="1:72" x14ac:dyDescent="0.15">
      <c r="A815" t="s">
        <v>72</v>
      </c>
      <c r="B815" t="s">
        <v>15893</v>
      </c>
      <c r="C815" t="s">
        <v>74</v>
      </c>
      <c r="D815" t="s">
        <v>74</v>
      </c>
      <c r="E815" t="s">
        <v>74</v>
      </c>
      <c r="F815" t="s">
        <v>15894</v>
      </c>
      <c r="G815" t="s">
        <v>74</v>
      </c>
      <c r="H815" t="s">
        <v>74</v>
      </c>
      <c r="I815" t="s">
        <v>15895</v>
      </c>
      <c r="J815" t="s">
        <v>15896</v>
      </c>
      <c r="K815" t="s">
        <v>74</v>
      </c>
      <c r="L815" t="s">
        <v>74</v>
      </c>
      <c r="M815" t="s">
        <v>78</v>
      </c>
      <c r="N815" t="s">
        <v>373</v>
      </c>
      <c r="O815" t="s">
        <v>74</v>
      </c>
      <c r="P815" t="s">
        <v>74</v>
      </c>
      <c r="Q815" t="s">
        <v>74</v>
      </c>
      <c r="R815" t="s">
        <v>74</v>
      </c>
      <c r="S815" t="s">
        <v>74</v>
      </c>
      <c r="T815" t="s">
        <v>15897</v>
      </c>
      <c r="U815" t="s">
        <v>15898</v>
      </c>
      <c r="V815" t="s">
        <v>15899</v>
      </c>
      <c r="W815" t="s">
        <v>15900</v>
      </c>
      <c r="X815" t="s">
        <v>15901</v>
      </c>
      <c r="Y815" t="s">
        <v>15902</v>
      </c>
      <c r="Z815" t="s">
        <v>15903</v>
      </c>
      <c r="AA815" t="s">
        <v>74</v>
      </c>
      <c r="AB815" t="s">
        <v>74</v>
      </c>
      <c r="AC815" t="s">
        <v>15904</v>
      </c>
      <c r="AD815" t="s">
        <v>15905</v>
      </c>
      <c r="AE815" t="s">
        <v>15906</v>
      </c>
      <c r="AF815" t="s">
        <v>74</v>
      </c>
      <c r="AG815">
        <v>106</v>
      </c>
      <c r="AH815">
        <v>10</v>
      </c>
      <c r="AI815">
        <v>10</v>
      </c>
      <c r="AJ815">
        <v>3</v>
      </c>
      <c r="AK815">
        <v>41</v>
      </c>
      <c r="AL815" t="s">
        <v>169</v>
      </c>
      <c r="AM815" t="s">
        <v>170</v>
      </c>
      <c r="AN815" t="s">
        <v>171</v>
      </c>
      <c r="AO815" t="s">
        <v>15907</v>
      </c>
      <c r="AP815" t="s">
        <v>15908</v>
      </c>
      <c r="AQ815" t="s">
        <v>74</v>
      </c>
      <c r="AR815" t="s">
        <v>15896</v>
      </c>
      <c r="AS815" t="s">
        <v>15909</v>
      </c>
      <c r="AT815" t="s">
        <v>627</v>
      </c>
      <c r="AU815">
        <v>2021</v>
      </c>
      <c r="AV815">
        <v>254</v>
      </c>
      <c r="AW815">
        <v>3</v>
      </c>
      <c r="AX815" t="s">
        <v>74</v>
      </c>
      <c r="AY815" t="s">
        <v>74</v>
      </c>
      <c r="AZ815" t="s">
        <v>74</v>
      </c>
      <c r="BA815" t="s">
        <v>74</v>
      </c>
      <c r="BB815" t="s">
        <v>74</v>
      </c>
      <c r="BC815" t="s">
        <v>74</v>
      </c>
      <c r="BD815">
        <v>46</v>
      </c>
      <c r="BE815" t="s">
        <v>15910</v>
      </c>
      <c r="BF815" t="str">
        <f>HYPERLINK("http://dx.doi.org/10.1007/s00425-021-03694-1","http://dx.doi.org/10.1007/s00425-021-03694-1")</f>
        <v>http://dx.doi.org/10.1007/s00425-021-03694-1</v>
      </c>
      <c r="BG815" t="s">
        <v>74</v>
      </c>
      <c r="BH815" t="s">
        <v>74</v>
      </c>
      <c r="BI815">
        <v>11</v>
      </c>
      <c r="BJ815" t="s">
        <v>4148</v>
      </c>
      <c r="BK815" t="s">
        <v>101</v>
      </c>
      <c r="BL815" t="s">
        <v>4148</v>
      </c>
      <c r="BM815" t="s">
        <v>15911</v>
      </c>
      <c r="BN815">
        <v>34370110</v>
      </c>
      <c r="BO815" t="s">
        <v>74</v>
      </c>
      <c r="BP815" t="s">
        <v>74</v>
      </c>
      <c r="BQ815" t="s">
        <v>74</v>
      </c>
      <c r="BR815" t="s">
        <v>105</v>
      </c>
      <c r="BS815" t="s">
        <v>15912</v>
      </c>
      <c r="BT815" t="str">
        <f>HYPERLINK("https%3A%2F%2Fwww.webofscience.com%2Fwos%2Fwoscc%2Ffull-record%2FWOS:000683346600001","View Full Record in Web of Science")</f>
        <v>View Full Record in Web of Science</v>
      </c>
    </row>
    <row r="816" spans="1:72" x14ac:dyDescent="0.15">
      <c r="A816" t="s">
        <v>72</v>
      </c>
      <c r="B816" t="s">
        <v>15913</v>
      </c>
      <c r="C816" t="s">
        <v>74</v>
      </c>
      <c r="D816" t="s">
        <v>74</v>
      </c>
      <c r="E816" t="s">
        <v>74</v>
      </c>
      <c r="F816" t="s">
        <v>15914</v>
      </c>
      <c r="G816" t="s">
        <v>74</v>
      </c>
      <c r="H816" t="s">
        <v>74</v>
      </c>
      <c r="I816" t="s">
        <v>15915</v>
      </c>
      <c r="J816" t="s">
        <v>15728</v>
      </c>
      <c r="K816" t="s">
        <v>74</v>
      </c>
      <c r="L816" t="s">
        <v>74</v>
      </c>
      <c r="M816" t="s">
        <v>78</v>
      </c>
      <c r="N816" t="s">
        <v>79</v>
      </c>
      <c r="O816" t="s">
        <v>74</v>
      </c>
      <c r="P816" t="s">
        <v>74</v>
      </c>
      <c r="Q816" t="s">
        <v>74</v>
      </c>
      <c r="R816" t="s">
        <v>74</v>
      </c>
      <c r="S816" t="s">
        <v>74</v>
      </c>
      <c r="T816" t="s">
        <v>74</v>
      </c>
      <c r="U816" t="s">
        <v>15916</v>
      </c>
      <c r="V816" t="s">
        <v>15917</v>
      </c>
      <c r="W816" t="s">
        <v>15918</v>
      </c>
      <c r="X816" t="s">
        <v>15919</v>
      </c>
      <c r="Y816" t="s">
        <v>15920</v>
      </c>
      <c r="Z816" t="s">
        <v>15921</v>
      </c>
      <c r="AA816" t="s">
        <v>15922</v>
      </c>
      <c r="AB816" t="s">
        <v>15923</v>
      </c>
      <c r="AC816" t="s">
        <v>74</v>
      </c>
      <c r="AD816" t="s">
        <v>74</v>
      </c>
      <c r="AE816" t="s">
        <v>74</v>
      </c>
      <c r="AF816" t="s">
        <v>74</v>
      </c>
      <c r="AG816">
        <v>77</v>
      </c>
      <c r="AH816">
        <v>3</v>
      </c>
      <c r="AI816">
        <v>3</v>
      </c>
      <c r="AJ816">
        <v>1</v>
      </c>
      <c r="AK816">
        <v>7</v>
      </c>
      <c r="AL816" t="s">
        <v>15734</v>
      </c>
      <c r="AM816" t="s">
        <v>15735</v>
      </c>
      <c r="AN816" t="s">
        <v>15736</v>
      </c>
      <c r="AO816" t="s">
        <v>15737</v>
      </c>
      <c r="AP816" t="s">
        <v>15738</v>
      </c>
      <c r="AQ816" t="s">
        <v>74</v>
      </c>
      <c r="AR816" t="s">
        <v>15739</v>
      </c>
      <c r="AS816" t="s">
        <v>15740</v>
      </c>
      <c r="AT816" t="s">
        <v>627</v>
      </c>
      <c r="AU816">
        <v>2021</v>
      </c>
      <c r="AV816">
        <v>92</v>
      </c>
      <c r="AW816">
        <v>5</v>
      </c>
      <c r="AX816" t="s">
        <v>74</v>
      </c>
      <c r="AY816" t="s">
        <v>74</v>
      </c>
      <c r="AZ816" t="s">
        <v>74</v>
      </c>
      <c r="BA816" t="s">
        <v>74</v>
      </c>
      <c r="BB816">
        <v>2718</v>
      </c>
      <c r="BC816">
        <v>2735</v>
      </c>
      <c r="BD816" t="s">
        <v>74</v>
      </c>
      <c r="BE816" t="s">
        <v>15924</v>
      </c>
      <c r="BF816" t="str">
        <f>HYPERLINK("http://dx.doi.org/10.1785/0220200448","http://dx.doi.org/10.1785/0220200448")</f>
        <v>http://dx.doi.org/10.1785/0220200448</v>
      </c>
      <c r="BG816" t="s">
        <v>74</v>
      </c>
      <c r="BH816" t="s">
        <v>74</v>
      </c>
      <c r="BI816">
        <v>18</v>
      </c>
      <c r="BJ816" t="s">
        <v>365</v>
      </c>
      <c r="BK816" t="s">
        <v>101</v>
      </c>
      <c r="BL816" t="s">
        <v>365</v>
      </c>
      <c r="BM816" t="s">
        <v>15742</v>
      </c>
      <c r="BN816" t="s">
        <v>74</v>
      </c>
      <c r="BO816" t="s">
        <v>74</v>
      </c>
      <c r="BP816" t="s">
        <v>74</v>
      </c>
      <c r="BQ816" t="s">
        <v>74</v>
      </c>
      <c r="BR816" t="s">
        <v>105</v>
      </c>
      <c r="BS816" t="s">
        <v>15925</v>
      </c>
      <c r="BT816" t="str">
        <f>HYPERLINK("https%3A%2F%2Fwww.webofscience.com%2Fwos%2Fwoscc%2Ffull-record%2FWOS:000689485800004","View Full Record in Web of Science")</f>
        <v>View Full Record in Web of Science</v>
      </c>
    </row>
    <row r="817" spans="1:72" x14ac:dyDescent="0.15">
      <c r="A817" t="s">
        <v>72</v>
      </c>
      <c r="B817" t="s">
        <v>15926</v>
      </c>
      <c r="C817" t="s">
        <v>74</v>
      </c>
      <c r="D817" t="s">
        <v>74</v>
      </c>
      <c r="E817" t="s">
        <v>74</v>
      </c>
      <c r="F817" t="s">
        <v>15927</v>
      </c>
      <c r="G817" t="s">
        <v>74</v>
      </c>
      <c r="H817" t="s">
        <v>74</v>
      </c>
      <c r="I817" t="s">
        <v>15928</v>
      </c>
      <c r="J817" t="s">
        <v>15728</v>
      </c>
      <c r="K817" t="s">
        <v>74</v>
      </c>
      <c r="L817" t="s">
        <v>74</v>
      </c>
      <c r="M817" t="s">
        <v>78</v>
      </c>
      <c r="N817" t="s">
        <v>79</v>
      </c>
      <c r="O817" t="s">
        <v>74</v>
      </c>
      <c r="P817" t="s">
        <v>74</v>
      </c>
      <c r="Q817" t="s">
        <v>74</v>
      </c>
      <c r="R817" t="s">
        <v>74</v>
      </c>
      <c r="S817" t="s">
        <v>74</v>
      </c>
      <c r="T817" t="s">
        <v>74</v>
      </c>
      <c r="U817" t="s">
        <v>15929</v>
      </c>
      <c r="V817" t="s">
        <v>15930</v>
      </c>
      <c r="W817" t="s">
        <v>15931</v>
      </c>
      <c r="X817" t="s">
        <v>15932</v>
      </c>
      <c r="Y817" t="s">
        <v>15933</v>
      </c>
      <c r="Z817" t="s">
        <v>15934</v>
      </c>
      <c r="AA817" t="s">
        <v>15935</v>
      </c>
      <c r="AB817" t="s">
        <v>15936</v>
      </c>
      <c r="AC817" t="s">
        <v>15937</v>
      </c>
      <c r="AD817" t="s">
        <v>15938</v>
      </c>
      <c r="AE817" t="s">
        <v>15939</v>
      </c>
      <c r="AF817" t="s">
        <v>74</v>
      </c>
      <c r="AG817">
        <v>53</v>
      </c>
      <c r="AH817">
        <v>5</v>
      </c>
      <c r="AI817">
        <v>7</v>
      </c>
      <c r="AJ817">
        <v>3</v>
      </c>
      <c r="AK817">
        <v>7</v>
      </c>
      <c r="AL817" t="s">
        <v>15734</v>
      </c>
      <c r="AM817" t="s">
        <v>15735</v>
      </c>
      <c r="AN817" t="s">
        <v>15736</v>
      </c>
      <c r="AO817" t="s">
        <v>15737</v>
      </c>
      <c r="AP817" t="s">
        <v>15738</v>
      </c>
      <c r="AQ817" t="s">
        <v>74</v>
      </c>
      <c r="AR817" t="s">
        <v>15739</v>
      </c>
      <c r="AS817" t="s">
        <v>15740</v>
      </c>
      <c r="AT817" t="s">
        <v>627</v>
      </c>
      <c r="AU817">
        <v>2021</v>
      </c>
      <c r="AV817">
        <v>92</v>
      </c>
      <c r="AW817">
        <v>5</v>
      </c>
      <c r="AX817" t="s">
        <v>74</v>
      </c>
      <c r="AY817" t="s">
        <v>74</v>
      </c>
      <c r="AZ817" t="s">
        <v>74</v>
      </c>
      <c r="BA817" t="s">
        <v>74</v>
      </c>
      <c r="BB817">
        <v>2866</v>
      </c>
      <c r="BC817">
        <v>2875</v>
      </c>
      <c r="BD817" t="s">
        <v>74</v>
      </c>
      <c r="BE817" t="s">
        <v>15940</v>
      </c>
      <c r="BF817" t="str">
        <f>HYPERLINK("http://dx.doi.org/10.1785/0220210027","http://dx.doi.org/10.1785/0220210027")</f>
        <v>http://dx.doi.org/10.1785/0220210027</v>
      </c>
      <c r="BG817" t="s">
        <v>74</v>
      </c>
      <c r="BH817" t="s">
        <v>74</v>
      </c>
      <c r="BI817">
        <v>10</v>
      </c>
      <c r="BJ817" t="s">
        <v>365</v>
      </c>
      <c r="BK817" t="s">
        <v>101</v>
      </c>
      <c r="BL817" t="s">
        <v>365</v>
      </c>
      <c r="BM817" t="s">
        <v>15941</v>
      </c>
      <c r="BN817" t="s">
        <v>74</v>
      </c>
      <c r="BO817" t="s">
        <v>74</v>
      </c>
      <c r="BP817" t="s">
        <v>74</v>
      </c>
      <c r="BQ817" t="s">
        <v>74</v>
      </c>
      <c r="BR817" t="s">
        <v>105</v>
      </c>
      <c r="BS817" t="s">
        <v>15942</v>
      </c>
      <c r="BT817" t="str">
        <f>HYPERLINK("https%3A%2F%2Fwww.webofscience.com%2Fwos%2Fwoscc%2Ffull-record%2FWOS:000689673900003","View Full Record in Web of Science")</f>
        <v>View Full Record in Web of Science</v>
      </c>
    </row>
    <row r="818" spans="1:72" x14ac:dyDescent="0.15">
      <c r="A818" t="s">
        <v>72</v>
      </c>
      <c r="B818" t="s">
        <v>15943</v>
      </c>
      <c r="C818" t="s">
        <v>74</v>
      </c>
      <c r="D818" t="s">
        <v>74</v>
      </c>
      <c r="E818" t="s">
        <v>74</v>
      </c>
      <c r="F818" t="s">
        <v>15944</v>
      </c>
      <c r="G818" t="s">
        <v>74</v>
      </c>
      <c r="H818" t="s">
        <v>74</v>
      </c>
      <c r="I818" t="s">
        <v>15945</v>
      </c>
      <c r="J818" t="s">
        <v>11818</v>
      </c>
      <c r="K818" t="s">
        <v>74</v>
      </c>
      <c r="L818" t="s">
        <v>74</v>
      </c>
      <c r="M818" t="s">
        <v>78</v>
      </c>
      <c r="N818" t="s">
        <v>373</v>
      </c>
      <c r="O818" t="s">
        <v>74</v>
      </c>
      <c r="P818" t="s">
        <v>74</v>
      </c>
      <c r="Q818" t="s">
        <v>74</v>
      </c>
      <c r="R818" t="s">
        <v>74</v>
      </c>
      <c r="S818" t="s">
        <v>74</v>
      </c>
      <c r="T818" t="s">
        <v>15946</v>
      </c>
      <c r="U818" t="s">
        <v>15947</v>
      </c>
      <c r="V818" t="s">
        <v>15948</v>
      </c>
      <c r="W818" t="s">
        <v>15949</v>
      </c>
      <c r="X818" t="s">
        <v>15950</v>
      </c>
      <c r="Y818" t="s">
        <v>15951</v>
      </c>
      <c r="Z818" t="s">
        <v>15952</v>
      </c>
      <c r="AA818" t="s">
        <v>74</v>
      </c>
      <c r="AB818" t="s">
        <v>15953</v>
      </c>
      <c r="AC818" t="s">
        <v>15954</v>
      </c>
      <c r="AD818" t="s">
        <v>15955</v>
      </c>
      <c r="AE818" t="s">
        <v>15956</v>
      </c>
      <c r="AF818" t="s">
        <v>74</v>
      </c>
      <c r="AG818">
        <v>166</v>
      </c>
      <c r="AH818">
        <v>5</v>
      </c>
      <c r="AI818">
        <v>5</v>
      </c>
      <c r="AJ818">
        <v>1</v>
      </c>
      <c r="AK818">
        <v>7</v>
      </c>
      <c r="AL818" t="s">
        <v>1714</v>
      </c>
      <c r="AM818" t="s">
        <v>256</v>
      </c>
      <c r="AN818" t="s">
        <v>1715</v>
      </c>
      <c r="AO818" t="s">
        <v>11830</v>
      </c>
      <c r="AP818" t="s">
        <v>11831</v>
      </c>
      <c r="AQ818" t="s">
        <v>74</v>
      </c>
      <c r="AR818" t="s">
        <v>11832</v>
      </c>
      <c r="AS818" t="s">
        <v>11833</v>
      </c>
      <c r="AT818" t="s">
        <v>627</v>
      </c>
      <c r="AU818">
        <v>2021</v>
      </c>
      <c r="AV818">
        <v>193</v>
      </c>
      <c r="AW818">
        <v>1</v>
      </c>
      <c r="AX818" t="s">
        <v>74</v>
      </c>
      <c r="AY818" t="s">
        <v>74</v>
      </c>
      <c r="AZ818" t="s">
        <v>74</v>
      </c>
      <c r="BA818" t="s">
        <v>74</v>
      </c>
      <c r="BB818">
        <v>31</v>
      </c>
      <c r="BC818">
        <v>77</v>
      </c>
      <c r="BD818" t="s">
        <v>74</v>
      </c>
      <c r="BE818" t="s">
        <v>15957</v>
      </c>
      <c r="BF818" t="str">
        <f>HYPERLINK("http://dx.doi.org/10.1093/zoolinnean/zlaa141","http://dx.doi.org/10.1093/zoolinnean/zlaa141")</f>
        <v>http://dx.doi.org/10.1093/zoolinnean/zlaa141</v>
      </c>
      <c r="BG818" t="s">
        <v>74</v>
      </c>
      <c r="BH818" t="s">
        <v>74</v>
      </c>
      <c r="BI818">
        <v>47</v>
      </c>
      <c r="BJ818" t="s">
        <v>1612</v>
      </c>
      <c r="BK818" t="s">
        <v>101</v>
      </c>
      <c r="BL818" t="s">
        <v>1612</v>
      </c>
      <c r="BM818" t="s">
        <v>15958</v>
      </c>
      <c r="BN818" t="s">
        <v>74</v>
      </c>
      <c r="BO818" t="s">
        <v>74</v>
      </c>
      <c r="BP818" t="s">
        <v>74</v>
      </c>
      <c r="BQ818" t="s">
        <v>74</v>
      </c>
      <c r="BR818" t="s">
        <v>105</v>
      </c>
      <c r="BS818" t="s">
        <v>15959</v>
      </c>
      <c r="BT818" t="str">
        <f>HYPERLINK("https%3A%2F%2Fwww.webofscience.com%2Fwos%2Fwoscc%2Ffull-record%2FWOS:000693738100002","View Full Record in Web of Science")</f>
        <v>View Full Record in Web of Science</v>
      </c>
    </row>
    <row r="819" spans="1:72" x14ac:dyDescent="0.15">
      <c r="A819" t="s">
        <v>72</v>
      </c>
      <c r="B819" t="s">
        <v>15960</v>
      </c>
      <c r="C819" t="s">
        <v>74</v>
      </c>
      <c r="D819" t="s">
        <v>74</v>
      </c>
      <c r="E819" t="s">
        <v>74</v>
      </c>
      <c r="F819" t="s">
        <v>15961</v>
      </c>
      <c r="G819" t="s">
        <v>74</v>
      </c>
      <c r="H819" t="s">
        <v>74</v>
      </c>
      <c r="I819" t="s">
        <v>15962</v>
      </c>
      <c r="J819" t="s">
        <v>134</v>
      </c>
      <c r="K819" t="s">
        <v>74</v>
      </c>
      <c r="L819" t="s">
        <v>74</v>
      </c>
      <c r="M819" t="s">
        <v>78</v>
      </c>
      <c r="N819" t="s">
        <v>79</v>
      </c>
      <c r="O819" t="s">
        <v>74</v>
      </c>
      <c r="P819" t="s">
        <v>74</v>
      </c>
      <c r="Q819" t="s">
        <v>74</v>
      </c>
      <c r="R819" t="s">
        <v>74</v>
      </c>
      <c r="S819" t="s">
        <v>74</v>
      </c>
      <c r="T819" t="s">
        <v>15963</v>
      </c>
      <c r="U819" t="s">
        <v>15964</v>
      </c>
      <c r="V819" t="s">
        <v>15965</v>
      </c>
      <c r="W819" t="s">
        <v>15966</v>
      </c>
      <c r="X819" t="s">
        <v>15967</v>
      </c>
      <c r="Y819" t="s">
        <v>15968</v>
      </c>
      <c r="Z819" t="s">
        <v>15969</v>
      </c>
      <c r="AA819" t="s">
        <v>74</v>
      </c>
      <c r="AB819" t="s">
        <v>74</v>
      </c>
      <c r="AC819" t="s">
        <v>15970</v>
      </c>
      <c r="AD819" t="s">
        <v>15971</v>
      </c>
      <c r="AE819" t="s">
        <v>15972</v>
      </c>
      <c r="AF819" t="s">
        <v>74</v>
      </c>
      <c r="AG819">
        <v>64</v>
      </c>
      <c r="AH819">
        <v>1</v>
      </c>
      <c r="AI819">
        <v>1</v>
      </c>
      <c r="AJ819">
        <v>1</v>
      </c>
      <c r="AK819">
        <v>5</v>
      </c>
      <c r="AL819" t="s">
        <v>142</v>
      </c>
      <c r="AM819" t="s">
        <v>143</v>
      </c>
      <c r="AN819" t="s">
        <v>144</v>
      </c>
      <c r="AO819" t="s">
        <v>145</v>
      </c>
      <c r="AP819" t="s">
        <v>146</v>
      </c>
      <c r="AQ819" t="s">
        <v>74</v>
      </c>
      <c r="AR819" t="s">
        <v>147</v>
      </c>
      <c r="AS819" t="s">
        <v>148</v>
      </c>
      <c r="AT819" t="s">
        <v>627</v>
      </c>
      <c r="AU819">
        <v>2021</v>
      </c>
      <c r="AV819">
        <v>130</v>
      </c>
      <c r="AW819">
        <v>3</v>
      </c>
      <c r="AX819" t="s">
        <v>74</v>
      </c>
      <c r="AY819" t="s">
        <v>74</v>
      </c>
      <c r="AZ819" t="s">
        <v>74</v>
      </c>
      <c r="BA819" t="s">
        <v>74</v>
      </c>
      <c r="BB819" t="s">
        <v>74</v>
      </c>
      <c r="BC819" t="s">
        <v>74</v>
      </c>
      <c r="BD819">
        <v>163</v>
      </c>
      <c r="BE819" t="s">
        <v>15973</v>
      </c>
      <c r="BF819" t="str">
        <f>HYPERLINK("http://dx.doi.org/10.1007/s12040-021-01659-2","http://dx.doi.org/10.1007/s12040-021-01659-2")</f>
        <v>http://dx.doi.org/10.1007/s12040-021-01659-2</v>
      </c>
      <c r="BG819" t="s">
        <v>74</v>
      </c>
      <c r="BH819" t="s">
        <v>74</v>
      </c>
      <c r="BI819">
        <v>13</v>
      </c>
      <c r="BJ819" t="s">
        <v>150</v>
      </c>
      <c r="BK819" t="s">
        <v>101</v>
      </c>
      <c r="BL819" t="s">
        <v>151</v>
      </c>
      <c r="BM819" t="s">
        <v>15974</v>
      </c>
      <c r="BN819" t="s">
        <v>74</v>
      </c>
      <c r="BO819" t="s">
        <v>74</v>
      </c>
      <c r="BP819" t="s">
        <v>74</v>
      </c>
      <c r="BQ819" t="s">
        <v>74</v>
      </c>
      <c r="BR819" t="s">
        <v>105</v>
      </c>
      <c r="BS819" t="s">
        <v>15975</v>
      </c>
      <c r="BT819" t="str">
        <f>HYPERLINK("https%3A%2F%2Fwww.webofscience.com%2Fwos%2Fwoscc%2Ffull-record%2FWOS:000684234100003","View Full Record in Web of Science")</f>
        <v>View Full Record in Web of Science</v>
      </c>
    </row>
    <row r="820" spans="1:72" x14ac:dyDescent="0.15">
      <c r="A820" t="s">
        <v>72</v>
      </c>
      <c r="B820" t="s">
        <v>15976</v>
      </c>
      <c r="C820" t="s">
        <v>74</v>
      </c>
      <c r="D820" t="s">
        <v>74</v>
      </c>
      <c r="E820" t="s">
        <v>74</v>
      </c>
      <c r="F820" t="s">
        <v>15977</v>
      </c>
      <c r="G820" t="s">
        <v>74</v>
      </c>
      <c r="H820" t="s">
        <v>74</v>
      </c>
      <c r="I820" t="s">
        <v>15978</v>
      </c>
      <c r="J820" t="s">
        <v>15979</v>
      </c>
      <c r="K820" t="s">
        <v>74</v>
      </c>
      <c r="L820" t="s">
        <v>74</v>
      </c>
      <c r="M820" t="s">
        <v>78</v>
      </c>
      <c r="N820" t="s">
        <v>79</v>
      </c>
      <c r="O820" t="s">
        <v>74</v>
      </c>
      <c r="P820" t="s">
        <v>74</v>
      </c>
      <c r="Q820" t="s">
        <v>74</v>
      </c>
      <c r="R820" t="s">
        <v>74</v>
      </c>
      <c r="S820" t="s">
        <v>74</v>
      </c>
      <c r="T820" t="s">
        <v>15980</v>
      </c>
      <c r="U820" t="s">
        <v>15981</v>
      </c>
      <c r="V820" t="s">
        <v>15982</v>
      </c>
      <c r="W820" t="s">
        <v>15983</v>
      </c>
      <c r="X820" t="s">
        <v>15984</v>
      </c>
      <c r="Y820" t="s">
        <v>15985</v>
      </c>
      <c r="Z820" t="s">
        <v>15986</v>
      </c>
      <c r="AA820" t="s">
        <v>74</v>
      </c>
      <c r="AB820" t="s">
        <v>74</v>
      </c>
      <c r="AC820" t="s">
        <v>15987</v>
      </c>
      <c r="AD820" t="s">
        <v>15988</v>
      </c>
      <c r="AE820" t="s">
        <v>15989</v>
      </c>
      <c r="AF820" t="s">
        <v>74</v>
      </c>
      <c r="AG820">
        <v>22</v>
      </c>
      <c r="AH820">
        <v>2</v>
      </c>
      <c r="AI820">
        <v>3</v>
      </c>
      <c r="AJ820">
        <v>0</v>
      </c>
      <c r="AK820">
        <v>6</v>
      </c>
      <c r="AL820" t="s">
        <v>15990</v>
      </c>
      <c r="AM820" t="s">
        <v>9994</v>
      </c>
      <c r="AN820" t="s">
        <v>15991</v>
      </c>
      <c r="AO820" t="s">
        <v>15992</v>
      </c>
      <c r="AP820" t="s">
        <v>15993</v>
      </c>
      <c r="AQ820" t="s">
        <v>74</v>
      </c>
      <c r="AR820" t="s">
        <v>15994</v>
      </c>
      <c r="AS820" t="s">
        <v>15995</v>
      </c>
      <c r="AT820" t="s">
        <v>627</v>
      </c>
      <c r="AU820">
        <v>2021</v>
      </c>
      <c r="AV820">
        <v>14</v>
      </c>
      <c r="AW820">
        <v>5</v>
      </c>
      <c r="AX820" t="s">
        <v>74</v>
      </c>
      <c r="AY820" t="s">
        <v>74</v>
      </c>
      <c r="AZ820" t="s">
        <v>74</v>
      </c>
      <c r="BA820" t="s">
        <v>74</v>
      </c>
      <c r="BB820" t="s">
        <v>74</v>
      </c>
      <c r="BC820" t="s">
        <v>74</v>
      </c>
      <c r="BD820">
        <v>100044</v>
      </c>
      <c r="BE820" t="s">
        <v>15996</v>
      </c>
      <c r="BF820" t="str">
        <f>HYPERLINK("http://dx.doi.org/10.1016/j.aosl.2021.100044","http://dx.doi.org/10.1016/j.aosl.2021.100044")</f>
        <v>http://dx.doi.org/10.1016/j.aosl.2021.100044</v>
      </c>
      <c r="BG820" t="s">
        <v>74</v>
      </c>
      <c r="BH820" t="s">
        <v>74</v>
      </c>
      <c r="BI820">
        <v>7</v>
      </c>
      <c r="BJ820" t="s">
        <v>829</v>
      </c>
      <c r="BK820" t="s">
        <v>1629</v>
      </c>
      <c r="BL820" t="s">
        <v>829</v>
      </c>
      <c r="BM820" t="s">
        <v>15997</v>
      </c>
      <c r="BN820" t="s">
        <v>74</v>
      </c>
      <c r="BO820" t="s">
        <v>210</v>
      </c>
      <c r="BP820" t="s">
        <v>74</v>
      </c>
      <c r="BQ820" t="s">
        <v>74</v>
      </c>
      <c r="BR820" t="s">
        <v>105</v>
      </c>
      <c r="BS820" t="s">
        <v>15998</v>
      </c>
      <c r="BT820" t="str">
        <f>HYPERLINK("https%3A%2F%2Fwww.webofscience.com%2Fwos%2Fwoscc%2Ffull-record%2FWOS:000677668200005","View Full Record in Web of Science")</f>
        <v>View Full Record in Web of Science</v>
      </c>
    </row>
    <row r="821" spans="1:72" x14ac:dyDescent="0.15">
      <c r="A821" t="s">
        <v>72</v>
      </c>
      <c r="B821" t="s">
        <v>15999</v>
      </c>
      <c r="C821" t="s">
        <v>74</v>
      </c>
      <c r="D821" t="s">
        <v>74</v>
      </c>
      <c r="E821" t="s">
        <v>74</v>
      </c>
      <c r="F821" t="s">
        <v>16000</v>
      </c>
      <c r="G821" t="s">
        <v>74</v>
      </c>
      <c r="H821" t="s">
        <v>74</v>
      </c>
      <c r="I821" t="s">
        <v>16001</v>
      </c>
      <c r="J821" t="s">
        <v>16002</v>
      </c>
      <c r="K821" t="s">
        <v>74</v>
      </c>
      <c r="L821" t="s">
        <v>74</v>
      </c>
      <c r="M821" t="s">
        <v>78</v>
      </c>
      <c r="N821" t="s">
        <v>373</v>
      </c>
      <c r="O821" t="s">
        <v>74</v>
      </c>
      <c r="P821" t="s">
        <v>74</v>
      </c>
      <c r="Q821" t="s">
        <v>74</v>
      </c>
      <c r="R821" t="s">
        <v>74</v>
      </c>
      <c r="S821" t="s">
        <v>74</v>
      </c>
      <c r="T821" t="s">
        <v>16003</v>
      </c>
      <c r="U821" t="s">
        <v>16004</v>
      </c>
      <c r="V821" t="s">
        <v>16005</v>
      </c>
      <c r="W821" t="s">
        <v>16006</v>
      </c>
      <c r="X821" t="s">
        <v>16007</v>
      </c>
      <c r="Y821" t="s">
        <v>16008</v>
      </c>
      <c r="Z821" t="s">
        <v>16009</v>
      </c>
      <c r="AA821" t="s">
        <v>16010</v>
      </c>
      <c r="AB821" t="s">
        <v>16011</v>
      </c>
      <c r="AC821" t="s">
        <v>74</v>
      </c>
      <c r="AD821" t="s">
        <v>74</v>
      </c>
      <c r="AE821" t="s">
        <v>74</v>
      </c>
      <c r="AF821" t="s">
        <v>74</v>
      </c>
      <c r="AG821">
        <v>72</v>
      </c>
      <c r="AH821">
        <v>2</v>
      </c>
      <c r="AI821">
        <v>2</v>
      </c>
      <c r="AJ821">
        <v>0</v>
      </c>
      <c r="AK821">
        <v>1</v>
      </c>
      <c r="AL821" t="s">
        <v>16012</v>
      </c>
      <c r="AM821" t="s">
        <v>16013</v>
      </c>
      <c r="AN821" t="s">
        <v>16014</v>
      </c>
      <c r="AO821" t="s">
        <v>16015</v>
      </c>
      <c r="AP821" t="s">
        <v>16016</v>
      </c>
      <c r="AQ821" t="s">
        <v>74</v>
      </c>
      <c r="AR821" t="s">
        <v>16017</v>
      </c>
      <c r="AS821" t="s">
        <v>16018</v>
      </c>
      <c r="AT821" t="s">
        <v>627</v>
      </c>
      <c r="AU821">
        <v>2021</v>
      </c>
      <c r="AV821">
        <v>60</v>
      </c>
      <c r="AW821">
        <v>3</v>
      </c>
      <c r="AX821" t="s">
        <v>74</v>
      </c>
      <c r="AY821" t="s">
        <v>74</v>
      </c>
      <c r="AZ821" t="s">
        <v>74</v>
      </c>
      <c r="BA821" t="s">
        <v>74</v>
      </c>
      <c r="BB821">
        <v>100</v>
      </c>
      <c r="BC821">
        <v>113</v>
      </c>
      <c r="BD821" t="s">
        <v>74</v>
      </c>
      <c r="BE821" t="s">
        <v>16019</v>
      </c>
      <c r="BF821" t="str">
        <f>HYPERLINK("http://dx.doi.org/10.23736/S2784-8477.21.01915-5","http://dx.doi.org/10.23736/S2784-8477.21.01915-5")</f>
        <v>http://dx.doi.org/10.23736/S2784-8477.21.01915-5</v>
      </c>
      <c r="BG821" t="s">
        <v>74</v>
      </c>
      <c r="BH821" t="s">
        <v>74</v>
      </c>
      <c r="BI821">
        <v>14</v>
      </c>
      <c r="BJ821" t="s">
        <v>16020</v>
      </c>
      <c r="BK821" t="s">
        <v>1629</v>
      </c>
      <c r="BL821" t="s">
        <v>16020</v>
      </c>
      <c r="BM821" t="s">
        <v>16021</v>
      </c>
      <c r="BN821" t="s">
        <v>74</v>
      </c>
      <c r="BO821" t="s">
        <v>74</v>
      </c>
      <c r="BP821" t="s">
        <v>74</v>
      </c>
      <c r="BQ821" t="s">
        <v>74</v>
      </c>
      <c r="BR821" t="s">
        <v>105</v>
      </c>
      <c r="BS821" t="s">
        <v>16022</v>
      </c>
      <c r="BT821" t="str">
        <f>HYPERLINK("https%3A%2F%2Fwww.webofscience.com%2Fwos%2Fwoscc%2Ffull-record%2FWOS:000677573700005","View Full Record in Web of Science")</f>
        <v>View Full Record in Web of Science</v>
      </c>
    </row>
    <row r="822" spans="1:72" x14ac:dyDescent="0.15">
      <c r="A822" t="s">
        <v>72</v>
      </c>
      <c r="B822" t="s">
        <v>16023</v>
      </c>
      <c r="C822" t="s">
        <v>74</v>
      </c>
      <c r="D822" t="s">
        <v>74</v>
      </c>
      <c r="E822" t="s">
        <v>74</v>
      </c>
      <c r="F822" t="s">
        <v>16024</v>
      </c>
      <c r="G822" t="s">
        <v>74</v>
      </c>
      <c r="H822" t="s">
        <v>74</v>
      </c>
      <c r="I822" t="s">
        <v>16025</v>
      </c>
      <c r="J822" t="s">
        <v>16026</v>
      </c>
      <c r="K822" t="s">
        <v>74</v>
      </c>
      <c r="L822" t="s">
        <v>74</v>
      </c>
      <c r="M822" t="s">
        <v>78</v>
      </c>
      <c r="N822" t="s">
        <v>79</v>
      </c>
      <c r="O822" t="s">
        <v>74</v>
      </c>
      <c r="P822" t="s">
        <v>74</v>
      </c>
      <c r="Q822" t="s">
        <v>74</v>
      </c>
      <c r="R822" t="s">
        <v>74</v>
      </c>
      <c r="S822" t="s">
        <v>74</v>
      </c>
      <c r="T822" t="s">
        <v>16027</v>
      </c>
      <c r="U822" t="s">
        <v>16028</v>
      </c>
      <c r="V822" t="s">
        <v>16029</v>
      </c>
      <c r="W822" t="s">
        <v>16030</v>
      </c>
      <c r="X822" t="s">
        <v>16031</v>
      </c>
      <c r="Y822" t="s">
        <v>16032</v>
      </c>
      <c r="Z822" t="s">
        <v>16033</v>
      </c>
      <c r="AA822" t="s">
        <v>16034</v>
      </c>
      <c r="AB822" t="s">
        <v>74</v>
      </c>
      <c r="AC822" t="s">
        <v>16035</v>
      </c>
      <c r="AD822" t="s">
        <v>16036</v>
      </c>
      <c r="AE822" t="s">
        <v>16037</v>
      </c>
      <c r="AF822" t="s">
        <v>74</v>
      </c>
      <c r="AG822">
        <v>45</v>
      </c>
      <c r="AH822">
        <v>5</v>
      </c>
      <c r="AI822">
        <v>5</v>
      </c>
      <c r="AJ822">
        <v>4</v>
      </c>
      <c r="AK822">
        <v>17</v>
      </c>
      <c r="AL822" t="s">
        <v>847</v>
      </c>
      <c r="AM822" t="s">
        <v>848</v>
      </c>
      <c r="AN822" t="s">
        <v>849</v>
      </c>
      <c r="AO822" t="s">
        <v>16038</v>
      </c>
      <c r="AP822" t="s">
        <v>16039</v>
      </c>
      <c r="AQ822" t="s">
        <v>74</v>
      </c>
      <c r="AR822" t="s">
        <v>16040</v>
      </c>
      <c r="AS822" t="s">
        <v>16041</v>
      </c>
      <c r="AT822" t="s">
        <v>7760</v>
      </c>
      <c r="AU822">
        <v>2021</v>
      </c>
      <c r="AV822">
        <v>43</v>
      </c>
      <c r="AW822" t="s">
        <v>74</v>
      </c>
      <c r="AX822" t="s">
        <v>74</v>
      </c>
      <c r="AY822" t="s">
        <v>74</v>
      </c>
      <c r="AZ822" t="s">
        <v>74</v>
      </c>
      <c r="BA822" t="s">
        <v>74</v>
      </c>
      <c r="BB822" t="s">
        <v>74</v>
      </c>
      <c r="BC822" t="s">
        <v>74</v>
      </c>
      <c r="BD822">
        <v>101345</v>
      </c>
      <c r="BE822" t="s">
        <v>16042</v>
      </c>
      <c r="BF822" t="str">
        <f>HYPERLINK("http://dx.doi.org/10.1016/j.fbio.2021.101345","http://dx.doi.org/10.1016/j.fbio.2021.101345")</f>
        <v>http://dx.doi.org/10.1016/j.fbio.2021.101345</v>
      </c>
      <c r="BG822" t="s">
        <v>74</v>
      </c>
      <c r="BH822" t="s">
        <v>16043</v>
      </c>
      <c r="BI822">
        <v>11</v>
      </c>
      <c r="BJ822" t="s">
        <v>1206</v>
      </c>
      <c r="BK822" t="s">
        <v>101</v>
      </c>
      <c r="BL822" t="s">
        <v>1206</v>
      </c>
      <c r="BM822" t="s">
        <v>16044</v>
      </c>
      <c r="BN822" t="s">
        <v>74</v>
      </c>
      <c r="BO822" t="s">
        <v>74</v>
      </c>
      <c r="BP822" t="s">
        <v>74</v>
      </c>
      <c r="BQ822" t="s">
        <v>74</v>
      </c>
      <c r="BR822" t="s">
        <v>105</v>
      </c>
      <c r="BS822" t="s">
        <v>16045</v>
      </c>
      <c r="BT822" t="str">
        <f>HYPERLINK("https%3A%2F%2Fwww.webofscience.com%2Fwos%2Fwoscc%2Ffull-record%2FWOS:000709409600002","View Full Record in Web of Science")</f>
        <v>View Full Record in Web of Science</v>
      </c>
    </row>
    <row r="823" spans="1:72" x14ac:dyDescent="0.15">
      <c r="A823" t="s">
        <v>72</v>
      </c>
      <c r="B823" t="s">
        <v>16046</v>
      </c>
      <c r="C823" t="s">
        <v>74</v>
      </c>
      <c r="D823" t="s">
        <v>74</v>
      </c>
      <c r="E823" t="s">
        <v>74</v>
      </c>
      <c r="F823" t="s">
        <v>16047</v>
      </c>
      <c r="G823" t="s">
        <v>74</v>
      </c>
      <c r="H823" t="s">
        <v>74</v>
      </c>
      <c r="I823" t="s">
        <v>16048</v>
      </c>
      <c r="J823" t="s">
        <v>16049</v>
      </c>
      <c r="K823" t="s">
        <v>74</v>
      </c>
      <c r="L823" t="s">
        <v>74</v>
      </c>
      <c r="M823" t="s">
        <v>78</v>
      </c>
      <c r="N823" t="s">
        <v>79</v>
      </c>
      <c r="O823" t="s">
        <v>74</v>
      </c>
      <c r="P823" t="s">
        <v>74</v>
      </c>
      <c r="Q823" t="s">
        <v>74</v>
      </c>
      <c r="R823" t="s">
        <v>74</v>
      </c>
      <c r="S823" t="s">
        <v>74</v>
      </c>
      <c r="T823" t="s">
        <v>16050</v>
      </c>
      <c r="U823" t="s">
        <v>16051</v>
      </c>
      <c r="V823" t="s">
        <v>16052</v>
      </c>
      <c r="W823" t="s">
        <v>16053</v>
      </c>
      <c r="X823" t="s">
        <v>16054</v>
      </c>
      <c r="Y823" t="s">
        <v>16055</v>
      </c>
      <c r="Z823" t="s">
        <v>16056</v>
      </c>
      <c r="AA823" t="s">
        <v>16057</v>
      </c>
      <c r="AB823" t="s">
        <v>74</v>
      </c>
      <c r="AC823" t="s">
        <v>16058</v>
      </c>
      <c r="AD823" t="s">
        <v>16059</v>
      </c>
      <c r="AE823" t="s">
        <v>16060</v>
      </c>
      <c r="AF823" t="s">
        <v>74</v>
      </c>
      <c r="AG823">
        <v>37</v>
      </c>
      <c r="AH823">
        <v>5</v>
      </c>
      <c r="AI823">
        <v>5</v>
      </c>
      <c r="AJ823">
        <v>0</v>
      </c>
      <c r="AK823">
        <v>3</v>
      </c>
      <c r="AL823" t="s">
        <v>198</v>
      </c>
      <c r="AM823" t="s">
        <v>199</v>
      </c>
      <c r="AN823" t="s">
        <v>200</v>
      </c>
      <c r="AO823" t="s">
        <v>16061</v>
      </c>
      <c r="AP823" t="s">
        <v>16062</v>
      </c>
      <c r="AQ823" t="s">
        <v>74</v>
      </c>
      <c r="AR823" t="s">
        <v>16063</v>
      </c>
      <c r="AS823" t="s">
        <v>16064</v>
      </c>
      <c r="AT823" t="s">
        <v>15552</v>
      </c>
      <c r="AU823">
        <v>2022</v>
      </c>
      <c r="AV823">
        <v>60</v>
      </c>
      <c r="AW823">
        <v>1</v>
      </c>
      <c r="AX823" t="s">
        <v>74</v>
      </c>
      <c r="AY823" t="s">
        <v>74</v>
      </c>
      <c r="AZ823" t="s">
        <v>74</v>
      </c>
      <c r="BA823" t="s">
        <v>74</v>
      </c>
      <c r="BB823">
        <v>68</v>
      </c>
      <c r="BC823">
        <v>76</v>
      </c>
      <c r="BD823" t="s">
        <v>74</v>
      </c>
      <c r="BE823" t="s">
        <v>16065</v>
      </c>
      <c r="BF823" t="str">
        <f>HYPERLINK("http://dx.doi.org/10.1080/0028825X.2021.1939735","http://dx.doi.org/10.1080/0028825X.2021.1939735")</f>
        <v>http://dx.doi.org/10.1080/0028825X.2021.1939735</v>
      </c>
      <c r="BG823" t="s">
        <v>74</v>
      </c>
      <c r="BH823" t="s">
        <v>16043</v>
      </c>
      <c r="BI823">
        <v>9</v>
      </c>
      <c r="BJ823" t="s">
        <v>4148</v>
      </c>
      <c r="BK823" t="s">
        <v>101</v>
      </c>
      <c r="BL823" t="s">
        <v>4148</v>
      </c>
      <c r="BM823" t="s">
        <v>16066</v>
      </c>
      <c r="BN823" t="s">
        <v>74</v>
      </c>
      <c r="BO823" t="s">
        <v>74</v>
      </c>
      <c r="BP823" t="s">
        <v>74</v>
      </c>
      <c r="BQ823" t="s">
        <v>74</v>
      </c>
      <c r="BR823" t="s">
        <v>105</v>
      </c>
      <c r="BS823" t="s">
        <v>16067</v>
      </c>
      <c r="BT823" t="str">
        <f>HYPERLINK("https%3A%2F%2Fwww.webofscience.com%2Fwos%2Fwoscc%2Ffull-record%2FWOS:000695516600001","View Full Record in Web of Science")</f>
        <v>View Full Record in Web of Science</v>
      </c>
    </row>
    <row r="824" spans="1:72" x14ac:dyDescent="0.15">
      <c r="A824" t="s">
        <v>72</v>
      </c>
      <c r="B824" t="s">
        <v>16068</v>
      </c>
      <c r="C824" t="s">
        <v>74</v>
      </c>
      <c r="D824" t="s">
        <v>74</v>
      </c>
      <c r="E824" t="s">
        <v>74</v>
      </c>
      <c r="F824" t="s">
        <v>16069</v>
      </c>
      <c r="G824" t="s">
        <v>74</v>
      </c>
      <c r="H824" t="s">
        <v>74</v>
      </c>
      <c r="I824" t="s">
        <v>16070</v>
      </c>
      <c r="J824" t="s">
        <v>16071</v>
      </c>
      <c r="K824" t="s">
        <v>74</v>
      </c>
      <c r="L824" t="s">
        <v>74</v>
      </c>
      <c r="M824" t="s">
        <v>78</v>
      </c>
      <c r="N824" t="s">
        <v>79</v>
      </c>
      <c r="O824" t="s">
        <v>74</v>
      </c>
      <c r="P824" t="s">
        <v>74</v>
      </c>
      <c r="Q824" t="s">
        <v>74</v>
      </c>
      <c r="R824" t="s">
        <v>74</v>
      </c>
      <c r="S824" t="s">
        <v>74</v>
      </c>
      <c r="T824" t="s">
        <v>16072</v>
      </c>
      <c r="U824" t="s">
        <v>16073</v>
      </c>
      <c r="V824" t="s">
        <v>16074</v>
      </c>
      <c r="W824" t="s">
        <v>16075</v>
      </c>
      <c r="X824" t="s">
        <v>16076</v>
      </c>
      <c r="Y824" t="s">
        <v>16077</v>
      </c>
      <c r="Z824" t="s">
        <v>16078</v>
      </c>
      <c r="AA824" t="s">
        <v>16079</v>
      </c>
      <c r="AB824" t="s">
        <v>74</v>
      </c>
      <c r="AC824" t="s">
        <v>16080</v>
      </c>
      <c r="AD824" t="s">
        <v>16081</v>
      </c>
      <c r="AE824" t="s">
        <v>16082</v>
      </c>
      <c r="AF824" t="s">
        <v>74</v>
      </c>
      <c r="AG824">
        <v>43</v>
      </c>
      <c r="AH824">
        <v>1</v>
      </c>
      <c r="AI824">
        <v>1</v>
      </c>
      <c r="AJ824">
        <v>0</v>
      </c>
      <c r="AK824">
        <v>4</v>
      </c>
      <c r="AL824" t="s">
        <v>1175</v>
      </c>
      <c r="AM824" t="s">
        <v>170</v>
      </c>
      <c r="AN824" t="s">
        <v>1176</v>
      </c>
      <c r="AO824" t="s">
        <v>16083</v>
      </c>
      <c r="AP824" t="s">
        <v>16084</v>
      </c>
      <c r="AQ824" t="s">
        <v>74</v>
      </c>
      <c r="AR824" t="s">
        <v>16085</v>
      </c>
      <c r="AS824" t="s">
        <v>16086</v>
      </c>
      <c r="AT824" t="s">
        <v>204</v>
      </c>
      <c r="AU824">
        <v>2021</v>
      </c>
      <c r="AV824">
        <v>263</v>
      </c>
      <c r="AW824" t="s">
        <v>74</v>
      </c>
      <c r="AX824" t="s">
        <v>74</v>
      </c>
      <c r="AY824" t="s">
        <v>74</v>
      </c>
      <c r="AZ824" t="s">
        <v>74</v>
      </c>
      <c r="BA824" t="s">
        <v>74</v>
      </c>
      <c r="BB824" t="s">
        <v>74</v>
      </c>
      <c r="BC824" t="s">
        <v>74</v>
      </c>
      <c r="BD824">
        <v>105812</v>
      </c>
      <c r="BE824" t="s">
        <v>16087</v>
      </c>
      <c r="BF824" t="str">
        <f>HYPERLINK("http://dx.doi.org/10.1016/j.atmosres.2021.105812","http://dx.doi.org/10.1016/j.atmosres.2021.105812")</f>
        <v>http://dx.doi.org/10.1016/j.atmosres.2021.105812</v>
      </c>
      <c r="BG824" t="s">
        <v>74</v>
      </c>
      <c r="BH824" t="s">
        <v>16043</v>
      </c>
      <c r="BI824">
        <v>13</v>
      </c>
      <c r="BJ824" t="s">
        <v>829</v>
      </c>
      <c r="BK824" t="s">
        <v>101</v>
      </c>
      <c r="BL824" t="s">
        <v>829</v>
      </c>
      <c r="BM824" t="s">
        <v>16088</v>
      </c>
      <c r="BN824" t="s">
        <v>74</v>
      </c>
      <c r="BO824" t="s">
        <v>343</v>
      </c>
      <c r="BP824" t="s">
        <v>74</v>
      </c>
      <c r="BQ824" t="s">
        <v>74</v>
      </c>
      <c r="BR824" t="s">
        <v>105</v>
      </c>
      <c r="BS824" t="s">
        <v>16089</v>
      </c>
      <c r="BT824" t="str">
        <f>HYPERLINK("https%3A%2F%2Fwww.webofscience.com%2Fwos%2Fwoscc%2Ffull-record%2FWOS:000702534000005","View Full Record in Web of Science")</f>
        <v>View Full Record in Web of Science</v>
      </c>
    </row>
    <row r="825" spans="1:72" x14ac:dyDescent="0.15">
      <c r="A825" t="s">
        <v>72</v>
      </c>
      <c r="B825" t="s">
        <v>16090</v>
      </c>
      <c r="C825" t="s">
        <v>74</v>
      </c>
      <c r="D825" t="s">
        <v>74</v>
      </c>
      <c r="E825" t="s">
        <v>74</v>
      </c>
      <c r="F825" t="s">
        <v>16091</v>
      </c>
      <c r="G825" t="s">
        <v>74</v>
      </c>
      <c r="H825" t="s">
        <v>74</v>
      </c>
      <c r="I825" t="s">
        <v>16092</v>
      </c>
      <c r="J825" t="s">
        <v>536</v>
      </c>
      <c r="K825" t="s">
        <v>74</v>
      </c>
      <c r="L825" t="s">
        <v>74</v>
      </c>
      <c r="M825" t="s">
        <v>78</v>
      </c>
      <c r="N825" t="s">
        <v>79</v>
      </c>
      <c r="O825" t="s">
        <v>74</v>
      </c>
      <c r="P825" t="s">
        <v>74</v>
      </c>
      <c r="Q825" t="s">
        <v>74</v>
      </c>
      <c r="R825" t="s">
        <v>74</v>
      </c>
      <c r="S825" t="s">
        <v>74</v>
      </c>
      <c r="T825" t="s">
        <v>74</v>
      </c>
      <c r="U825" t="s">
        <v>16093</v>
      </c>
      <c r="V825" t="s">
        <v>16094</v>
      </c>
      <c r="W825" t="s">
        <v>16095</v>
      </c>
      <c r="X825" t="s">
        <v>16096</v>
      </c>
      <c r="Y825" t="s">
        <v>16097</v>
      </c>
      <c r="Z825" t="s">
        <v>74</v>
      </c>
      <c r="AA825" t="s">
        <v>16098</v>
      </c>
      <c r="AB825" t="s">
        <v>16099</v>
      </c>
      <c r="AC825" t="s">
        <v>74</v>
      </c>
      <c r="AD825" t="s">
        <v>74</v>
      </c>
      <c r="AE825" t="s">
        <v>74</v>
      </c>
      <c r="AF825" t="s">
        <v>74</v>
      </c>
      <c r="AG825">
        <v>61</v>
      </c>
      <c r="AH825">
        <v>1</v>
      </c>
      <c r="AI825">
        <v>1</v>
      </c>
      <c r="AJ825">
        <v>1</v>
      </c>
      <c r="AK825">
        <v>13</v>
      </c>
      <c r="AL825" t="s">
        <v>227</v>
      </c>
      <c r="AM825" t="s">
        <v>228</v>
      </c>
      <c r="AN825" t="s">
        <v>229</v>
      </c>
      <c r="AO825" t="s">
        <v>548</v>
      </c>
      <c r="AP825" t="s">
        <v>549</v>
      </c>
      <c r="AQ825" t="s">
        <v>74</v>
      </c>
      <c r="AR825" t="s">
        <v>550</v>
      </c>
      <c r="AS825" t="s">
        <v>551</v>
      </c>
      <c r="AT825" t="s">
        <v>16100</v>
      </c>
      <c r="AU825">
        <v>2021</v>
      </c>
      <c r="AV825">
        <v>21</v>
      </c>
      <c r="AW825">
        <v>17</v>
      </c>
      <c r="AX825" t="s">
        <v>74</v>
      </c>
      <c r="AY825" t="s">
        <v>74</v>
      </c>
      <c r="AZ825" t="s">
        <v>74</v>
      </c>
      <c r="BA825" t="s">
        <v>74</v>
      </c>
      <c r="BB825">
        <v>12835</v>
      </c>
      <c r="BC825">
        <v>12853</v>
      </c>
      <c r="BD825" t="s">
        <v>74</v>
      </c>
      <c r="BE825" t="s">
        <v>16101</v>
      </c>
      <c r="BF825" t="str">
        <f>HYPERLINK("http://dx.doi.org/10.5194/acp-21-12835-2021","http://dx.doi.org/10.5194/acp-21-12835-2021")</f>
        <v>http://dx.doi.org/10.5194/acp-21-12835-2021</v>
      </c>
      <c r="BG825" t="s">
        <v>74</v>
      </c>
      <c r="BH825" t="s">
        <v>74</v>
      </c>
      <c r="BI825">
        <v>19</v>
      </c>
      <c r="BJ825" t="s">
        <v>100</v>
      </c>
      <c r="BK825" t="s">
        <v>101</v>
      </c>
      <c r="BL825" t="s">
        <v>102</v>
      </c>
      <c r="BM825" t="s">
        <v>16102</v>
      </c>
      <c r="BN825" t="s">
        <v>74</v>
      </c>
      <c r="BO825" t="s">
        <v>239</v>
      </c>
      <c r="BP825" t="s">
        <v>74</v>
      </c>
      <c r="BQ825" t="s">
        <v>74</v>
      </c>
      <c r="BR825" t="s">
        <v>105</v>
      </c>
      <c r="BS825" t="s">
        <v>16103</v>
      </c>
      <c r="BT825" t="str">
        <f>HYPERLINK("https%3A%2F%2Fwww.webofscience.com%2Fwos%2Fwoscc%2Ffull-record%2FWOS:000692618900001","View Full Record in Web of Science")</f>
        <v>View Full Record in Web of Science</v>
      </c>
    </row>
    <row r="826" spans="1:72" x14ac:dyDescent="0.15">
      <c r="A826" t="s">
        <v>72</v>
      </c>
      <c r="B826" t="s">
        <v>16104</v>
      </c>
      <c r="C826" t="s">
        <v>74</v>
      </c>
      <c r="D826" t="s">
        <v>74</v>
      </c>
      <c r="E826" t="s">
        <v>74</v>
      </c>
      <c r="F826" t="s">
        <v>16105</v>
      </c>
      <c r="G826" t="s">
        <v>74</v>
      </c>
      <c r="H826" t="s">
        <v>74</v>
      </c>
      <c r="I826" t="s">
        <v>16106</v>
      </c>
      <c r="J826" t="s">
        <v>1058</v>
      </c>
      <c r="K826" t="s">
        <v>74</v>
      </c>
      <c r="L826" t="s">
        <v>74</v>
      </c>
      <c r="M826" t="s">
        <v>78</v>
      </c>
      <c r="N826" t="s">
        <v>79</v>
      </c>
      <c r="O826" t="s">
        <v>74</v>
      </c>
      <c r="P826" t="s">
        <v>74</v>
      </c>
      <c r="Q826" t="s">
        <v>74</v>
      </c>
      <c r="R826" t="s">
        <v>74</v>
      </c>
      <c r="S826" t="s">
        <v>74</v>
      </c>
      <c r="T826" t="s">
        <v>74</v>
      </c>
      <c r="U826" t="s">
        <v>16107</v>
      </c>
      <c r="V826" t="s">
        <v>16108</v>
      </c>
      <c r="W826" t="s">
        <v>16109</v>
      </c>
      <c r="X826" t="s">
        <v>16110</v>
      </c>
      <c r="Y826" t="s">
        <v>16111</v>
      </c>
      <c r="Z826" t="s">
        <v>16112</v>
      </c>
      <c r="AA826" t="s">
        <v>16113</v>
      </c>
      <c r="AB826" t="s">
        <v>16114</v>
      </c>
      <c r="AC826" t="s">
        <v>16115</v>
      </c>
      <c r="AD826" t="s">
        <v>16116</v>
      </c>
      <c r="AE826" t="s">
        <v>16117</v>
      </c>
      <c r="AF826" t="s">
        <v>74</v>
      </c>
      <c r="AG826">
        <v>57</v>
      </c>
      <c r="AH826">
        <v>6</v>
      </c>
      <c r="AI826">
        <v>6</v>
      </c>
      <c r="AJ826">
        <v>0</v>
      </c>
      <c r="AK826">
        <v>5</v>
      </c>
      <c r="AL826" t="s">
        <v>227</v>
      </c>
      <c r="AM826" t="s">
        <v>228</v>
      </c>
      <c r="AN826" t="s">
        <v>229</v>
      </c>
      <c r="AO826" t="s">
        <v>1065</v>
      </c>
      <c r="AP826" t="s">
        <v>1066</v>
      </c>
      <c r="AQ826" t="s">
        <v>74</v>
      </c>
      <c r="AR826" t="s">
        <v>1058</v>
      </c>
      <c r="AS826" t="s">
        <v>1067</v>
      </c>
      <c r="AT826" t="s">
        <v>16100</v>
      </c>
      <c r="AU826">
        <v>2021</v>
      </c>
      <c r="AV826">
        <v>15</v>
      </c>
      <c r="AW826">
        <v>9</v>
      </c>
      <c r="AX826" t="s">
        <v>74</v>
      </c>
      <c r="AY826" t="s">
        <v>74</v>
      </c>
      <c r="AZ826" t="s">
        <v>74</v>
      </c>
      <c r="BA826" t="s">
        <v>74</v>
      </c>
      <c r="BB826">
        <v>4165</v>
      </c>
      <c r="BC826">
        <v>4178</v>
      </c>
      <c r="BD826" t="s">
        <v>74</v>
      </c>
      <c r="BE826" t="s">
        <v>16118</v>
      </c>
      <c r="BF826" t="str">
        <f>HYPERLINK("http://dx.doi.org/10.5194/tc-15-4165-2021","http://dx.doi.org/10.5194/tc-15-4165-2021")</f>
        <v>http://dx.doi.org/10.5194/tc-15-4165-2021</v>
      </c>
      <c r="BG826" t="s">
        <v>74</v>
      </c>
      <c r="BH826" t="s">
        <v>74</v>
      </c>
      <c r="BI826">
        <v>14</v>
      </c>
      <c r="BJ826" t="s">
        <v>340</v>
      </c>
      <c r="BK826" t="s">
        <v>101</v>
      </c>
      <c r="BL826" t="s">
        <v>341</v>
      </c>
      <c r="BM826" t="s">
        <v>16119</v>
      </c>
      <c r="BN826" t="s">
        <v>74</v>
      </c>
      <c r="BO826" t="s">
        <v>239</v>
      </c>
      <c r="BP826" t="s">
        <v>74</v>
      </c>
      <c r="BQ826" t="s">
        <v>74</v>
      </c>
      <c r="BR826" t="s">
        <v>105</v>
      </c>
      <c r="BS826" t="s">
        <v>16120</v>
      </c>
      <c r="BT826" t="str">
        <f>HYPERLINK("https%3A%2F%2Fwww.webofscience.com%2Fwos%2Fwoscc%2Ffull-record%2FWOS:000692538400001","View Full Record in Web of Science")</f>
        <v>View Full Record in Web of Science</v>
      </c>
    </row>
    <row r="827" spans="1:72" x14ac:dyDescent="0.15">
      <c r="A827" t="s">
        <v>72</v>
      </c>
      <c r="B827" t="s">
        <v>16121</v>
      </c>
      <c r="C827" t="s">
        <v>74</v>
      </c>
      <c r="D827" t="s">
        <v>74</v>
      </c>
      <c r="E827" t="s">
        <v>74</v>
      </c>
      <c r="F827" t="s">
        <v>16122</v>
      </c>
      <c r="G827" t="s">
        <v>74</v>
      </c>
      <c r="H827" t="s">
        <v>74</v>
      </c>
      <c r="I827" t="s">
        <v>16123</v>
      </c>
      <c r="J827" t="s">
        <v>16124</v>
      </c>
      <c r="K827" t="s">
        <v>74</v>
      </c>
      <c r="L827" t="s">
        <v>74</v>
      </c>
      <c r="M827" t="s">
        <v>78</v>
      </c>
      <c r="N827" t="s">
        <v>373</v>
      </c>
      <c r="O827" t="s">
        <v>74</v>
      </c>
      <c r="P827" t="s">
        <v>74</v>
      </c>
      <c r="Q827" t="s">
        <v>74</v>
      </c>
      <c r="R827" t="s">
        <v>74</v>
      </c>
      <c r="S827" t="s">
        <v>74</v>
      </c>
      <c r="T827" t="s">
        <v>74</v>
      </c>
      <c r="U827" t="s">
        <v>16125</v>
      </c>
      <c r="V827" t="s">
        <v>16126</v>
      </c>
      <c r="W827" t="s">
        <v>16127</v>
      </c>
      <c r="X827" t="s">
        <v>16128</v>
      </c>
      <c r="Y827" t="s">
        <v>16129</v>
      </c>
      <c r="Z827" t="s">
        <v>16130</v>
      </c>
      <c r="AA827" t="s">
        <v>16131</v>
      </c>
      <c r="AB827" t="s">
        <v>16132</v>
      </c>
      <c r="AC827" t="s">
        <v>16133</v>
      </c>
      <c r="AD827" t="s">
        <v>16134</v>
      </c>
      <c r="AE827" t="s">
        <v>16135</v>
      </c>
      <c r="AF827" t="s">
        <v>74</v>
      </c>
      <c r="AG827">
        <v>293</v>
      </c>
      <c r="AH827">
        <v>84</v>
      </c>
      <c r="AI827">
        <v>89</v>
      </c>
      <c r="AJ827">
        <v>44</v>
      </c>
      <c r="AK827">
        <v>173</v>
      </c>
      <c r="AL827" t="s">
        <v>1347</v>
      </c>
      <c r="AM827" t="s">
        <v>333</v>
      </c>
      <c r="AN827" t="s">
        <v>1348</v>
      </c>
      <c r="AO827" t="s">
        <v>74</v>
      </c>
      <c r="AP827" t="s">
        <v>16136</v>
      </c>
      <c r="AQ827" t="s">
        <v>74</v>
      </c>
      <c r="AR827" t="s">
        <v>16137</v>
      </c>
      <c r="AS827" t="s">
        <v>16138</v>
      </c>
      <c r="AT827" t="s">
        <v>7760</v>
      </c>
      <c r="AU827">
        <v>2021</v>
      </c>
      <c r="AV827">
        <v>2</v>
      </c>
      <c r="AW827">
        <v>10</v>
      </c>
      <c r="AX827" t="s">
        <v>74</v>
      </c>
      <c r="AY827" t="s">
        <v>74</v>
      </c>
      <c r="AZ827" t="s">
        <v>74</v>
      </c>
      <c r="BA827" t="s">
        <v>74</v>
      </c>
      <c r="BB827">
        <v>680</v>
      </c>
      <c r="BC827">
        <v>698</v>
      </c>
      <c r="BD827" t="s">
        <v>74</v>
      </c>
      <c r="BE827" t="s">
        <v>16139</v>
      </c>
      <c r="BF827" t="str">
        <f>HYPERLINK("http://dx.doi.org/10.1038/s43017-021-00204-5","http://dx.doi.org/10.1038/s43017-021-00204-5")</f>
        <v>http://dx.doi.org/10.1038/s43017-021-00204-5</v>
      </c>
      <c r="BG827" t="s">
        <v>74</v>
      </c>
      <c r="BH827" t="s">
        <v>16043</v>
      </c>
      <c r="BI827">
        <v>19</v>
      </c>
      <c r="BJ827" t="s">
        <v>5206</v>
      </c>
      <c r="BK827" t="s">
        <v>101</v>
      </c>
      <c r="BL827" t="s">
        <v>1573</v>
      </c>
      <c r="BM827" t="s">
        <v>16140</v>
      </c>
      <c r="BN827" t="s">
        <v>74</v>
      </c>
      <c r="BO827" t="s">
        <v>343</v>
      </c>
      <c r="BP827" t="s">
        <v>9318</v>
      </c>
      <c r="BQ827" t="s">
        <v>9319</v>
      </c>
      <c r="BR827" t="s">
        <v>105</v>
      </c>
      <c r="BS827" t="s">
        <v>16141</v>
      </c>
      <c r="BT827" t="str">
        <f>HYPERLINK("https%3A%2F%2Fwww.webofscience.com%2Fwos%2Fwoscc%2Ffull-record%2FWOS:000691637500001","View Full Record in Web of Science")</f>
        <v>View Full Record in Web of Science</v>
      </c>
    </row>
    <row r="828" spans="1:72" x14ac:dyDescent="0.15">
      <c r="A828" t="s">
        <v>72</v>
      </c>
      <c r="B828" t="s">
        <v>16142</v>
      </c>
      <c r="C828" t="s">
        <v>74</v>
      </c>
      <c r="D828" t="s">
        <v>74</v>
      </c>
      <c r="E828" t="s">
        <v>74</v>
      </c>
      <c r="F828" t="s">
        <v>16143</v>
      </c>
      <c r="G828" t="s">
        <v>74</v>
      </c>
      <c r="H828" t="s">
        <v>74</v>
      </c>
      <c r="I828" t="s">
        <v>16144</v>
      </c>
      <c r="J828" t="s">
        <v>3299</v>
      </c>
      <c r="K828" t="s">
        <v>74</v>
      </c>
      <c r="L828" t="s">
        <v>74</v>
      </c>
      <c r="M828" t="s">
        <v>78</v>
      </c>
      <c r="N828" t="s">
        <v>79</v>
      </c>
      <c r="O828" t="s">
        <v>74</v>
      </c>
      <c r="P828" t="s">
        <v>74</v>
      </c>
      <c r="Q828" t="s">
        <v>74</v>
      </c>
      <c r="R828" t="s">
        <v>74</v>
      </c>
      <c r="S828" t="s">
        <v>74</v>
      </c>
      <c r="T828" t="s">
        <v>16145</v>
      </c>
      <c r="U828" t="s">
        <v>16146</v>
      </c>
      <c r="V828" t="s">
        <v>16147</v>
      </c>
      <c r="W828" t="s">
        <v>16148</v>
      </c>
      <c r="X828" t="s">
        <v>16149</v>
      </c>
      <c r="Y828" t="s">
        <v>16150</v>
      </c>
      <c r="Z828" t="s">
        <v>16151</v>
      </c>
      <c r="AA828" t="s">
        <v>16152</v>
      </c>
      <c r="AB828" t="s">
        <v>16153</v>
      </c>
      <c r="AC828" t="s">
        <v>1019</v>
      </c>
      <c r="AD828" t="s">
        <v>1020</v>
      </c>
      <c r="AE828" t="s">
        <v>74</v>
      </c>
      <c r="AF828" t="s">
        <v>74</v>
      </c>
      <c r="AG828">
        <v>43</v>
      </c>
      <c r="AH828">
        <v>3</v>
      </c>
      <c r="AI828">
        <v>3</v>
      </c>
      <c r="AJ828">
        <v>0</v>
      </c>
      <c r="AK828">
        <v>1</v>
      </c>
      <c r="AL828" t="s">
        <v>3310</v>
      </c>
      <c r="AM828" t="s">
        <v>3311</v>
      </c>
      <c r="AN828" t="s">
        <v>8016</v>
      </c>
      <c r="AO828" t="s">
        <v>3313</v>
      </c>
      <c r="AP828" t="s">
        <v>3314</v>
      </c>
      <c r="AQ828" t="s">
        <v>74</v>
      </c>
      <c r="AR828" t="s">
        <v>3299</v>
      </c>
      <c r="AS828" t="s">
        <v>3315</v>
      </c>
      <c r="AT828" t="s">
        <v>16100</v>
      </c>
      <c r="AU828">
        <v>2021</v>
      </c>
      <c r="AV828">
        <v>5027</v>
      </c>
      <c r="AW828">
        <v>2</v>
      </c>
      <c r="AX828" t="s">
        <v>74</v>
      </c>
      <c r="AY828" t="s">
        <v>74</v>
      </c>
      <c r="AZ828" t="s">
        <v>74</v>
      </c>
      <c r="BA828" t="s">
        <v>74</v>
      </c>
      <c r="BB828">
        <v>211</v>
      </c>
      <c r="BC828">
        <v>230</v>
      </c>
      <c r="BD828" t="s">
        <v>74</v>
      </c>
      <c r="BE828" t="s">
        <v>16154</v>
      </c>
      <c r="BF828" t="str">
        <f>HYPERLINK("http://dx.doi.org/10.11646/zootaxa.5027.2.4","http://dx.doi.org/10.11646/zootaxa.5027.2.4")</f>
        <v>http://dx.doi.org/10.11646/zootaxa.5027.2.4</v>
      </c>
      <c r="BG828" t="s">
        <v>74</v>
      </c>
      <c r="BH828" t="s">
        <v>74</v>
      </c>
      <c r="BI828">
        <v>20</v>
      </c>
      <c r="BJ828" t="s">
        <v>1612</v>
      </c>
      <c r="BK828" t="s">
        <v>101</v>
      </c>
      <c r="BL828" t="s">
        <v>1612</v>
      </c>
      <c r="BM828" t="s">
        <v>16155</v>
      </c>
      <c r="BN828">
        <v>34811234</v>
      </c>
      <c r="BO828" t="s">
        <v>74</v>
      </c>
      <c r="BP828" t="s">
        <v>74</v>
      </c>
      <c r="BQ828" t="s">
        <v>74</v>
      </c>
      <c r="BR828" t="s">
        <v>105</v>
      </c>
      <c r="BS828" t="s">
        <v>16156</v>
      </c>
      <c r="BT828" t="str">
        <f>HYPERLINK("https%3A%2F%2Fwww.webofscience.com%2Fwos%2Fwoscc%2Ffull-record%2FWOS:000691786500004","View Full Record in Web of Science")</f>
        <v>View Full Record in Web of Science</v>
      </c>
    </row>
    <row r="829" spans="1:72" x14ac:dyDescent="0.15">
      <c r="A829" t="s">
        <v>72</v>
      </c>
      <c r="B829" t="s">
        <v>16157</v>
      </c>
      <c r="C829" t="s">
        <v>74</v>
      </c>
      <c r="D829" t="s">
        <v>74</v>
      </c>
      <c r="E829" t="s">
        <v>74</v>
      </c>
      <c r="F829" t="s">
        <v>16158</v>
      </c>
      <c r="G829" t="s">
        <v>74</v>
      </c>
      <c r="H829" t="s">
        <v>74</v>
      </c>
      <c r="I829" t="s">
        <v>16159</v>
      </c>
      <c r="J829" t="s">
        <v>16160</v>
      </c>
      <c r="K829" t="s">
        <v>74</v>
      </c>
      <c r="L829" t="s">
        <v>74</v>
      </c>
      <c r="M829" t="s">
        <v>78</v>
      </c>
      <c r="N829" t="s">
        <v>79</v>
      </c>
      <c r="O829" t="s">
        <v>74</v>
      </c>
      <c r="P829" t="s">
        <v>74</v>
      </c>
      <c r="Q829" t="s">
        <v>74</v>
      </c>
      <c r="R829" t="s">
        <v>74</v>
      </c>
      <c r="S829" t="s">
        <v>74</v>
      </c>
      <c r="T829" t="s">
        <v>16161</v>
      </c>
      <c r="U829" t="s">
        <v>16162</v>
      </c>
      <c r="V829" t="s">
        <v>16163</v>
      </c>
      <c r="W829" t="s">
        <v>16164</v>
      </c>
      <c r="X829" t="s">
        <v>16165</v>
      </c>
      <c r="Y829" t="s">
        <v>16166</v>
      </c>
      <c r="Z829" t="s">
        <v>16167</v>
      </c>
      <c r="AA829" t="s">
        <v>16168</v>
      </c>
      <c r="AB829" t="s">
        <v>16169</v>
      </c>
      <c r="AC829" t="s">
        <v>16170</v>
      </c>
      <c r="AD829" t="s">
        <v>16171</v>
      </c>
      <c r="AE829" t="s">
        <v>16172</v>
      </c>
      <c r="AF829" t="s">
        <v>74</v>
      </c>
      <c r="AG829">
        <v>90</v>
      </c>
      <c r="AH829">
        <v>4</v>
      </c>
      <c r="AI829">
        <v>4</v>
      </c>
      <c r="AJ829">
        <v>0</v>
      </c>
      <c r="AK829">
        <v>5</v>
      </c>
      <c r="AL829" t="s">
        <v>383</v>
      </c>
      <c r="AM829" t="s">
        <v>384</v>
      </c>
      <c r="AN829" t="s">
        <v>385</v>
      </c>
      <c r="AO829" t="s">
        <v>74</v>
      </c>
      <c r="AP829" t="s">
        <v>16173</v>
      </c>
      <c r="AQ829" t="s">
        <v>74</v>
      </c>
      <c r="AR829" t="s">
        <v>16174</v>
      </c>
      <c r="AS829" t="s">
        <v>16175</v>
      </c>
      <c r="AT829" t="s">
        <v>16176</v>
      </c>
      <c r="AU829">
        <v>2021</v>
      </c>
      <c r="AV829">
        <v>9</v>
      </c>
      <c r="AW829" t="s">
        <v>74</v>
      </c>
      <c r="AX829" t="s">
        <v>74</v>
      </c>
      <c r="AY829" t="s">
        <v>74</v>
      </c>
      <c r="AZ829" t="s">
        <v>74</v>
      </c>
      <c r="BA829" t="s">
        <v>74</v>
      </c>
      <c r="BB829" t="s">
        <v>74</v>
      </c>
      <c r="BC829" t="s">
        <v>74</v>
      </c>
      <c r="BD829">
        <v>701033</v>
      </c>
      <c r="BE829" t="s">
        <v>16177</v>
      </c>
      <c r="BF829" t="str">
        <f>HYPERLINK("http://dx.doi.org/10.3389/fenvs.2021.701033","http://dx.doi.org/10.3389/fenvs.2021.701033")</f>
        <v>http://dx.doi.org/10.3389/fenvs.2021.701033</v>
      </c>
      <c r="BG829" t="s">
        <v>74</v>
      </c>
      <c r="BH829" t="s">
        <v>74</v>
      </c>
      <c r="BI829">
        <v>13</v>
      </c>
      <c r="BJ829" t="s">
        <v>856</v>
      </c>
      <c r="BK829" t="s">
        <v>101</v>
      </c>
      <c r="BL829" t="s">
        <v>630</v>
      </c>
      <c r="BM829" t="s">
        <v>16178</v>
      </c>
      <c r="BN829" t="s">
        <v>74</v>
      </c>
      <c r="BO829" t="s">
        <v>1094</v>
      </c>
      <c r="BP829" t="s">
        <v>74</v>
      </c>
      <c r="BQ829" t="s">
        <v>74</v>
      </c>
      <c r="BR829" t="s">
        <v>105</v>
      </c>
      <c r="BS829" t="s">
        <v>16179</v>
      </c>
      <c r="BT829" t="str">
        <f>HYPERLINK("https%3A%2F%2Fwww.webofscience.com%2Fwos%2Fwoscc%2Ffull-record%2FWOS:000717572300001","View Full Record in Web of Science")</f>
        <v>View Full Record in Web of Science</v>
      </c>
    </row>
    <row r="830" spans="1:72" x14ac:dyDescent="0.15">
      <c r="A830" t="s">
        <v>72</v>
      </c>
      <c r="B830" t="s">
        <v>16180</v>
      </c>
      <c r="C830" t="s">
        <v>74</v>
      </c>
      <c r="D830" t="s">
        <v>74</v>
      </c>
      <c r="E830" t="s">
        <v>74</v>
      </c>
      <c r="F830" t="s">
        <v>16181</v>
      </c>
      <c r="G830" t="s">
        <v>74</v>
      </c>
      <c r="H830" t="s">
        <v>74</v>
      </c>
      <c r="I830" t="s">
        <v>16182</v>
      </c>
      <c r="J830" t="s">
        <v>6318</v>
      </c>
      <c r="K830" t="s">
        <v>74</v>
      </c>
      <c r="L830" t="s">
        <v>74</v>
      </c>
      <c r="M830" t="s">
        <v>78</v>
      </c>
      <c r="N830" t="s">
        <v>79</v>
      </c>
      <c r="O830" t="s">
        <v>74</v>
      </c>
      <c r="P830" t="s">
        <v>74</v>
      </c>
      <c r="Q830" t="s">
        <v>74</v>
      </c>
      <c r="R830" t="s">
        <v>74</v>
      </c>
      <c r="S830" t="s">
        <v>74</v>
      </c>
      <c r="T830" t="s">
        <v>16183</v>
      </c>
      <c r="U830" t="s">
        <v>16184</v>
      </c>
      <c r="V830" t="s">
        <v>16185</v>
      </c>
      <c r="W830" t="s">
        <v>16186</v>
      </c>
      <c r="X830" t="s">
        <v>16187</v>
      </c>
      <c r="Y830" t="s">
        <v>16188</v>
      </c>
      <c r="Z830" t="s">
        <v>16189</v>
      </c>
      <c r="AA830" t="s">
        <v>74</v>
      </c>
      <c r="AB830" t="s">
        <v>74</v>
      </c>
      <c r="AC830" t="s">
        <v>16190</v>
      </c>
      <c r="AD830" t="s">
        <v>2838</v>
      </c>
      <c r="AE830" t="s">
        <v>16191</v>
      </c>
      <c r="AF830" t="s">
        <v>74</v>
      </c>
      <c r="AG830">
        <v>165</v>
      </c>
      <c r="AH830">
        <v>2</v>
      </c>
      <c r="AI830">
        <v>2</v>
      </c>
      <c r="AJ830">
        <v>0</v>
      </c>
      <c r="AK830">
        <v>10</v>
      </c>
      <c r="AL830" t="s">
        <v>847</v>
      </c>
      <c r="AM830" t="s">
        <v>848</v>
      </c>
      <c r="AN830" t="s">
        <v>849</v>
      </c>
      <c r="AO830" t="s">
        <v>6328</v>
      </c>
      <c r="AP830" t="s">
        <v>6329</v>
      </c>
      <c r="AQ830" t="s">
        <v>74</v>
      </c>
      <c r="AR830" t="s">
        <v>6330</v>
      </c>
      <c r="AS830" t="s">
        <v>6331</v>
      </c>
      <c r="AT830" t="s">
        <v>98</v>
      </c>
      <c r="AU830">
        <v>2021</v>
      </c>
      <c r="AV830">
        <v>295</v>
      </c>
      <c r="AW830" t="s">
        <v>74</v>
      </c>
      <c r="AX830" t="s">
        <v>74</v>
      </c>
      <c r="AY830" t="s">
        <v>74</v>
      </c>
      <c r="AZ830" t="s">
        <v>74</v>
      </c>
      <c r="BA830" t="s">
        <v>74</v>
      </c>
      <c r="BB830" t="s">
        <v>74</v>
      </c>
      <c r="BC830" t="s">
        <v>74</v>
      </c>
      <c r="BD830">
        <v>104521</v>
      </c>
      <c r="BE830" t="s">
        <v>16192</v>
      </c>
      <c r="BF830" t="str">
        <f>HYPERLINK("http://dx.doi.org/10.1016/j.revpalbo.2021.104521","http://dx.doi.org/10.1016/j.revpalbo.2021.104521")</f>
        <v>http://dx.doi.org/10.1016/j.revpalbo.2021.104521</v>
      </c>
      <c r="BG830" t="s">
        <v>74</v>
      </c>
      <c r="BH830" t="s">
        <v>16043</v>
      </c>
      <c r="BI830">
        <v>14</v>
      </c>
      <c r="BJ830" t="s">
        <v>6333</v>
      </c>
      <c r="BK830" t="s">
        <v>101</v>
      </c>
      <c r="BL830" t="s">
        <v>6333</v>
      </c>
      <c r="BM830" t="s">
        <v>16193</v>
      </c>
      <c r="BN830" t="s">
        <v>74</v>
      </c>
      <c r="BO830" t="s">
        <v>1471</v>
      </c>
      <c r="BP830" t="s">
        <v>74</v>
      </c>
      <c r="BQ830" t="s">
        <v>74</v>
      </c>
      <c r="BR830" t="s">
        <v>105</v>
      </c>
      <c r="BS830" t="s">
        <v>16194</v>
      </c>
      <c r="BT830" t="str">
        <f>HYPERLINK("https%3A%2F%2Fwww.webofscience.com%2Fwos%2Fwoscc%2Ffull-record%2FWOS:000700047300012","View Full Record in Web of Science")</f>
        <v>View Full Record in Web of Science</v>
      </c>
    </row>
    <row r="831" spans="1:72" x14ac:dyDescent="0.15">
      <c r="A831" t="s">
        <v>72</v>
      </c>
      <c r="B831" t="s">
        <v>16195</v>
      </c>
      <c r="C831" t="s">
        <v>74</v>
      </c>
      <c r="D831" t="s">
        <v>74</v>
      </c>
      <c r="E831" t="s">
        <v>74</v>
      </c>
      <c r="F831" t="s">
        <v>16196</v>
      </c>
      <c r="G831" t="s">
        <v>74</v>
      </c>
      <c r="H831" t="s">
        <v>74</v>
      </c>
      <c r="I831" t="s">
        <v>16197</v>
      </c>
      <c r="J831" t="s">
        <v>536</v>
      </c>
      <c r="K831" t="s">
        <v>74</v>
      </c>
      <c r="L831" t="s">
        <v>74</v>
      </c>
      <c r="M831" t="s">
        <v>78</v>
      </c>
      <c r="N831" t="s">
        <v>79</v>
      </c>
      <c r="O831" t="s">
        <v>74</v>
      </c>
      <c r="P831" t="s">
        <v>74</v>
      </c>
      <c r="Q831" t="s">
        <v>74</v>
      </c>
      <c r="R831" t="s">
        <v>74</v>
      </c>
      <c r="S831" t="s">
        <v>74</v>
      </c>
      <c r="T831" t="s">
        <v>74</v>
      </c>
      <c r="U831" t="s">
        <v>16198</v>
      </c>
      <c r="V831" t="s">
        <v>16199</v>
      </c>
      <c r="W831" t="s">
        <v>16200</v>
      </c>
      <c r="X831" t="s">
        <v>16201</v>
      </c>
      <c r="Y831" t="s">
        <v>16202</v>
      </c>
      <c r="Z831" t="s">
        <v>16203</v>
      </c>
      <c r="AA831" t="s">
        <v>16204</v>
      </c>
      <c r="AB831" t="s">
        <v>16205</v>
      </c>
      <c r="AC831" t="s">
        <v>16206</v>
      </c>
      <c r="AD831" t="s">
        <v>16207</v>
      </c>
      <c r="AE831" t="s">
        <v>16208</v>
      </c>
      <c r="AF831" t="s">
        <v>74</v>
      </c>
      <c r="AG831">
        <v>78</v>
      </c>
      <c r="AH831">
        <v>21</v>
      </c>
      <c r="AI831">
        <v>22</v>
      </c>
      <c r="AJ831">
        <v>1</v>
      </c>
      <c r="AK831">
        <v>22</v>
      </c>
      <c r="AL831" t="s">
        <v>227</v>
      </c>
      <c r="AM831" t="s">
        <v>228</v>
      </c>
      <c r="AN831" t="s">
        <v>229</v>
      </c>
      <c r="AO831" t="s">
        <v>548</v>
      </c>
      <c r="AP831" t="s">
        <v>549</v>
      </c>
      <c r="AQ831" t="s">
        <v>74</v>
      </c>
      <c r="AR831" t="s">
        <v>550</v>
      </c>
      <c r="AS831" t="s">
        <v>551</v>
      </c>
      <c r="AT831" t="s">
        <v>16176</v>
      </c>
      <c r="AU831">
        <v>2021</v>
      </c>
      <c r="AV831">
        <v>21</v>
      </c>
      <c r="AW831">
        <v>16</v>
      </c>
      <c r="AX831" t="s">
        <v>74</v>
      </c>
      <c r="AY831" t="s">
        <v>74</v>
      </c>
      <c r="AZ831" t="s">
        <v>74</v>
      </c>
      <c r="BA831" t="s">
        <v>74</v>
      </c>
      <c r="BB831">
        <v>12757</v>
      </c>
      <c r="BC831">
        <v>12782</v>
      </c>
      <c r="BD831" t="s">
        <v>74</v>
      </c>
      <c r="BE831" t="s">
        <v>16209</v>
      </c>
      <c r="BF831" t="str">
        <f>HYPERLINK("http://dx.doi.org/10.5194/acp-21-12757-2021","http://dx.doi.org/10.5194/acp-21-12757-2021")</f>
        <v>http://dx.doi.org/10.5194/acp-21-12757-2021</v>
      </c>
      <c r="BG831" t="s">
        <v>74</v>
      </c>
      <c r="BH831" t="s">
        <v>74</v>
      </c>
      <c r="BI831">
        <v>26</v>
      </c>
      <c r="BJ831" t="s">
        <v>100</v>
      </c>
      <c r="BK831" t="s">
        <v>101</v>
      </c>
      <c r="BL831" t="s">
        <v>102</v>
      </c>
      <c r="BM831" t="s">
        <v>16210</v>
      </c>
      <c r="BN831" t="s">
        <v>74</v>
      </c>
      <c r="BO831" t="s">
        <v>554</v>
      </c>
      <c r="BP831" t="s">
        <v>74</v>
      </c>
      <c r="BQ831" t="s">
        <v>74</v>
      </c>
      <c r="BR831" t="s">
        <v>105</v>
      </c>
      <c r="BS831" t="s">
        <v>16211</v>
      </c>
      <c r="BT831" t="str">
        <f>HYPERLINK("https%3A%2F%2Fwww.webofscience.com%2Fwos%2Fwoscc%2Ffull-record%2FWOS:000692043400001","View Full Record in Web of Science")</f>
        <v>View Full Record in Web of Science</v>
      </c>
    </row>
    <row r="832" spans="1:72" x14ac:dyDescent="0.15">
      <c r="A832" t="s">
        <v>72</v>
      </c>
      <c r="B832" t="s">
        <v>16212</v>
      </c>
      <c r="C832" t="s">
        <v>74</v>
      </c>
      <c r="D832" t="s">
        <v>74</v>
      </c>
      <c r="E832" t="s">
        <v>74</v>
      </c>
      <c r="F832" t="s">
        <v>16213</v>
      </c>
      <c r="G832" t="s">
        <v>74</v>
      </c>
      <c r="H832" t="s">
        <v>74</v>
      </c>
      <c r="I832" t="s">
        <v>16214</v>
      </c>
      <c r="J832" t="s">
        <v>16215</v>
      </c>
      <c r="K832" t="s">
        <v>74</v>
      </c>
      <c r="L832" t="s">
        <v>74</v>
      </c>
      <c r="M832" t="s">
        <v>78</v>
      </c>
      <c r="N832" t="s">
        <v>79</v>
      </c>
      <c r="O832" t="s">
        <v>74</v>
      </c>
      <c r="P832" t="s">
        <v>74</v>
      </c>
      <c r="Q832" t="s">
        <v>74</v>
      </c>
      <c r="R832" t="s">
        <v>74</v>
      </c>
      <c r="S832" t="s">
        <v>74</v>
      </c>
      <c r="T832" t="s">
        <v>16216</v>
      </c>
      <c r="U832" t="s">
        <v>16217</v>
      </c>
      <c r="V832" t="s">
        <v>16218</v>
      </c>
      <c r="W832" t="s">
        <v>16219</v>
      </c>
      <c r="X832" t="s">
        <v>16220</v>
      </c>
      <c r="Y832" t="s">
        <v>16221</v>
      </c>
      <c r="Z832" t="s">
        <v>16222</v>
      </c>
      <c r="AA832" t="s">
        <v>16223</v>
      </c>
      <c r="AB832" t="s">
        <v>16224</v>
      </c>
      <c r="AC832" t="s">
        <v>16225</v>
      </c>
      <c r="AD832" t="s">
        <v>16226</v>
      </c>
      <c r="AE832" t="s">
        <v>16227</v>
      </c>
      <c r="AF832" t="s">
        <v>74</v>
      </c>
      <c r="AG832">
        <v>76</v>
      </c>
      <c r="AH832">
        <v>11</v>
      </c>
      <c r="AI832">
        <v>12</v>
      </c>
      <c r="AJ832">
        <v>5</v>
      </c>
      <c r="AK832">
        <v>9</v>
      </c>
      <c r="AL832" t="s">
        <v>1714</v>
      </c>
      <c r="AM832" t="s">
        <v>256</v>
      </c>
      <c r="AN832" t="s">
        <v>1715</v>
      </c>
      <c r="AO832" t="s">
        <v>16228</v>
      </c>
      <c r="AP832" t="s">
        <v>16229</v>
      </c>
      <c r="AQ832" t="s">
        <v>74</v>
      </c>
      <c r="AR832" t="s">
        <v>16230</v>
      </c>
      <c r="AS832" t="s">
        <v>16231</v>
      </c>
      <c r="AT832" t="s">
        <v>98</v>
      </c>
      <c r="AU832">
        <v>2021</v>
      </c>
      <c r="AV832">
        <v>227</v>
      </c>
      <c r="AW832">
        <v>3</v>
      </c>
      <c r="AX832" t="s">
        <v>74</v>
      </c>
      <c r="AY832" t="s">
        <v>74</v>
      </c>
      <c r="AZ832" t="s">
        <v>74</v>
      </c>
      <c r="BA832" t="s">
        <v>74</v>
      </c>
      <c r="BB832">
        <v>1730</v>
      </c>
      <c r="BC832">
        <v>1767</v>
      </c>
      <c r="BD832" t="s">
        <v>74</v>
      </c>
      <c r="BE832" t="s">
        <v>16232</v>
      </c>
      <c r="BF832" t="str">
        <f>HYPERLINK("http://dx.doi.org/10.1093/gji/ggab295","http://dx.doi.org/10.1093/gji/ggab295")</f>
        <v>http://dx.doi.org/10.1093/gji/ggab295</v>
      </c>
      <c r="BG832" t="s">
        <v>74</v>
      </c>
      <c r="BH832" t="s">
        <v>16043</v>
      </c>
      <c r="BI832">
        <v>38</v>
      </c>
      <c r="BJ832" t="s">
        <v>365</v>
      </c>
      <c r="BK832" t="s">
        <v>101</v>
      </c>
      <c r="BL832" t="s">
        <v>365</v>
      </c>
      <c r="BM832" t="s">
        <v>16233</v>
      </c>
      <c r="BN832" t="s">
        <v>74</v>
      </c>
      <c r="BO832" t="s">
        <v>2217</v>
      </c>
      <c r="BP832" t="s">
        <v>74</v>
      </c>
      <c r="BQ832" t="s">
        <v>74</v>
      </c>
      <c r="BR832" t="s">
        <v>105</v>
      </c>
      <c r="BS832" t="s">
        <v>16234</v>
      </c>
      <c r="BT832" t="str">
        <f>HYPERLINK("https%3A%2F%2Fwww.webofscience.com%2Fwos%2Fwoscc%2Ffull-record%2FWOS:000702014700007","View Full Record in Web of Science")</f>
        <v>View Full Record in Web of Science</v>
      </c>
    </row>
    <row r="833" spans="1:72" x14ac:dyDescent="0.15">
      <c r="A833" t="s">
        <v>72</v>
      </c>
      <c r="B833" t="s">
        <v>16235</v>
      </c>
      <c r="C833" t="s">
        <v>74</v>
      </c>
      <c r="D833" t="s">
        <v>74</v>
      </c>
      <c r="E833" t="s">
        <v>74</v>
      </c>
      <c r="F833" t="s">
        <v>16236</v>
      </c>
      <c r="G833" t="s">
        <v>74</v>
      </c>
      <c r="H833" t="s">
        <v>74</v>
      </c>
      <c r="I833" t="s">
        <v>16237</v>
      </c>
      <c r="J833" t="s">
        <v>935</v>
      </c>
      <c r="K833" t="s">
        <v>74</v>
      </c>
      <c r="L833" t="s">
        <v>74</v>
      </c>
      <c r="M833" t="s">
        <v>78</v>
      </c>
      <c r="N833" t="s">
        <v>79</v>
      </c>
      <c r="O833" t="s">
        <v>74</v>
      </c>
      <c r="P833" t="s">
        <v>74</v>
      </c>
      <c r="Q833" t="s">
        <v>74</v>
      </c>
      <c r="R833" t="s">
        <v>74</v>
      </c>
      <c r="S833" t="s">
        <v>74</v>
      </c>
      <c r="T833" t="s">
        <v>16238</v>
      </c>
      <c r="U833" t="s">
        <v>16239</v>
      </c>
      <c r="V833" t="s">
        <v>16240</v>
      </c>
      <c r="W833" t="s">
        <v>16241</v>
      </c>
      <c r="X833" t="s">
        <v>16242</v>
      </c>
      <c r="Y833" t="s">
        <v>16243</v>
      </c>
      <c r="Z833" t="s">
        <v>16244</v>
      </c>
      <c r="AA833" t="s">
        <v>74</v>
      </c>
      <c r="AB833" t="s">
        <v>16245</v>
      </c>
      <c r="AC833" t="s">
        <v>16246</v>
      </c>
      <c r="AD833" t="s">
        <v>16247</v>
      </c>
      <c r="AE833" t="s">
        <v>16248</v>
      </c>
      <c r="AF833" t="s">
        <v>74</v>
      </c>
      <c r="AG833">
        <v>79</v>
      </c>
      <c r="AH833">
        <v>3</v>
      </c>
      <c r="AI833">
        <v>3</v>
      </c>
      <c r="AJ833">
        <v>1</v>
      </c>
      <c r="AK833">
        <v>5</v>
      </c>
      <c r="AL833" t="s">
        <v>169</v>
      </c>
      <c r="AM833" t="s">
        <v>170</v>
      </c>
      <c r="AN833" t="s">
        <v>171</v>
      </c>
      <c r="AO833" t="s">
        <v>948</v>
      </c>
      <c r="AP833" t="s">
        <v>949</v>
      </c>
      <c r="AQ833" t="s">
        <v>74</v>
      </c>
      <c r="AR833" t="s">
        <v>950</v>
      </c>
      <c r="AS833" t="s">
        <v>951</v>
      </c>
      <c r="AT833" t="s">
        <v>7760</v>
      </c>
      <c r="AU833">
        <v>2021</v>
      </c>
      <c r="AV833">
        <v>44</v>
      </c>
      <c r="AW833">
        <v>10</v>
      </c>
      <c r="AX833" t="s">
        <v>74</v>
      </c>
      <c r="AY833" t="s">
        <v>74</v>
      </c>
      <c r="AZ833" t="s">
        <v>74</v>
      </c>
      <c r="BA833" t="s">
        <v>74</v>
      </c>
      <c r="BB833">
        <v>2023</v>
      </c>
      <c r="BC833">
        <v>2037</v>
      </c>
      <c r="BD833" t="s">
        <v>74</v>
      </c>
      <c r="BE833" t="s">
        <v>16249</v>
      </c>
      <c r="BF833" t="str">
        <f>HYPERLINK("http://dx.doi.org/10.1007/s00300-021-02936-y","http://dx.doi.org/10.1007/s00300-021-02936-y")</f>
        <v>http://dx.doi.org/10.1007/s00300-021-02936-y</v>
      </c>
      <c r="BG833" t="s">
        <v>74</v>
      </c>
      <c r="BH833" t="s">
        <v>16043</v>
      </c>
      <c r="BI833">
        <v>15</v>
      </c>
      <c r="BJ833" t="s">
        <v>605</v>
      </c>
      <c r="BK833" t="s">
        <v>101</v>
      </c>
      <c r="BL833" t="s">
        <v>606</v>
      </c>
      <c r="BM833" t="s">
        <v>16250</v>
      </c>
      <c r="BN833" t="s">
        <v>74</v>
      </c>
      <c r="BO833" t="s">
        <v>74</v>
      </c>
      <c r="BP833" t="s">
        <v>74</v>
      </c>
      <c r="BQ833" t="s">
        <v>74</v>
      </c>
      <c r="BR833" t="s">
        <v>105</v>
      </c>
      <c r="BS833" t="s">
        <v>16251</v>
      </c>
      <c r="BT833" t="str">
        <f>HYPERLINK("https%3A%2F%2Fwww.webofscience.com%2Fwos%2Fwoscc%2Ffull-record%2FWOS:000690812800001","View Full Record in Web of Science")</f>
        <v>View Full Record in Web of Science</v>
      </c>
    </row>
    <row r="834" spans="1:72" x14ac:dyDescent="0.15">
      <c r="A834" t="s">
        <v>72</v>
      </c>
      <c r="B834" t="s">
        <v>16252</v>
      </c>
      <c r="C834" t="s">
        <v>74</v>
      </c>
      <c r="D834" t="s">
        <v>74</v>
      </c>
      <c r="E834" t="s">
        <v>74</v>
      </c>
      <c r="F834" t="s">
        <v>16253</v>
      </c>
      <c r="G834" t="s">
        <v>74</v>
      </c>
      <c r="H834" t="s">
        <v>74</v>
      </c>
      <c r="I834" t="s">
        <v>16254</v>
      </c>
      <c r="J834" t="s">
        <v>1882</v>
      </c>
      <c r="K834" t="s">
        <v>74</v>
      </c>
      <c r="L834" t="s">
        <v>74</v>
      </c>
      <c r="M834" t="s">
        <v>78</v>
      </c>
      <c r="N834" t="s">
        <v>79</v>
      </c>
      <c r="O834" t="s">
        <v>74</v>
      </c>
      <c r="P834" t="s">
        <v>74</v>
      </c>
      <c r="Q834" t="s">
        <v>74</v>
      </c>
      <c r="R834" t="s">
        <v>74</v>
      </c>
      <c r="S834" t="s">
        <v>74</v>
      </c>
      <c r="T834" t="s">
        <v>16255</v>
      </c>
      <c r="U834" t="s">
        <v>16256</v>
      </c>
      <c r="V834" t="s">
        <v>16257</v>
      </c>
      <c r="W834" t="s">
        <v>16258</v>
      </c>
      <c r="X834" t="s">
        <v>16259</v>
      </c>
      <c r="Y834" t="s">
        <v>16260</v>
      </c>
      <c r="Z834" t="s">
        <v>16261</v>
      </c>
      <c r="AA834" t="s">
        <v>16262</v>
      </c>
      <c r="AB834" t="s">
        <v>16263</v>
      </c>
      <c r="AC834" t="s">
        <v>16264</v>
      </c>
      <c r="AD834" t="s">
        <v>16265</v>
      </c>
      <c r="AE834" t="s">
        <v>16266</v>
      </c>
      <c r="AF834" t="s">
        <v>74</v>
      </c>
      <c r="AG834">
        <v>78</v>
      </c>
      <c r="AH834">
        <v>1</v>
      </c>
      <c r="AI834">
        <v>1</v>
      </c>
      <c r="AJ834">
        <v>1</v>
      </c>
      <c r="AK834">
        <v>13</v>
      </c>
      <c r="AL834" t="s">
        <v>572</v>
      </c>
      <c r="AM834" t="s">
        <v>573</v>
      </c>
      <c r="AN834" t="s">
        <v>574</v>
      </c>
      <c r="AO834" t="s">
        <v>1895</v>
      </c>
      <c r="AP834" t="s">
        <v>1896</v>
      </c>
      <c r="AQ834" t="s">
        <v>74</v>
      </c>
      <c r="AR834" t="s">
        <v>1897</v>
      </c>
      <c r="AS834" t="s">
        <v>1898</v>
      </c>
      <c r="AT834" t="s">
        <v>310</v>
      </c>
      <c r="AU834">
        <v>2021</v>
      </c>
      <c r="AV834">
        <v>27</v>
      </c>
      <c r="AW834">
        <v>22</v>
      </c>
      <c r="AX834" t="s">
        <v>74</v>
      </c>
      <c r="AY834" t="s">
        <v>74</v>
      </c>
      <c r="AZ834" t="s">
        <v>74</v>
      </c>
      <c r="BA834" t="s">
        <v>74</v>
      </c>
      <c r="BB834">
        <v>5773</v>
      </c>
      <c r="BC834">
        <v>5785</v>
      </c>
      <c r="BD834" t="s">
        <v>74</v>
      </c>
      <c r="BE834" t="s">
        <v>16267</v>
      </c>
      <c r="BF834" t="str">
        <f>HYPERLINK("http://dx.doi.org/10.1111/gcb.15839","http://dx.doi.org/10.1111/gcb.15839")</f>
        <v>http://dx.doi.org/10.1111/gcb.15839</v>
      </c>
      <c r="BG834" t="s">
        <v>74</v>
      </c>
      <c r="BH834" t="s">
        <v>16043</v>
      </c>
      <c r="BI834">
        <v>13</v>
      </c>
      <c r="BJ834" t="s">
        <v>1900</v>
      </c>
      <c r="BK834" t="s">
        <v>101</v>
      </c>
      <c r="BL834" t="s">
        <v>606</v>
      </c>
      <c r="BM834" t="s">
        <v>16268</v>
      </c>
      <c r="BN834">
        <v>34386992</v>
      </c>
      <c r="BO834" t="s">
        <v>314</v>
      </c>
      <c r="BP834" t="s">
        <v>74</v>
      </c>
      <c r="BQ834" t="s">
        <v>74</v>
      </c>
      <c r="BR834" t="s">
        <v>105</v>
      </c>
      <c r="BS834" t="s">
        <v>16269</v>
      </c>
      <c r="BT834" t="str">
        <f>HYPERLINK("https%3A%2F%2Fwww.webofscience.com%2Fwos%2Fwoscc%2Ffull-record%2FWOS:000690747400001","View Full Record in Web of Science")</f>
        <v>View Full Record in Web of Science</v>
      </c>
    </row>
    <row r="835" spans="1:72" x14ac:dyDescent="0.15">
      <c r="A835" t="s">
        <v>72</v>
      </c>
      <c r="B835" t="s">
        <v>16270</v>
      </c>
      <c r="C835" t="s">
        <v>74</v>
      </c>
      <c r="D835" t="s">
        <v>74</v>
      </c>
      <c r="E835" t="s">
        <v>74</v>
      </c>
      <c r="F835" t="s">
        <v>16271</v>
      </c>
      <c r="G835" t="s">
        <v>74</v>
      </c>
      <c r="H835" t="s">
        <v>74</v>
      </c>
      <c r="I835" t="s">
        <v>16272</v>
      </c>
      <c r="J835" t="s">
        <v>16273</v>
      </c>
      <c r="K835" t="s">
        <v>74</v>
      </c>
      <c r="L835" t="s">
        <v>74</v>
      </c>
      <c r="M835" t="s">
        <v>78</v>
      </c>
      <c r="N835" t="s">
        <v>79</v>
      </c>
      <c r="O835" t="s">
        <v>74</v>
      </c>
      <c r="P835" t="s">
        <v>74</v>
      </c>
      <c r="Q835" t="s">
        <v>74</v>
      </c>
      <c r="R835" t="s">
        <v>74</v>
      </c>
      <c r="S835" t="s">
        <v>74</v>
      </c>
      <c r="T835" t="s">
        <v>16274</v>
      </c>
      <c r="U835" t="s">
        <v>16275</v>
      </c>
      <c r="V835" t="s">
        <v>16276</v>
      </c>
      <c r="W835" t="s">
        <v>16277</v>
      </c>
      <c r="X835" t="s">
        <v>16278</v>
      </c>
      <c r="Y835" t="s">
        <v>16279</v>
      </c>
      <c r="Z835" t="s">
        <v>16280</v>
      </c>
      <c r="AA835" t="s">
        <v>16281</v>
      </c>
      <c r="AB835" t="s">
        <v>16282</v>
      </c>
      <c r="AC835" t="s">
        <v>16283</v>
      </c>
      <c r="AD835" t="s">
        <v>16284</v>
      </c>
      <c r="AE835" t="s">
        <v>16285</v>
      </c>
      <c r="AF835" t="s">
        <v>74</v>
      </c>
      <c r="AG835">
        <v>22</v>
      </c>
      <c r="AH835">
        <v>4</v>
      </c>
      <c r="AI835">
        <v>4</v>
      </c>
      <c r="AJ835">
        <v>4</v>
      </c>
      <c r="AK835">
        <v>29</v>
      </c>
      <c r="AL835" t="s">
        <v>198</v>
      </c>
      <c r="AM835" t="s">
        <v>199</v>
      </c>
      <c r="AN835" t="s">
        <v>200</v>
      </c>
      <c r="AO835" t="s">
        <v>16286</v>
      </c>
      <c r="AP835" t="s">
        <v>16287</v>
      </c>
      <c r="AQ835" t="s">
        <v>74</v>
      </c>
      <c r="AR835" t="s">
        <v>16288</v>
      </c>
      <c r="AS835" t="s">
        <v>16289</v>
      </c>
      <c r="AT835" t="s">
        <v>854</v>
      </c>
      <c r="AU835">
        <v>2023</v>
      </c>
      <c r="AV835">
        <v>37</v>
      </c>
      <c r="AW835">
        <v>3</v>
      </c>
      <c r="AX835" t="s">
        <v>74</v>
      </c>
      <c r="AY835" t="s">
        <v>74</v>
      </c>
      <c r="AZ835" t="s">
        <v>74</v>
      </c>
      <c r="BA835" t="s">
        <v>74</v>
      </c>
      <c r="BB835">
        <v>389</v>
      </c>
      <c r="BC835">
        <v>396</v>
      </c>
      <c r="BD835" t="s">
        <v>74</v>
      </c>
      <c r="BE835" t="s">
        <v>16290</v>
      </c>
      <c r="BF835" t="str">
        <f>HYPERLINK("http://dx.doi.org/10.1080/14786419.2021.1973460","http://dx.doi.org/10.1080/14786419.2021.1973460")</f>
        <v>http://dx.doi.org/10.1080/14786419.2021.1973460</v>
      </c>
      <c r="BG835" t="s">
        <v>74</v>
      </c>
      <c r="BH835" t="s">
        <v>16043</v>
      </c>
      <c r="BI835">
        <v>8</v>
      </c>
      <c r="BJ835" t="s">
        <v>16291</v>
      </c>
      <c r="BK835" t="s">
        <v>101</v>
      </c>
      <c r="BL835" t="s">
        <v>16292</v>
      </c>
      <c r="BM835" t="s">
        <v>16293</v>
      </c>
      <c r="BN835">
        <v>34498972</v>
      </c>
      <c r="BO835" t="s">
        <v>74</v>
      </c>
      <c r="BP835" t="s">
        <v>74</v>
      </c>
      <c r="BQ835" t="s">
        <v>74</v>
      </c>
      <c r="BR835" t="s">
        <v>105</v>
      </c>
      <c r="BS835" t="s">
        <v>16294</v>
      </c>
      <c r="BT835" t="str">
        <f>HYPERLINK("https%3A%2F%2Fwww.webofscience.com%2Fwos%2Fwoscc%2Ffull-record%2FWOS:000693459000001","View Full Record in Web of Science")</f>
        <v>View Full Record in Web of Science</v>
      </c>
    </row>
    <row r="836" spans="1:72" x14ac:dyDescent="0.15">
      <c r="A836" t="s">
        <v>72</v>
      </c>
      <c r="B836" t="s">
        <v>16295</v>
      </c>
      <c r="C836" t="s">
        <v>74</v>
      </c>
      <c r="D836" t="s">
        <v>74</v>
      </c>
      <c r="E836" t="s">
        <v>74</v>
      </c>
      <c r="F836" t="s">
        <v>16296</v>
      </c>
      <c r="G836" t="s">
        <v>74</v>
      </c>
      <c r="H836" t="s">
        <v>74</v>
      </c>
      <c r="I836" t="s">
        <v>16297</v>
      </c>
      <c r="J836" t="s">
        <v>348</v>
      </c>
      <c r="K836" t="s">
        <v>74</v>
      </c>
      <c r="L836" t="s">
        <v>74</v>
      </c>
      <c r="M836" t="s">
        <v>78</v>
      </c>
      <c r="N836" t="s">
        <v>79</v>
      </c>
      <c r="O836" t="s">
        <v>74</v>
      </c>
      <c r="P836" t="s">
        <v>74</v>
      </c>
      <c r="Q836" t="s">
        <v>74</v>
      </c>
      <c r="R836" t="s">
        <v>74</v>
      </c>
      <c r="S836" t="s">
        <v>74</v>
      </c>
      <c r="T836" t="s">
        <v>16298</v>
      </c>
      <c r="U836" t="s">
        <v>16299</v>
      </c>
      <c r="V836" t="s">
        <v>16300</v>
      </c>
      <c r="W836" t="s">
        <v>16301</v>
      </c>
      <c r="X836" t="s">
        <v>16302</v>
      </c>
      <c r="Y836" t="s">
        <v>16303</v>
      </c>
      <c r="Z836" t="s">
        <v>16304</v>
      </c>
      <c r="AA836" t="s">
        <v>16305</v>
      </c>
      <c r="AB836" t="s">
        <v>16306</v>
      </c>
      <c r="AC836" t="s">
        <v>16307</v>
      </c>
      <c r="AD836" t="s">
        <v>16308</v>
      </c>
      <c r="AE836" t="s">
        <v>16309</v>
      </c>
      <c r="AF836" t="s">
        <v>74</v>
      </c>
      <c r="AG836">
        <v>120</v>
      </c>
      <c r="AH836">
        <v>8</v>
      </c>
      <c r="AI836">
        <v>8</v>
      </c>
      <c r="AJ836">
        <v>3</v>
      </c>
      <c r="AK836">
        <v>6</v>
      </c>
      <c r="AL836" t="s">
        <v>255</v>
      </c>
      <c r="AM836" t="s">
        <v>256</v>
      </c>
      <c r="AN836" t="s">
        <v>257</v>
      </c>
      <c r="AO836" t="s">
        <v>359</v>
      </c>
      <c r="AP836" t="s">
        <v>360</v>
      </c>
      <c r="AQ836" t="s">
        <v>74</v>
      </c>
      <c r="AR836" t="s">
        <v>361</v>
      </c>
      <c r="AS836" t="s">
        <v>362</v>
      </c>
      <c r="AT836" t="s">
        <v>4170</v>
      </c>
      <c r="AU836">
        <v>2021</v>
      </c>
      <c r="AV836">
        <v>312</v>
      </c>
      <c r="AW836" t="s">
        <v>74</v>
      </c>
      <c r="AX836" t="s">
        <v>74</v>
      </c>
      <c r="AY836" t="s">
        <v>74</v>
      </c>
      <c r="AZ836" t="s">
        <v>74</v>
      </c>
      <c r="BA836" t="s">
        <v>74</v>
      </c>
      <c r="BB836">
        <v>75</v>
      </c>
      <c r="BC836">
        <v>105</v>
      </c>
      <c r="BD836" t="s">
        <v>74</v>
      </c>
      <c r="BE836" t="s">
        <v>16310</v>
      </c>
      <c r="BF836" t="str">
        <f>HYPERLINK("http://dx.doi.org/10.1016/j.gca.2021.08.012","http://dx.doi.org/10.1016/j.gca.2021.08.012")</f>
        <v>http://dx.doi.org/10.1016/j.gca.2021.08.012</v>
      </c>
      <c r="BG836" t="s">
        <v>74</v>
      </c>
      <c r="BH836" t="s">
        <v>16043</v>
      </c>
      <c r="BI836">
        <v>31</v>
      </c>
      <c r="BJ836" t="s">
        <v>365</v>
      </c>
      <c r="BK836" t="s">
        <v>101</v>
      </c>
      <c r="BL836" t="s">
        <v>365</v>
      </c>
      <c r="BM836" t="s">
        <v>16311</v>
      </c>
      <c r="BN836" t="s">
        <v>74</v>
      </c>
      <c r="BO836" t="s">
        <v>1471</v>
      </c>
      <c r="BP836" t="s">
        <v>74</v>
      </c>
      <c r="BQ836" t="s">
        <v>74</v>
      </c>
      <c r="BR836" t="s">
        <v>105</v>
      </c>
      <c r="BS836" t="s">
        <v>16312</v>
      </c>
      <c r="BT836" t="str">
        <f>HYPERLINK("https%3A%2F%2Fwww.webofscience.com%2Fwos%2Fwoscc%2Ffull-record%2FWOS:000703167600005","View Full Record in Web of Science")</f>
        <v>View Full Record in Web of Science</v>
      </c>
    </row>
    <row r="837" spans="1:72" x14ac:dyDescent="0.15">
      <c r="A837" t="s">
        <v>72</v>
      </c>
      <c r="B837" t="s">
        <v>16313</v>
      </c>
      <c r="C837" t="s">
        <v>74</v>
      </c>
      <c r="D837" t="s">
        <v>74</v>
      </c>
      <c r="E837" t="s">
        <v>74</v>
      </c>
      <c r="F837" t="s">
        <v>16314</v>
      </c>
      <c r="G837" t="s">
        <v>74</v>
      </c>
      <c r="H837" t="s">
        <v>74</v>
      </c>
      <c r="I837" t="s">
        <v>16315</v>
      </c>
      <c r="J837" t="s">
        <v>747</v>
      </c>
      <c r="K837" t="s">
        <v>74</v>
      </c>
      <c r="L837" t="s">
        <v>74</v>
      </c>
      <c r="M837" t="s">
        <v>78</v>
      </c>
      <c r="N837" t="s">
        <v>79</v>
      </c>
      <c r="O837" t="s">
        <v>74</v>
      </c>
      <c r="P837" t="s">
        <v>74</v>
      </c>
      <c r="Q837" t="s">
        <v>74</v>
      </c>
      <c r="R837" t="s">
        <v>74</v>
      </c>
      <c r="S837" t="s">
        <v>74</v>
      </c>
      <c r="T837" t="s">
        <v>74</v>
      </c>
      <c r="U837" t="s">
        <v>16316</v>
      </c>
      <c r="V837" t="s">
        <v>16317</v>
      </c>
      <c r="W837" t="s">
        <v>16318</v>
      </c>
      <c r="X837" t="s">
        <v>16319</v>
      </c>
      <c r="Y837" t="s">
        <v>16320</v>
      </c>
      <c r="Z837" t="s">
        <v>16321</v>
      </c>
      <c r="AA837" t="s">
        <v>16322</v>
      </c>
      <c r="AB837" t="s">
        <v>16323</v>
      </c>
      <c r="AC837" t="s">
        <v>16324</v>
      </c>
      <c r="AD837" t="s">
        <v>16325</v>
      </c>
      <c r="AE837" t="s">
        <v>16326</v>
      </c>
      <c r="AF837" t="s">
        <v>74</v>
      </c>
      <c r="AG837">
        <v>60</v>
      </c>
      <c r="AH837">
        <v>6</v>
      </c>
      <c r="AI837">
        <v>7</v>
      </c>
      <c r="AJ837">
        <v>1</v>
      </c>
      <c r="AK837">
        <v>8</v>
      </c>
      <c r="AL837" t="s">
        <v>760</v>
      </c>
      <c r="AM837" t="s">
        <v>438</v>
      </c>
      <c r="AN837" t="s">
        <v>761</v>
      </c>
      <c r="AO837" t="s">
        <v>762</v>
      </c>
      <c r="AP837" t="s">
        <v>763</v>
      </c>
      <c r="AQ837" t="s">
        <v>74</v>
      </c>
      <c r="AR837" t="s">
        <v>764</v>
      </c>
      <c r="AS837" t="s">
        <v>765</v>
      </c>
      <c r="AT837" t="s">
        <v>16327</v>
      </c>
      <c r="AU837">
        <v>2021</v>
      </c>
      <c r="AV837">
        <v>48</v>
      </c>
      <c r="AW837">
        <v>16</v>
      </c>
      <c r="AX837" t="s">
        <v>74</v>
      </c>
      <c r="AY837" t="s">
        <v>74</v>
      </c>
      <c r="AZ837" t="s">
        <v>74</v>
      </c>
      <c r="BA837" t="s">
        <v>74</v>
      </c>
      <c r="BB837" t="s">
        <v>74</v>
      </c>
      <c r="BC837" t="s">
        <v>74</v>
      </c>
      <c r="BD837" t="s">
        <v>16328</v>
      </c>
      <c r="BE837" t="s">
        <v>16329</v>
      </c>
      <c r="BF837" t="str">
        <f>HYPERLINK("http://dx.doi.org/10.1029/2021GL095477","http://dx.doi.org/10.1029/2021GL095477")</f>
        <v>http://dx.doi.org/10.1029/2021GL095477</v>
      </c>
      <c r="BG837" t="s">
        <v>74</v>
      </c>
      <c r="BH837" t="s">
        <v>74</v>
      </c>
      <c r="BI837">
        <v>11</v>
      </c>
      <c r="BJ837" t="s">
        <v>236</v>
      </c>
      <c r="BK837" t="s">
        <v>101</v>
      </c>
      <c r="BL837" t="s">
        <v>237</v>
      </c>
      <c r="BM837" t="s">
        <v>16330</v>
      </c>
      <c r="BN837" t="s">
        <v>74</v>
      </c>
      <c r="BO837" t="s">
        <v>2241</v>
      </c>
      <c r="BP837" t="s">
        <v>74</v>
      </c>
      <c r="BQ837" t="s">
        <v>74</v>
      </c>
      <c r="BR837" t="s">
        <v>105</v>
      </c>
      <c r="BS837" t="s">
        <v>16331</v>
      </c>
      <c r="BT837" t="str">
        <f>HYPERLINK("https%3A%2F%2Fwww.webofscience.com%2Fwos%2Fwoscc%2Ffull-record%2FWOS:000688759800028","View Full Record in Web of Science")</f>
        <v>View Full Record in Web of Science</v>
      </c>
    </row>
    <row r="838" spans="1:72" x14ac:dyDescent="0.15">
      <c r="A838" t="s">
        <v>72</v>
      </c>
      <c r="B838" t="s">
        <v>16332</v>
      </c>
      <c r="C838" t="s">
        <v>74</v>
      </c>
      <c r="D838" t="s">
        <v>74</v>
      </c>
      <c r="E838" t="s">
        <v>74</v>
      </c>
      <c r="F838" t="s">
        <v>16333</v>
      </c>
      <c r="G838" t="s">
        <v>74</v>
      </c>
      <c r="H838" t="s">
        <v>74</v>
      </c>
      <c r="I838" t="s">
        <v>16334</v>
      </c>
      <c r="J838" t="s">
        <v>747</v>
      </c>
      <c r="K838" t="s">
        <v>74</v>
      </c>
      <c r="L838" t="s">
        <v>74</v>
      </c>
      <c r="M838" t="s">
        <v>78</v>
      </c>
      <c r="N838" t="s">
        <v>79</v>
      </c>
      <c r="O838" t="s">
        <v>74</v>
      </c>
      <c r="P838" t="s">
        <v>74</v>
      </c>
      <c r="Q838" t="s">
        <v>74</v>
      </c>
      <c r="R838" t="s">
        <v>74</v>
      </c>
      <c r="S838" t="s">
        <v>74</v>
      </c>
      <c r="T838" t="s">
        <v>74</v>
      </c>
      <c r="U838" t="s">
        <v>16335</v>
      </c>
      <c r="V838" t="s">
        <v>16336</v>
      </c>
      <c r="W838" t="s">
        <v>16337</v>
      </c>
      <c r="X838" t="s">
        <v>16338</v>
      </c>
      <c r="Y838" t="s">
        <v>16339</v>
      </c>
      <c r="Z838" t="s">
        <v>10387</v>
      </c>
      <c r="AA838" t="s">
        <v>16340</v>
      </c>
      <c r="AB838" t="s">
        <v>16341</v>
      </c>
      <c r="AC838" t="s">
        <v>16342</v>
      </c>
      <c r="AD838" t="s">
        <v>16343</v>
      </c>
      <c r="AE838" t="s">
        <v>16344</v>
      </c>
      <c r="AF838" t="s">
        <v>74</v>
      </c>
      <c r="AG838">
        <v>77</v>
      </c>
      <c r="AH838">
        <v>9</v>
      </c>
      <c r="AI838">
        <v>9</v>
      </c>
      <c r="AJ838">
        <v>0</v>
      </c>
      <c r="AK838">
        <v>15</v>
      </c>
      <c r="AL838" t="s">
        <v>760</v>
      </c>
      <c r="AM838" t="s">
        <v>438</v>
      </c>
      <c r="AN838" t="s">
        <v>761</v>
      </c>
      <c r="AO838" t="s">
        <v>762</v>
      </c>
      <c r="AP838" t="s">
        <v>763</v>
      </c>
      <c r="AQ838" t="s">
        <v>74</v>
      </c>
      <c r="AR838" t="s">
        <v>764</v>
      </c>
      <c r="AS838" t="s">
        <v>765</v>
      </c>
      <c r="AT838" t="s">
        <v>16327</v>
      </c>
      <c r="AU838">
        <v>2021</v>
      </c>
      <c r="AV838">
        <v>48</v>
      </c>
      <c r="AW838">
        <v>16</v>
      </c>
      <c r="AX838" t="s">
        <v>74</v>
      </c>
      <c r="AY838" t="s">
        <v>74</v>
      </c>
      <c r="AZ838" t="s">
        <v>74</v>
      </c>
      <c r="BA838" t="s">
        <v>74</v>
      </c>
      <c r="BB838" t="s">
        <v>74</v>
      </c>
      <c r="BC838" t="s">
        <v>74</v>
      </c>
      <c r="BD838" t="s">
        <v>16345</v>
      </c>
      <c r="BE838" t="s">
        <v>16346</v>
      </c>
      <c r="BF838" t="str">
        <f>HYPERLINK("http://dx.doi.org/10.1029/2021GL092554","http://dx.doi.org/10.1029/2021GL092554")</f>
        <v>http://dx.doi.org/10.1029/2021GL092554</v>
      </c>
      <c r="BG838" t="s">
        <v>74</v>
      </c>
      <c r="BH838" t="s">
        <v>74</v>
      </c>
      <c r="BI838">
        <v>11</v>
      </c>
      <c r="BJ838" t="s">
        <v>236</v>
      </c>
      <c r="BK838" t="s">
        <v>101</v>
      </c>
      <c r="BL838" t="s">
        <v>237</v>
      </c>
      <c r="BM838" t="s">
        <v>16330</v>
      </c>
      <c r="BN838" t="s">
        <v>74</v>
      </c>
      <c r="BO838" t="s">
        <v>5857</v>
      </c>
      <c r="BP838" t="s">
        <v>74</v>
      </c>
      <c r="BQ838" t="s">
        <v>74</v>
      </c>
      <c r="BR838" t="s">
        <v>105</v>
      </c>
      <c r="BS838" t="s">
        <v>16347</v>
      </c>
      <c r="BT838" t="str">
        <f>HYPERLINK("https%3A%2F%2Fwww.webofscience.com%2Fwos%2Fwoscc%2Ffull-record%2FWOS:000688759800008","View Full Record in Web of Science")</f>
        <v>View Full Record in Web of Science</v>
      </c>
    </row>
    <row r="839" spans="1:72" x14ac:dyDescent="0.15">
      <c r="A839" t="s">
        <v>72</v>
      </c>
      <c r="B839" t="s">
        <v>16348</v>
      </c>
      <c r="C839" t="s">
        <v>74</v>
      </c>
      <c r="D839" t="s">
        <v>74</v>
      </c>
      <c r="E839" t="s">
        <v>74</v>
      </c>
      <c r="F839" t="s">
        <v>16349</v>
      </c>
      <c r="G839" t="s">
        <v>74</v>
      </c>
      <c r="H839" t="s">
        <v>74</v>
      </c>
      <c r="I839" t="s">
        <v>16350</v>
      </c>
      <c r="J839" t="s">
        <v>747</v>
      </c>
      <c r="K839" t="s">
        <v>74</v>
      </c>
      <c r="L839" t="s">
        <v>74</v>
      </c>
      <c r="M839" t="s">
        <v>78</v>
      </c>
      <c r="N839" t="s">
        <v>79</v>
      </c>
      <c r="O839" t="s">
        <v>74</v>
      </c>
      <c r="P839" t="s">
        <v>74</v>
      </c>
      <c r="Q839" t="s">
        <v>74</v>
      </c>
      <c r="R839" t="s">
        <v>74</v>
      </c>
      <c r="S839" t="s">
        <v>74</v>
      </c>
      <c r="T839" t="s">
        <v>16351</v>
      </c>
      <c r="U839" t="s">
        <v>16352</v>
      </c>
      <c r="V839" t="s">
        <v>16353</v>
      </c>
      <c r="W839" t="s">
        <v>16354</v>
      </c>
      <c r="X839" t="s">
        <v>16355</v>
      </c>
      <c r="Y839" t="s">
        <v>16356</v>
      </c>
      <c r="Z839" t="s">
        <v>10476</v>
      </c>
      <c r="AA839" t="s">
        <v>16357</v>
      </c>
      <c r="AB839" t="s">
        <v>16358</v>
      </c>
      <c r="AC839" t="s">
        <v>16359</v>
      </c>
      <c r="AD839" t="s">
        <v>16360</v>
      </c>
      <c r="AE839" t="s">
        <v>16361</v>
      </c>
      <c r="AF839" t="s">
        <v>74</v>
      </c>
      <c r="AG839">
        <v>35</v>
      </c>
      <c r="AH839">
        <v>3</v>
      </c>
      <c r="AI839">
        <v>3</v>
      </c>
      <c r="AJ839">
        <v>3</v>
      </c>
      <c r="AK839">
        <v>11</v>
      </c>
      <c r="AL839" t="s">
        <v>760</v>
      </c>
      <c r="AM839" t="s">
        <v>438</v>
      </c>
      <c r="AN839" t="s">
        <v>761</v>
      </c>
      <c r="AO839" t="s">
        <v>762</v>
      </c>
      <c r="AP839" t="s">
        <v>763</v>
      </c>
      <c r="AQ839" t="s">
        <v>74</v>
      </c>
      <c r="AR839" t="s">
        <v>764</v>
      </c>
      <c r="AS839" t="s">
        <v>765</v>
      </c>
      <c r="AT839" t="s">
        <v>16327</v>
      </c>
      <c r="AU839">
        <v>2021</v>
      </c>
      <c r="AV839">
        <v>48</v>
      </c>
      <c r="AW839">
        <v>16</v>
      </c>
      <c r="AX839" t="s">
        <v>74</v>
      </c>
      <c r="AY839" t="s">
        <v>74</v>
      </c>
      <c r="AZ839" t="s">
        <v>74</v>
      </c>
      <c r="BA839" t="s">
        <v>74</v>
      </c>
      <c r="BB839" t="s">
        <v>74</v>
      </c>
      <c r="BC839" t="s">
        <v>74</v>
      </c>
      <c r="BD839" t="s">
        <v>16362</v>
      </c>
      <c r="BE839" t="s">
        <v>16363</v>
      </c>
      <c r="BF839" t="str">
        <f>HYPERLINK("http://dx.doi.org/10.1029/2021GL094317","http://dx.doi.org/10.1029/2021GL094317")</f>
        <v>http://dx.doi.org/10.1029/2021GL094317</v>
      </c>
      <c r="BG839" t="s">
        <v>74</v>
      </c>
      <c r="BH839" t="s">
        <v>74</v>
      </c>
      <c r="BI839">
        <v>9</v>
      </c>
      <c r="BJ839" t="s">
        <v>236</v>
      </c>
      <c r="BK839" t="s">
        <v>101</v>
      </c>
      <c r="BL839" t="s">
        <v>237</v>
      </c>
      <c r="BM839" t="s">
        <v>16330</v>
      </c>
      <c r="BN839" t="s">
        <v>74</v>
      </c>
      <c r="BO839" t="s">
        <v>2217</v>
      </c>
      <c r="BP839" t="s">
        <v>74</v>
      </c>
      <c r="BQ839" t="s">
        <v>74</v>
      </c>
      <c r="BR839" t="s">
        <v>105</v>
      </c>
      <c r="BS839" t="s">
        <v>16364</v>
      </c>
      <c r="BT839" t="str">
        <f>HYPERLINK("https%3A%2F%2Fwww.webofscience.com%2Fwos%2Fwoscc%2Ffull-record%2FWOS:000688759800006","View Full Record in Web of Science")</f>
        <v>View Full Record in Web of Science</v>
      </c>
    </row>
    <row r="840" spans="1:72" x14ac:dyDescent="0.15">
      <c r="A840" t="s">
        <v>72</v>
      </c>
      <c r="B840" t="s">
        <v>16365</v>
      </c>
      <c r="C840" t="s">
        <v>74</v>
      </c>
      <c r="D840" t="s">
        <v>74</v>
      </c>
      <c r="E840" t="s">
        <v>74</v>
      </c>
      <c r="F840" t="s">
        <v>16366</v>
      </c>
      <c r="G840" t="s">
        <v>74</v>
      </c>
      <c r="H840" t="s">
        <v>74</v>
      </c>
      <c r="I840" t="s">
        <v>16367</v>
      </c>
      <c r="J840" t="s">
        <v>747</v>
      </c>
      <c r="K840" t="s">
        <v>74</v>
      </c>
      <c r="L840" t="s">
        <v>74</v>
      </c>
      <c r="M840" t="s">
        <v>78</v>
      </c>
      <c r="N840" t="s">
        <v>79</v>
      </c>
      <c r="O840" t="s">
        <v>74</v>
      </c>
      <c r="P840" t="s">
        <v>74</v>
      </c>
      <c r="Q840" t="s">
        <v>74</v>
      </c>
      <c r="R840" t="s">
        <v>74</v>
      </c>
      <c r="S840" t="s">
        <v>74</v>
      </c>
      <c r="T840" t="s">
        <v>16368</v>
      </c>
      <c r="U840" t="s">
        <v>16369</v>
      </c>
      <c r="V840" t="s">
        <v>16370</v>
      </c>
      <c r="W840" t="s">
        <v>16371</v>
      </c>
      <c r="X840" t="s">
        <v>16372</v>
      </c>
      <c r="Y840" t="s">
        <v>16373</v>
      </c>
      <c r="Z840" t="s">
        <v>16374</v>
      </c>
      <c r="AA840" t="s">
        <v>16375</v>
      </c>
      <c r="AB840" t="s">
        <v>16376</v>
      </c>
      <c r="AC840" t="s">
        <v>16377</v>
      </c>
      <c r="AD840" t="s">
        <v>16378</v>
      </c>
      <c r="AE840" t="s">
        <v>16379</v>
      </c>
      <c r="AF840" t="s">
        <v>74</v>
      </c>
      <c r="AG840">
        <v>33</v>
      </c>
      <c r="AH840">
        <v>4</v>
      </c>
      <c r="AI840">
        <v>4</v>
      </c>
      <c r="AJ840">
        <v>6</v>
      </c>
      <c r="AK840">
        <v>25</v>
      </c>
      <c r="AL840" t="s">
        <v>760</v>
      </c>
      <c r="AM840" t="s">
        <v>438</v>
      </c>
      <c r="AN840" t="s">
        <v>761</v>
      </c>
      <c r="AO840" t="s">
        <v>762</v>
      </c>
      <c r="AP840" t="s">
        <v>763</v>
      </c>
      <c r="AQ840" t="s">
        <v>74</v>
      </c>
      <c r="AR840" t="s">
        <v>764</v>
      </c>
      <c r="AS840" t="s">
        <v>765</v>
      </c>
      <c r="AT840" t="s">
        <v>16327</v>
      </c>
      <c r="AU840">
        <v>2021</v>
      </c>
      <c r="AV840">
        <v>48</v>
      </c>
      <c r="AW840">
        <v>16</v>
      </c>
      <c r="AX840" t="s">
        <v>74</v>
      </c>
      <c r="AY840" t="s">
        <v>74</v>
      </c>
      <c r="AZ840" t="s">
        <v>74</v>
      </c>
      <c r="BA840" t="s">
        <v>74</v>
      </c>
      <c r="BB840" t="s">
        <v>74</v>
      </c>
      <c r="BC840" t="s">
        <v>74</v>
      </c>
      <c r="BD840" t="s">
        <v>16380</v>
      </c>
      <c r="BE840" t="s">
        <v>16381</v>
      </c>
      <c r="BF840" t="str">
        <f>HYPERLINK("http://dx.doi.org/10.1029/2021GL094863","http://dx.doi.org/10.1029/2021GL094863")</f>
        <v>http://dx.doi.org/10.1029/2021GL094863</v>
      </c>
      <c r="BG840" t="s">
        <v>74</v>
      </c>
      <c r="BH840" t="s">
        <v>74</v>
      </c>
      <c r="BI840">
        <v>10</v>
      </c>
      <c r="BJ840" t="s">
        <v>236</v>
      </c>
      <c r="BK840" t="s">
        <v>101</v>
      </c>
      <c r="BL840" t="s">
        <v>237</v>
      </c>
      <c r="BM840" t="s">
        <v>16330</v>
      </c>
      <c r="BN840" t="s">
        <v>74</v>
      </c>
      <c r="BO840" t="s">
        <v>74</v>
      </c>
      <c r="BP840" t="s">
        <v>74</v>
      </c>
      <c r="BQ840" t="s">
        <v>74</v>
      </c>
      <c r="BR840" t="s">
        <v>105</v>
      </c>
      <c r="BS840" t="s">
        <v>16382</v>
      </c>
      <c r="BT840" t="str">
        <f>HYPERLINK("https%3A%2F%2Fwww.webofscience.com%2Fwos%2Fwoscc%2Ffull-record%2FWOS:000688759800055","View Full Record in Web of Science")</f>
        <v>View Full Record in Web of Science</v>
      </c>
    </row>
    <row r="841" spans="1:72" x14ac:dyDescent="0.15">
      <c r="A841" t="s">
        <v>72</v>
      </c>
      <c r="B841" t="s">
        <v>16383</v>
      </c>
      <c r="C841" t="s">
        <v>74</v>
      </c>
      <c r="D841" t="s">
        <v>74</v>
      </c>
      <c r="E841" t="s">
        <v>74</v>
      </c>
      <c r="F841" t="s">
        <v>16384</v>
      </c>
      <c r="G841" t="s">
        <v>74</v>
      </c>
      <c r="H841" t="s">
        <v>74</v>
      </c>
      <c r="I841" t="s">
        <v>16385</v>
      </c>
      <c r="J841" t="s">
        <v>747</v>
      </c>
      <c r="K841" t="s">
        <v>74</v>
      </c>
      <c r="L841" t="s">
        <v>74</v>
      </c>
      <c r="M841" t="s">
        <v>78</v>
      </c>
      <c r="N841" t="s">
        <v>79</v>
      </c>
      <c r="O841" t="s">
        <v>74</v>
      </c>
      <c r="P841" t="s">
        <v>74</v>
      </c>
      <c r="Q841" t="s">
        <v>74</v>
      </c>
      <c r="R841" t="s">
        <v>74</v>
      </c>
      <c r="S841" t="s">
        <v>74</v>
      </c>
      <c r="T841" t="s">
        <v>74</v>
      </c>
      <c r="U841" t="s">
        <v>16386</v>
      </c>
      <c r="V841" t="s">
        <v>16387</v>
      </c>
      <c r="W841" t="s">
        <v>16388</v>
      </c>
      <c r="X841" t="s">
        <v>16389</v>
      </c>
      <c r="Y841" t="s">
        <v>16390</v>
      </c>
      <c r="Z841" t="s">
        <v>16391</v>
      </c>
      <c r="AA841" t="s">
        <v>9285</v>
      </c>
      <c r="AB841" t="s">
        <v>16392</v>
      </c>
      <c r="AC841" t="s">
        <v>16393</v>
      </c>
      <c r="AD841" t="s">
        <v>16394</v>
      </c>
      <c r="AE841" t="s">
        <v>16395</v>
      </c>
      <c r="AF841" t="s">
        <v>74</v>
      </c>
      <c r="AG841">
        <v>37</v>
      </c>
      <c r="AH841">
        <v>7</v>
      </c>
      <c r="AI841">
        <v>7</v>
      </c>
      <c r="AJ841">
        <v>0</v>
      </c>
      <c r="AK841">
        <v>2</v>
      </c>
      <c r="AL841" t="s">
        <v>760</v>
      </c>
      <c r="AM841" t="s">
        <v>438</v>
      </c>
      <c r="AN841" t="s">
        <v>761</v>
      </c>
      <c r="AO841" t="s">
        <v>762</v>
      </c>
      <c r="AP841" t="s">
        <v>763</v>
      </c>
      <c r="AQ841" t="s">
        <v>74</v>
      </c>
      <c r="AR841" t="s">
        <v>764</v>
      </c>
      <c r="AS841" t="s">
        <v>765</v>
      </c>
      <c r="AT841" t="s">
        <v>16327</v>
      </c>
      <c r="AU841">
        <v>2021</v>
      </c>
      <c r="AV841">
        <v>48</v>
      </c>
      <c r="AW841">
        <v>16</v>
      </c>
      <c r="AX841" t="s">
        <v>74</v>
      </c>
      <c r="AY841" t="s">
        <v>74</v>
      </c>
      <c r="AZ841" t="s">
        <v>74</v>
      </c>
      <c r="BA841" t="s">
        <v>74</v>
      </c>
      <c r="BB841" t="s">
        <v>74</v>
      </c>
      <c r="BC841" t="s">
        <v>74</v>
      </c>
      <c r="BD841" t="s">
        <v>16396</v>
      </c>
      <c r="BE841" t="s">
        <v>16397</v>
      </c>
      <c r="BF841" t="str">
        <f>HYPERLINK("http://dx.doi.org/10.1029/2021GL093095","http://dx.doi.org/10.1029/2021GL093095")</f>
        <v>http://dx.doi.org/10.1029/2021GL093095</v>
      </c>
      <c r="BG841" t="s">
        <v>74</v>
      </c>
      <c r="BH841" t="s">
        <v>74</v>
      </c>
      <c r="BI841">
        <v>10</v>
      </c>
      <c r="BJ841" t="s">
        <v>236</v>
      </c>
      <c r="BK841" t="s">
        <v>101</v>
      </c>
      <c r="BL841" t="s">
        <v>237</v>
      </c>
      <c r="BM841" t="s">
        <v>16330</v>
      </c>
      <c r="BN841" t="s">
        <v>74</v>
      </c>
      <c r="BO841" t="s">
        <v>314</v>
      </c>
      <c r="BP841" t="s">
        <v>74</v>
      </c>
      <c r="BQ841" t="s">
        <v>74</v>
      </c>
      <c r="BR841" t="s">
        <v>105</v>
      </c>
      <c r="BS841" t="s">
        <v>16398</v>
      </c>
      <c r="BT841" t="str">
        <f>HYPERLINK("https%3A%2F%2Fwww.webofscience.com%2Fwos%2Fwoscc%2Ffull-record%2FWOS:000688759800029","View Full Record in Web of Science")</f>
        <v>View Full Record in Web of Science</v>
      </c>
    </row>
    <row r="842" spans="1:72" x14ac:dyDescent="0.15">
      <c r="A842" t="s">
        <v>72</v>
      </c>
      <c r="B842" t="s">
        <v>16399</v>
      </c>
      <c r="C842" t="s">
        <v>74</v>
      </c>
      <c r="D842" t="s">
        <v>74</v>
      </c>
      <c r="E842" t="s">
        <v>74</v>
      </c>
      <c r="F842" t="s">
        <v>16400</v>
      </c>
      <c r="G842" t="s">
        <v>74</v>
      </c>
      <c r="H842" t="s">
        <v>74</v>
      </c>
      <c r="I842" t="s">
        <v>16401</v>
      </c>
      <c r="J842" t="s">
        <v>747</v>
      </c>
      <c r="K842" t="s">
        <v>74</v>
      </c>
      <c r="L842" t="s">
        <v>74</v>
      </c>
      <c r="M842" t="s">
        <v>78</v>
      </c>
      <c r="N842" t="s">
        <v>79</v>
      </c>
      <c r="O842" t="s">
        <v>74</v>
      </c>
      <c r="P842" t="s">
        <v>74</v>
      </c>
      <c r="Q842" t="s">
        <v>74</v>
      </c>
      <c r="R842" t="s">
        <v>74</v>
      </c>
      <c r="S842" t="s">
        <v>74</v>
      </c>
      <c r="T842" t="s">
        <v>16402</v>
      </c>
      <c r="U842" t="s">
        <v>16403</v>
      </c>
      <c r="V842" t="s">
        <v>16404</v>
      </c>
      <c r="W842" t="s">
        <v>16405</v>
      </c>
      <c r="X842" t="s">
        <v>16406</v>
      </c>
      <c r="Y842" t="s">
        <v>16407</v>
      </c>
      <c r="Z842" t="s">
        <v>16408</v>
      </c>
      <c r="AA842" t="s">
        <v>16409</v>
      </c>
      <c r="AB842" t="s">
        <v>16410</v>
      </c>
      <c r="AC842" t="s">
        <v>16411</v>
      </c>
      <c r="AD842" t="s">
        <v>16412</v>
      </c>
      <c r="AE842" t="s">
        <v>16413</v>
      </c>
      <c r="AF842" t="s">
        <v>74</v>
      </c>
      <c r="AG842">
        <v>40</v>
      </c>
      <c r="AH842">
        <v>4</v>
      </c>
      <c r="AI842">
        <v>4</v>
      </c>
      <c r="AJ842">
        <v>2</v>
      </c>
      <c r="AK842">
        <v>7</v>
      </c>
      <c r="AL842" t="s">
        <v>760</v>
      </c>
      <c r="AM842" t="s">
        <v>438</v>
      </c>
      <c r="AN842" t="s">
        <v>761</v>
      </c>
      <c r="AO842" t="s">
        <v>762</v>
      </c>
      <c r="AP842" t="s">
        <v>763</v>
      </c>
      <c r="AQ842" t="s">
        <v>74</v>
      </c>
      <c r="AR842" t="s">
        <v>764</v>
      </c>
      <c r="AS842" t="s">
        <v>765</v>
      </c>
      <c r="AT842" t="s">
        <v>16327</v>
      </c>
      <c r="AU842">
        <v>2021</v>
      </c>
      <c r="AV842">
        <v>48</v>
      </c>
      <c r="AW842">
        <v>16</v>
      </c>
      <c r="AX842" t="s">
        <v>74</v>
      </c>
      <c r="AY842" t="s">
        <v>74</v>
      </c>
      <c r="AZ842" t="s">
        <v>74</v>
      </c>
      <c r="BA842" t="s">
        <v>74</v>
      </c>
      <c r="BB842" t="s">
        <v>74</v>
      </c>
      <c r="BC842" t="s">
        <v>74</v>
      </c>
      <c r="BD842" t="s">
        <v>16414</v>
      </c>
      <c r="BE842" t="s">
        <v>16415</v>
      </c>
      <c r="BF842" t="str">
        <f>HYPERLINK("http://dx.doi.org/10.1029/2021GL094581","http://dx.doi.org/10.1029/2021GL094581")</f>
        <v>http://dx.doi.org/10.1029/2021GL094581</v>
      </c>
      <c r="BG842" t="s">
        <v>74</v>
      </c>
      <c r="BH842" t="s">
        <v>74</v>
      </c>
      <c r="BI842">
        <v>10</v>
      </c>
      <c r="BJ842" t="s">
        <v>236</v>
      </c>
      <c r="BK842" t="s">
        <v>101</v>
      </c>
      <c r="BL842" t="s">
        <v>237</v>
      </c>
      <c r="BM842" t="s">
        <v>16330</v>
      </c>
      <c r="BN842" t="s">
        <v>74</v>
      </c>
      <c r="BO842" t="s">
        <v>531</v>
      </c>
      <c r="BP842" t="s">
        <v>74</v>
      </c>
      <c r="BQ842" t="s">
        <v>74</v>
      </c>
      <c r="BR842" t="s">
        <v>105</v>
      </c>
      <c r="BS842" t="s">
        <v>16416</v>
      </c>
      <c r="BT842" t="str">
        <f>HYPERLINK("https%3A%2F%2Fwww.webofscience.com%2Fwos%2Fwoscc%2Ffull-record%2FWOS:000688759800005","View Full Record in Web of Science")</f>
        <v>View Full Record in Web of Science</v>
      </c>
    </row>
    <row r="843" spans="1:72" x14ac:dyDescent="0.15">
      <c r="A843" t="s">
        <v>72</v>
      </c>
      <c r="B843" t="s">
        <v>16417</v>
      </c>
      <c r="C843" t="s">
        <v>74</v>
      </c>
      <c r="D843" t="s">
        <v>74</v>
      </c>
      <c r="E843" t="s">
        <v>74</v>
      </c>
      <c r="F843" t="s">
        <v>16418</v>
      </c>
      <c r="G843" t="s">
        <v>74</v>
      </c>
      <c r="H843" t="s">
        <v>74</v>
      </c>
      <c r="I843" t="s">
        <v>16419</v>
      </c>
      <c r="J843" t="s">
        <v>747</v>
      </c>
      <c r="K843" t="s">
        <v>74</v>
      </c>
      <c r="L843" t="s">
        <v>74</v>
      </c>
      <c r="M843" t="s">
        <v>78</v>
      </c>
      <c r="N843" t="s">
        <v>79</v>
      </c>
      <c r="O843" t="s">
        <v>74</v>
      </c>
      <c r="P843" t="s">
        <v>74</v>
      </c>
      <c r="Q843" t="s">
        <v>74</v>
      </c>
      <c r="R843" t="s">
        <v>74</v>
      </c>
      <c r="S843" t="s">
        <v>74</v>
      </c>
      <c r="T843" t="s">
        <v>16420</v>
      </c>
      <c r="U843" t="s">
        <v>16421</v>
      </c>
      <c r="V843" t="s">
        <v>16422</v>
      </c>
      <c r="W843" t="s">
        <v>16423</v>
      </c>
      <c r="X843" t="s">
        <v>16424</v>
      </c>
      <c r="Y843" t="s">
        <v>16425</v>
      </c>
      <c r="Z843" t="s">
        <v>16426</v>
      </c>
      <c r="AA843" t="s">
        <v>16427</v>
      </c>
      <c r="AB843" t="s">
        <v>16428</v>
      </c>
      <c r="AC843" t="s">
        <v>16429</v>
      </c>
      <c r="AD843" t="s">
        <v>16430</v>
      </c>
      <c r="AE843" t="s">
        <v>16431</v>
      </c>
      <c r="AF843" t="s">
        <v>74</v>
      </c>
      <c r="AG843">
        <v>42</v>
      </c>
      <c r="AH843">
        <v>2</v>
      </c>
      <c r="AI843">
        <v>2</v>
      </c>
      <c r="AJ843">
        <v>1</v>
      </c>
      <c r="AK843">
        <v>18</v>
      </c>
      <c r="AL843" t="s">
        <v>760</v>
      </c>
      <c r="AM843" t="s">
        <v>438</v>
      </c>
      <c r="AN843" t="s">
        <v>761</v>
      </c>
      <c r="AO843" t="s">
        <v>762</v>
      </c>
      <c r="AP843" t="s">
        <v>763</v>
      </c>
      <c r="AQ843" t="s">
        <v>74</v>
      </c>
      <c r="AR843" t="s">
        <v>764</v>
      </c>
      <c r="AS843" t="s">
        <v>765</v>
      </c>
      <c r="AT843" t="s">
        <v>16327</v>
      </c>
      <c r="AU843">
        <v>2021</v>
      </c>
      <c r="AV843">
        <v>48</v>
      </c>
      <c r="AW843">
        <v>16</v>
      </c>
      <c r="AX843" t="s">
        <v>74</v>
      </c>
      <c r="AY843" t="s">
        <v>74</v>
      </c>
      <c r="AZ843" t="s">
        <v>74</v>
      </c>
      <c r="BA843" t="s">
        <v>74</v>
      </c>
      <c r="BB843" t="s">
        <v>74</v>
      </c>
      <c r="BC843" t="s">
        <v>74</v>
      </c>
      <c r="BD843" t="s">
        <v>16432</v>
      </c>
      <c r="BE843" t="s">
        <v>16433</v>
      </c>
      <c r="BF843" t="str">
        <f>HYPERLINK("http://dx.doi.org/10.1029/2020GL092031","http://dx.doi.org/10.1029/2020GL092031")</f>
        <v>http://dx.doi.org/10.1029/2020GL092031</v>
      </c>
      <c r="BG843" t="s">
        <v>74</v>
      </c>
      <c r="BH843" t="s">
        <v>74</v>
      </c>
      <c r="BI843">
        <v>10</v>
      </c>
      <c r="BJ843" t="s">
        <v>236</v>
      </c>
      <c r="BK843" t="s">
        <v>101</v>
      </c>
      <c r="BL843" t="s">
        <v>237</v>
      </c>
      <c r="BM843" t="s">
        <v>16330</v>
      </c>
      <c r="BN843" t="s">
        <v>74</v>
      </c>
      <c r="BO843" t="s">
        <v>343</v>
      </c>
      <c r="BP843" t="s">
        <v>74</v>
      </c>
      <c r="BQ843" t="s">
        <v>74</v>
      </c>
      <c r="BR843" t="s">
        <v>105</v>
      </c>
      <c r="BS843" t="s">
        <v>16434</v>
      </c>
      <c r="BT843" t="str">
        <f>HYPERLINK("https%3A%2F%2Fwww.webofscience.com%2Fwos%2Fwoscc%2Ffull-record%2FWOS:000688759800056","View Full Record in Web of Science")</f>
        <v>View Full Record in Web of Science</v>
      </c>
    </row>
    <row r="844" spans="1:72" x14ac:dyDescent="0.15">
      <c r="A844" t="s">
        <v>72</v>
      </c>
      <c r="B844" t="s">
        <v>16435</v>
      </c>
      <c r="C844" t="s">
        <v>74</v>
      </c>
      <c r="D844" t="s">
        <v>74</v>
      </c>
      <c r="E844" t="s">
        <v>74</v>
      </c>
      <c r="F844" t="s">
        <v>16436</v>
      </c>
      <c r="G844" t="s">
        <v>74</v>
      </c>
      <c r="H844" t="s">
        <v>74</v>
      </c>
      <c r="I844" t="s">
        <v>16437</v>
      </c>
      <c r="J844" t="s">
        <v>747</v>
      </c>
      <c r="K844" t="s">
        <v>74</v>
      </c>
      <c r="L844" t="s">
        <v>74</v>
      </c>
      <c r="M844" t="s">
        <v>78</v>
      </c>
      <c r="N844" t="s">
        <v>79</v>
      </c>
      <c r="O844" t="s">
        <v>74</v>
      </c>
      <c r="P844" t="s">
        <v>74</v>
      </c>
      <c r="Q844" t="s">
        <v>74</v>
      </c>
      <c r="R844" t="s">
        <v>74</v>
      </c>
      <c r="S844" t="s">
        <v>74</v>
      </c>
      <c r="T844" t="s">
        <v>16438</v>
      </c>
      <c r="U844" t="s">
        <v>16439</v>
      </c>
      <c r="V844" t="s">
        <v>16440</v>
      </c>
      <c r="W844" t="s">
        <v>16441</v>
      </c>
      <c r="X844" t="s">
        <v>16442</v>
      </c>
      <c r="Y844" t="s">
        <v>16443</v>
      </c>
      <c r="Z844" t="s">
        <v>16444</v>
      </c>
      <c r="AA844" t="s">
        <v>16445</v>
      </c>
      <c r="AB844" t="s">
        <v>16446</v>
      </c>
      <c r="AC844" t="s">
        <v>16447</v>
      </c>
      <c r="AD844" t="s">
        <v>16448</v>
      </c>
      <c r="AE844" t="s">
        <v>16449</v>
      </c>
      <c r="AF844" t="s">
        <v>74</v>
      </c>
      <c r="AG844">
        <v>21</v>
      </c>
      <c r="AH844">
        <v>30</v>
      </c>
      <c r="AI844">
        <v>32</v>
      </c>
      <c r="AJ844">
        <v>8</v>
      </c>
      <c r="AK844">
        <v>53</v>
      </c>
      <c r="AL844" t="s">
        <v>760</v>
      </c>
      <c r="AM844" t="s">
        <v>438</v>
      </c>
      <c r="AN844" t="s">
        <v>761</v>
      </c>
      <c r="AO844" t="s">
        <v>762</v>
      </c>
      <c r="AP844" t="s">
        <v>763</v>
      </c>
      <c r="AQ844" t="s">
        <v>74</v>
      </c>
      <c r="AR844" t="s">
        <v>764</v>
      </c>
      <c r="AS844" t="s">
        <v>765</v>
      </c>
      <c r="AT844" t="s">
        <v>16327</v>
      </c>
      <c r="AU844">
        <v>2021</v>
      </c>
      <c r="AV844">
        <v>48</v>
      </c>
      <c r="AW844">
        <v>16</v>
      </c>
      <c r="AX844" t="s">
        <v>74</v>
      </c>
      <c r="AY844" t="s">
        <v>74</v>
      </c>
      <c r="AZ844" t="s">
        <v>74</v>
      </c>
      <c r="BA844" t="s">
        <v>74</v>
      </c>
      <c r="BB844" t="s">
        <v>74</v>
      </c>
      <c r="BC844" t="s">
        <v>74</v>
      </c>
      <c r="BD844" t="s">
        <v>16450</v>
      </c>
      <c r="BE844" t="s">
        <v>16451</v>
      </c>
      <c r="BF844" t="str">
        <f>HYPERLINK("http://dx.doi.org/10.1029/2020GL091741","http://dx.doi.org/10.1029/2020GL091741")</f>
        <v>http://dx.doi.org/10.1029/2020GL091741</v>
      </c>
      <c r="BG844" t="s">
        <v>74</v>
      </c>
      <c r="BH844" t="s">
        <v>74</v>
      </c>
      <c r="BI844">
        <v>8</v>
      </c>
      <c r="BJ844" t="s">
        <v>236</v>
      </c>
      <c r="BK844" t="s">
        <v>101</v>
      </c>
      <c r="BL844" t="s">
        <v>237</v>
      </c>
      <c r="BM844" t="s">
        <v>16330</v>
      </c>
      <c r="BN844" t="s">
        <v>74</v>
      </c>
      <c r="BO844" t="s">
        <v>676</v>
      </c>
      <c r="BP844" t="s">
        <v>74</v>
      </c>
      <c r="BQ844" t="s">
        <v>74</v>
      </c>
      <c r="BR844" t="s">
        <v>105</v>
      </c>
      <c r="BS844" t="s">
        <v>16452</v>
      </c>
      <c r="BT844" t="str">
        <f>HYPERLINK("https%3A%2F%2Fwww.webofscience.com%2Fwos%2Fwoscc%2Ffull-record%2FWOS:000688759800065","View Full Record in Web of Science")</f>
        <v>View Full Record in Web of Science</v>
      </c>
    </row>
    <row r="845" spans="1:72" x14ac:dyDescent="0.15">
      <c r="A845" t="s">
        <v>72</v>
      </c>
      <c r="B845" t="s">
        <v>16453</v>
      </c>
      <c r="C845" t="s">
        <v>74</v>
      </c>
      <c r="D845" t="s">
        <v>74</v>
      </c>
      <c r="E845" t="s">
        <v>74</v>
      </c>
      <c r="F845" t="s">
        <v>16454</v>
      </c>
      <c r="G845" t="s">
        <v>74</v>
      </c>
      <c r="H845" t="s">
        <v>74</v>
      </c>
      <c r="I845" t="s">
        <v>16455</v>
      </c>
      <c r="J845" t="s">
        <v>911</v>
      </c>
      <c r="K845" t="s">
        <v>74</v>
      </c>
      <c r="L845" t="s">
        <v>74</v>
      </c>
      <c r="M845" t="s">
        <v>78</v>
      </c>
      <c r="N845" t="s">
        <v>79</v>
      </c>
      <c r="O845" t="s">
        <v>74</v>
      </c>
      <c r="P845" t="s">
        <v>74</v>
      </c>
      <c r="Q845" t="s">
        <v>74</v>
      </c>
      <c r="R845" t="s">
        <v>74</v>
      </c>
      <c r="S845" t="s">
        <v>74</v>
      </c>
      <c r="T845" t="s">
        <v>16456</v>
      </c>
      <c r="U845" t="s">
        <v>16457</v>
      </c>
      <c r="V845" t="s">
        <v>16458</v>
      </c>
      <c r="W845" t="s">
        <v>16459</v>
      </c>
      <c r="X845" t="s">
        <v>16460</v>
      </c>
      <c r="Y845" t="s">
        <v>16461</v>
      </c>
      <c r="Z845" t="s">
        <v>16462</v>
      </c>
      <c r="AA845" t="s">
        <v>16463</v>
      </c>
      <c r="AB845" t="s">
        <v>16464</v>
      </c>
      <c r="AC845" t="s">
        <v>16465</v>
      </c>
      <c r="AD845" t="s">
        <v>6890</v>
      </c>
      <c r="AE845" t="s">
        <v>16466</v>
      </c>
      <c r="AF845" t="s">
        <v>74</v>
      </c>
      <c r="AG845">
        <v>72</v>
      </c>
      <c r="AH845">
        <v>2</v>
      </c>
      <c r="AI845">
        <v>2</v>
      </c>
      <c r="AJ845">
        <v>0</v>
      </c>
      <c r="AK845">
        <v>18</v>
      </c>
      <c r="AL845" t="s">
        <v>169</v>
      </c>
      <c r="AM845" t="s">
        <v>170</v>
      </c>
      <c r="AN845" t="s">
        <v>171</v>
      </c>
      <c r="AO845" t="s">
        <v>924</v>
      </c>
      <c r="AP845" t="s">
        <v>925</v>
      </c>
      <c r="AQ845" t="s">
        <v>74</v>
      </c>
      <c r="AR845" t="s">
        <v>926</v>
      </c>
      <c r="AS845" t="s">
        <v>927</v>
      </c>
      <c r="AT845" t="s">
        <v>525</v>
      </c>
      <c r="AU845">
        <v>2022</v>
      </c>
      <c r="AV845">
        <v>58</v>
      </c>
      <c r="AW845" t="s">
        <v>12340</v>
      </c>
      <c r="AX845" t="s">
        <v>74</v>
      </c>
      <c r="AY845" t="s">
        <v>74</v>
      </c>
      <c r="AZ845" t="s">
        <v>74</v>
      </c>
      <c r="BA845" t="s">
        <v>74</v>
      </c>
      <c r="BB845">
        <v>961</v>
      </c>
      <c r="BC845">
        <v>979</v>
      </c>
      <c r="BD845" t="s">
        <v>74</v>
      </c>
      <c r="BE845" t="s">
        <v>16467</v>
      </c>
      <c r="BF845" t="str">
        <f>HYPERLINK("http://dx.doi.org/10.1007/s00382-021-05948-w","http://dx.doi.org/10.1007/s00382-021-05948-w")</f>
        <v>http://dx.doi.org/10.1007/s00382-021-05948-w</v>
      </c>
      <c r="BG845" t="s">
        <v>74</v>
      </c>
      <c r="BH845" t="s">
        <v>16043</v>
      </c>
      <c r="BI845">
        <v>19</v>
      </c>
      <c r="BJ845" t="s">
        <v>829</v>
      </c>
      <c r="BK845" t="s">
        <v>101</v>
      </c>
      <c r="BL845" t="s">
        <v>829</v>
      </c>
      <c r="BM845" t="s">
        <v>12342</v>
      </c>
      <c r="BN845" t="s">
        <v>74</v>
      </c>
      <c r="BO845" t="s">
        <v>74</v>
      </c>
      <c r="BP845" t="s">
        <v>74</v>
      </c>
      <c r="BQ845" t="s">
        <v>74</v>
      </c>
      <c r="BR845" t="s">
        <v>105</v>
      </c>
      <c r="BS845" t="s">
        <v>16468</v>
      </c>
      <c r="BT845" t="str">
        <f>HYPERLINK("https%3A%2F%2Fwww.webofscience.com%2Fwos%2Fwoscc%2Ffull-record%2FWOS:000691005600001","View Full Record in Web of Science")</f>
        <v>View Full Record in Web of Science</v>
      </c>
    </row>
    <row r="846" spans="1:72" x14ac:dyDescent="0.15">
      <c r="A846" t="s">
        <v>72</v>
      </c>
      <c r="B846" t="s">
        <v>16469</v>
      </c>
      <c r="C846" t="s">
        <v>74</v>
      </c>
      <c r="D846" t="s">
        <v>74</v>
      </c>
      <c r="E846" t="s">
        <v>74</v>
      </c>
      <c r="F846" t="s">
        <v>16470</v>
      </c>
      <c r="G846" t="s">
        <v>74</v>
      </c>
      <c r="H846" t="s">
        <v>74</v>
      </c>
      <c r="I846" t="s">
        <v>16471</v>
      </c>
      <c r="J846" t="s">
        <v>935</v>
      </c>
      <c r="K846" t="s">
        <v>74</v>
      </c>
      <c r="L846" t="s">
        <v>74</v>
      </c>
      <c r="M846" t="s">
        <v>78</v>
      </c>
      <c r="N846" t="s">
        <v>79</v>
      </c>
      <c r="O846" t="s">
        <v>74</v>
      </c>
      <c r="P846" t="s">
        <v>74</v>
      </c>
      <c r="Q846" t="s">
        <v>74</v>
      </c>
      <c r="R846" t="s">
        <v>74</v>
      </c>
      <c r="S846" t="s">
        <v>74</v>
      </c>
      <c r="T846" t="s">
        <v>16472</v>
      </c>
      <c r="U846" t="s">
        <v>16473</v>
      </c>
      <c r="V846" t="s">
        <v>16474</v>
      </c>
      <c r="W846" t="s">
        <v>16475</v>
      </c>
      <c r="X846" t="s">
        <v>16476</v>
      </c>
      <c r="Y846" t="s">
        <v>16477</v>
      </c>
      <c r="Z846" t="s">
        <v>16478</v>
      </c>
      <c r="AA846" t="s">
        <v>16479</v>
      </c>
      <c r="AB846" t="s">
        <v>16480</v>
      </c>
      <c r="AC846" t="s">
        <v>1768</v>
      </c>
      <c r="AD846" t="s">
        <v>1768</v>
      </c>
      <c r="AE846" t="s">
        <v>16481</v>
      </c>
      <c r="AF846" t="s">
        <v>74</v>
      </c>
      <c r="AG846">
        <v>67</v>
      </c>
      <c r="AH846">
        <v>3</v>
      </c>
      <c r="AI846">
        <v>3</v>
      </c>
      <c r="AJ846">
        <v>0</v>
      </c>
      <c r="AK846">
        <v>1</v>
      </c>
      <c r="AL846" t="s">
        <v>169</v>
      </c>
      <c r="AM846" t="s">
        <v>170</v>
      </c>
      <c r="AN846" t="s">
        <v>171</v>
      </c>
      <c r="AO846" t="s">
        <v>948</v>
      </c>
      <c r="AP846" t="s">
        <v>949</v>
      </c>
      <c r="AQ846" t="s">
        <v>74</v>
      </c>
      <c r="AR846" t="s">
        <v>950</v>
      </c>
      <c r="AS846" t="s">
        <v>951</v>
      </c>
      <c r="AT846" t="s">
        <v>7760</v>
      </c>
      <c r="AU846">
        <v>2021</v>
      </c>
      <c r="AV846">
        <v>44</v>
      </c>
      <c r="AW846">
        <v>10</v>
      </c>
      <c r="AX846" t="s">
        <v>74</v>
      </c>
      <c r="AY846" t="s">
        <v>74</v>
      </c>
      <c r="AZ846" t="s">
        <v>74</v>
      </c>
      <c r="BA846" t="s">
        <v>74</v>
      </c>
      <c r="BB846">
        <v>2011</v>
      </c>
      <c r="BC846">
        <v>2021</v>
      </c>
      <c r="BD846" t="s">
        <v>74</v>
      </c>
      <c r="BE846" t="s">
        <v>16482</v>
      </c>
      <c r="BF846" t="str">
        <f>HYPERLINK("http://dx.doi.org/10.1007/s00300-021-02934-0","http://dx.doi.org/10.1007/s00300-021-02934-0")</f>
        <v>http://dx.doi.org/10.1007/s00300-021-02934-0</v>
      </c>
      <c r="BG846" t="s">
        <v>74</v>
      </c>
      <c r="BH846" t="s">
        <v>16043</v>
      </c>
      <c r="BI846">
        <v>11</v>
      </c>
      <c r="BJ846" t="s">
        <v>605</v>
      </c>
      <c r="BK846" t="s">
        <v>101</v>
      </c>
      <c r="BL846" t="s">
        <v>606</v>
      </c>
      <c r="BM846" t="s">
        <v>16250</v>
      </c>
      <c r="BN846" t="s">
        <v>74</v>
      </c>
      <c r="BO846" t="s">
        <v>74</v>
      </c>
      <c r="BP846" t="s">
        <v>74</v>
      </c>
      <c r="BQ846" t="s">
        <v>74</v>
      </c>
      <c r="BR846" t="s">
        <v>105</v>
      </c>
      <c r="BS846" t="s">
        <v>16483</v>
      </c>
      <c r="BT846" t="str">
        <f>HYPERLINK("https%3A%2F%2Fwww.webofscience.com%2Fwos%2Fwoscc%2Ffull-record%2FWOS:000690719500001","View Full Record in Web of Science")</f>
        <v>View Full Record in Web of Science</v>
      </c>
    </row>
    <row r="847" spans="1:72" x14ac:dyDescent="0.15">
      <c r="A847" t="s">
        <v>72</v>
      </c>
      <c r="B847" t="s">
        <v>16484</v>
      </c>
      <c r="C847" t="s">
        <v>74</v>
      </c>
      <c r="D847" t="s">
        <v>74</v>
      </c>
      <c r="E847" t="s">
        <v>74</v>
      </c>
      <c r="F847" t="s">
        <v>16485</v>
      </c>
      <c r="G847" t="s">
        <v>74</v>
      </c>
      <c r="H847" t="s">
        <v>74</v>
      </c>
      <c r="I847" t="s">
        <v>16486</v>
      </c>
      <c r="J847" t="s">
        <v>6804</v>
      </c>
      <c r="K847" t="s">
        <v>74</v>
      </c>
      <c r="L847" t="s">
        <v>74</v>
      </c>
      <c r="M847" t="s">
        <v>78</v>
      </c>
      <c r="N847" t="s">
        <v>79</v>
      </c>
      <c r="O847" t="s">
        <v>74</v>
      </c>
      <c r="P847" t="s">
        <v>74</v>
      </c>
      <c r="Q847" t="s">
        <v>74</v>
      </c>
      <c r="R847" t="s">
        <v>74</v>
      </c>
      <c r="S847" t="s">
        <v>74</v>
      </c>
      <c r="T847" t="s">
        <v>16487</v>
      </c>
      <c r="U847" t="s">
        <v>16488</v>
      </c>
      <c r="V847" t="s">
        <v>16489</v>
      </c>
      <c r="W847" t="s">
        <v>16490</v>
      </c>
      <c r="X847" t="s">
        <v>10335</v>
      </c>
      <c r="Y847" t="s">
        <v>16491</v>
      </c>
      <c r="Z847" t="s">
        <v>16492</v>
      </c>
      <c r="AA847" t="s">
        <v>16493</v>
      </c>
      <c r="AB847" t="s">
        <v>16494</v>
      </c>
      <c r="AC847" t="s">
        <v>16495</v>
      </c>
      <c r="AD847" t="s">
        <v>16496</v>
      </c>
      <c r="AE847" t="s">
        <v>16497</v>
      </c>
      <c r="AF847" t="s">
        <v>74</v>
      </c>
      <c r="AG847">
        <v>91</v>
      </c>
      <c r="AH847">
        <v>13</v>
      </c>
      <c r="AI847">
        <v>13</v>
      </c>
      <c r="AJ847">
        <v>0</v>
      </c>
      <c r="AK847">
        <v>7</v>
      </c>
      <c r="AL847" t="s">
        <v>572</v>
      </c>
      <c r="AM847" t="s">
        <v>573</v>
      </c>
      <c r="AN847" t="s">
        <v>574</v>
      </c>
      <c r="AO847" t="s">
        <v>6817</v>
      </c>
      <c r="AP847" t="s">
        <v>6818</v>
      </c>
      <c r="AQ847" t="s">
        <v>74</v>
      </c>
      <c r="AR847" t="s">
        <v>6819</v>
      </c>
      <c r="AS847" t="s">
        <v>6820</v>
      </c>
      <c r="AT847" t="s">
        <v>7760</v>
      </c>
      <c r="AU847">
        <v>2021</v>
      </c>
      <c r="AV847">
        <v>46</v>
      </c>
      <c r="AW847">
        <v>13</v>
      </c>
      <c r="AX847" t="s">
        <v>74</v>
      </c>
      <c r="AY847" t="s">
        <v>74</v>
      </c>
      <c r="AZ847" t="s">
        <v>74</v>
      </c>
      <c r="BA847" t="s">
        <v>74</v>
      </c>
      <c r="BB847">
        <v>2728</v>
      </c>
      <c r="BC847">
        <v>2745</v>
      </c>
      <c r="BD847" t="s">
        <v>74</v>
      </c>
      <c r="BE847" t="s">
        <v>16498</v>
      </c>
      <c r="BF847" t="str">
        <f>HYPERLINK("http://dx.doi.org/10.1002/esp.5203","http://dx.doi.org/10.1002/esp.5203")</f>
        <v>http://dx.doi.org/10.1002/esp.5203</v>
      </c>
      <c r="BG847" t="s">
        <v>74</v>
      </c>
      <c r="BH847" t="s">
        <v>16043</v>
      </c>
      <c r="BI847">
        <v>18</v>
      </c>
      <c r="BJ847" t="s">
        <v>340</v>
      </c>
      <c r="BK847" t="s">
        <v>101</v>
      </c>
      <c r="BL847" t="s">
        <v>341</v>
      </c>
      <c r="BM847" t="s">
        <v>16499</v>
      </c>
      <c r="BN847" t="s">
        <v>74</v>
      </c>
      <c r="BO847" t="s">
        <v>13853</v>
      </c>
      <c r="BP847" t="s">
        <v>74</v>
      </c>
      <c r="BQ847" t="s">
        <v>74</v>
      </c>
      <c r="BR847" t="s">
        <v>105</v>
      </c>
      <c r="BS847" t="s">
        <v>16500</v>
      </c>
      <c r="BT847" t="str">
        <f>HYPERLINK("https%3A%2F%2Fwww.webofscience.com%2Fwos%2Fwoscc%2Ffull-record%2FWOS:000690660100001","View Full Record in Web of Science")</f>
        <v>View Full Record in Web of Science</v>
      </c>
    </row>
    <row r="848" spans="1:72" x14ac:dyDescent="0.15">
      <c r="A848" t="s">
        <v>72</v>
      </c>
      <c r="B848" t="s">
        <v>16501</v>
      </c>
      <c r="C848" t="s">
        <v>74</v>
      </c>
      <c r="D848" t="s">
        <v>74</v>
      </c>
      <c r="E848" t="s">
        <v>74</v>
      </c>
      <c r="F848" t="s">
        <v>16502</v>
      </c>
      <c r="G848" t="s">
        <v>74</v>
      </c>
      <c r="H848" t="s">
        <v>74</v>
      </c>
      <c r="I848" t="s">
        <v>16503</v>
      </c>
      <c r="J848" t="s">
        <v>3558</v>
      </c>
      <c r="K848" t="s">
        <v>74</v>
      </c>
      <c r="L848" t="s">
        <v>74</v>
      </c>
      <c r="M848" t="s">
        <v>78</v>
      </c>
      <c r="N848" t="s">
        <v>79</v>
      </c>
      <c r="O848" t="s">
        <v>74</v>
      </c>
      <c r="P848" t="s">
        <v>74</v>
      </c>
      <c r="Q848" t="s">
        <v>74</v>
      </c>
      <c r="R848" t="s">
        <v>74</v>
      </c>
      <c r="S848" t="s">
        <v>74</v>
      </c>
      <c r="T848" t="s">
        <v>74</v>
      </c>
      <c r="U848" t="s">
        <v>16504</v>
      </c>
      <c r="V848" t="s">
        <v>16505</v>
      </c>
      <c r="W848" t="s">
        <v>16506</v>
      </c>
      <c r="X848" t="s">
        <v>16507</v>
      </c>
      <c r="Y848" t="s">
        <v>16508</v>
      </c>
      <c r="Z848" t="s">
        <v>16509</v>
      </c>
      <c r="AA848" t="s">
        <v>16510</v>
      </c>
      <c r="AB848" t="s">
        <v>16511</v>
      </c>
      <c r="AC848" t="s">
        <v>16512</v>
      </c>
      <c r="AD848" t="s">
        <v>16513</v>
      </c>
      <c r="AE848" t="s">
        <v>16514</v>
      </c>
      <c r="AF848" t="s">
        <v>74</v>
      </c>
      <c r="AG848">
        <v>75</v>
      </c>
      <c r="AH848">
        <v>7</v>
      </c>
      <c r="AI848">
        <v>7</v>
      </c>
      <c r="AJ848">
        <v>2</v>
      </c>
      <c r="AK848">
        <v>21</v>
      </c>
      <c r="AL848" t="s">
        <v>572</v>
      </c>
      <c r="AM848" t="s">
        <v>573</v>
      </c>
      <c r="AN848" t="s">
        <v>574</v>
      </c>
      <c r="AO848" t="s">
        <v>3570</v>
      </c>
      <c r="AP848" t="s">
        <v>3571</v>
      </c>
      <c r="AQ848" t="s">
        <v>74</v>
      </c>
      <c r="AR848" t="s">
        <v>3572</v>
      </c>
      <c r="AS848" t="s">
        <v>3573</v>
      </c>
      <c r="AT848" t="s">
        <v>7760</v>
      </c>
      <c r="AU848">
        <v>2021</v>
      </c>
      <c r="AV848">
        <v>66</v>
      </c>
      <c r="AW848">
        <v>10</v>
      </c>
      <c r="AX848" t="s">
        <v>74</v>
      </c>
      <c r="AY848" t="s">
        <v>74</v>
      </c>
      <c r="AZ848" t="s">
        <v>74</v>
      </c>
      <c r="BA848" t="s">
        <v>74</v>
      </c>
      <c r="BB848">
        <v>3842</v>
      </c>
      <c r="BC848">
        <v>3855</v>
      </c>
      <c r="BD848" t="s">
        <v>74</v>
      </c>
      <c r="BE848" t="s">
        <v>16515</v>
      </c>
      <c r="BF848" t="str">
        <f>HYPERLINK("http://dx.doi.org/10.1002/lno.11923","http://dx.doi.org/10.1002/lno.11923")</f>
        <v>http://dx.doi.org/10.1002/lno.11923</v>
      </c>
      <c r="BG848" t="s">
        <v>74</v>
      </c>
      <c r="BH848" t="s">
        <v>16043</v>
      </c>
      <c r="BI848">
        <v>14</v>
      </c>
      <c r="BJ848" t="s">
        <v>3575</v>
      </c>
      <c r="BK848" t="s">
        <v>101</v>
      </c>
      <c r="BL848" t="s">
        <v>3136</v>
      </c>
      <c r="BM848" t="s">
        <v>13118</v>
      </c>
      <c r="BN848" t="s">
        <v>74</v>
      </c>
      <c r="BO848" t="s">
        <v>14440</v>
      </c>
      <c r="BP848" t="s">
        <v>74</v>
      </c>
      <c r="BQ848" t="s">
        <v>74</v>
      </c>
      <c r="BR848" t="s">
        <v>105</v>
      </c>
      <c r="BS848" t="s">
        <v>16516</v>
      </c>
      <c r="BT848" t="str">
        <f>HYPERLINK("https%3A%2F%2Fwww.webofscience.com%2Fwos%2Fwoscc%2Ffull-record%2FWOS:000690664200001","View Full Record in Web of Science")</f>
        <v>View Full Record in Web of Science</v>
      </c>
    </row>
    <row r="849" spans="1:72" x14ac:dyDescent="0.15">
      <c r="A849" t="s">
        <v>72</v>
      </c>
      <c r="B849" t="s">
        <v>16517</v>
      </c>
      <c r="C849" t="s">
        <v>74</v>
      </c>
      <c r="D849" t="s">
        <v>74</v>
      </c>
      <c r="E849" t="s">
        <v>74</v>
      </c>
      <c r="F849" t="s">
        <v>16518</v>
      </c>
      <c r="G849" t="s">
        <v>74</v>
      </c>
      <c r="H849" t="s">
        <v>74</v>
      </c>
      <c r="I849" t="s">
        <v>16519</v>
      </c>
      <c r="J849" t="s">
        <v>16520</v>
      </c>
      <c r="K849" t="s">
        <v>74</v>
      </c>
      <c r="L849" t="s">
        <v>74</v>
      </c>
      <c r="M849" t="s">
        <v>78</v>
      </c>
      <c r="N849" t="s">
        <v>7574</v>
      </c>
      <c r="O849" t="s">
        <v>74</v>
      </c>
      <c r="P849" t="s">
        <v>74</v>
      </c>
      <c r="Q849" t="s">
        <v>74</v>
      </c>
      <c r="R849" t="s">
        <v>74</v>
      </c>
      <c r="S849" t="s">
        <v>74</v>
      </c>
      <c r="T849" t="s">
        <v>74</v>
      </c>
      <c r="U849" t="s">
        <v>16521</v>
      </c>
      <c r="V849" t="s">
        <v>16522</v>
      </c>
      <c r="W849" t="s">
        <v>16523</v>
      </c>
      <c r="X849" t="s">
        <v>16524</v>
      </c>
      <c r="Y849" t="s">
        <v>16525</v>
      </c>
      <c r="Z849" t="s">
        <v>16526</v>
      </c>
      <c r="AA849" t="s">
        <v>16527</v>
      </c>
      <c r="AB849" t="s">
        <v>16528</v>
      </c>
      <c r="AC849" t="s">
        <v>16529</v>
      </c>
      <c r="AD849" t="s">
        <v>16530</v>
      </c>
      <c r="AE849" t="s">
        <v>16531</v>
      </c>
      <c r="AF849" t="s">
        <v>74</v>
      </c>
      <c r="AG849">
        <v>97</v>
      </c>
      <c r="AH849">
        <v>14</v>
      </c>
      <c r="AI849">
        <v>14</v>
      </c>
      <c r="AJ849">
        <v>1</v>
      </c>
      <c r="AK849">
        <v>7</v>
      </c>
      <c r="AL849" t="s">
        <v>492</v>
      </c>
      <c r="AM849" t="s">
        <v>493</v>
      </c>
      <c r="AN849" t="s">
        <v>494</v>
      </c>
      <c r="AO849" t="s">
        <v>74</v>
      </c>
      <c r="AP849" t="s">
        <v>16532</v>
      </c>
      <c r="AQ849" t="s">
        <v>74</v>
      </c>
      <c r="AR849" t="s">
        <v>16533</v>
      </c>
      <c r="AS849" t="s">
        <v>16534</v>
      </c>
      <c r="AT849" t="s">
        <v>16535</v>
      </c>
      <c r="AU849">
        <v>2021</v>
      </c>
      <c r="AV849">
        <v>8</v>
      </c>
      <c r="AW849">
        <v>1</v>
      </c>
      <c r="AX849" t="s">
        <v>74</v>
      </c>
      <c r="AY849" t="s">
        <v>74</v>
      </c>
      <c r="AZ849" t="s">
        <v>74</v>
      </c>
      <c r="BA849" t="s">
        <v>74</v>
      </c>
      <c r="BB849" t="s">
        <v>74</v>
      </c>
      <c r="BC849" t="s">
        <v>74</v>
      </c>
      <c r="BD849">
        <v>228</v>
      </c>
      <c r="BE849" t="s">
        <v>16536</v>
      </c>
      <c r="BF849" t="str">
        <f>HYPERLINK("http://dx.doi.org/10.1038/s41597-021-01009-3","http://dx.doi.org/10.1038/s41597-021-01009-3")</f>
        <v>http://dx.doi.org/10.1038/s41597-021-01009-3</v>
      </c>
      <c r="BG849" t="s">
        <v>74</v>
      </c>
      <c r="BH849" t="s">
        <v>74</v>
      </c>
      <c r="BI849">
        <v>18</v>
      </c>
      <c r="BJ849" t="s">
        <v>126</v>
      </c>
      <c r="BK849" t="s">
        <v>101</v>
      </c>
      <c r="BL849" t="s">
        <v>127</v>
      </c>
      <c r="BM849" t="s">
        <v>16537</v>
      </c>
      <c r="BN849" t="s">
        <v>74</v>
      </c>
      <c r="BO849" t="s">
        <v>2512</v>
      </c>
      <c r="BP849" t="s">
        <v>74</v>
      </c>
      <c r="BQ849" t="s">
        <v>74</v>
      </c>
      <c r="BR849" t="s">
        <v>105</v>
      </c>
      <c r="BS849" t="s">
        <v>16538</v>
      </c>
      <c r="BT849" t="str">
        <f>HYPERLINK("https%3A%2F%2Fwww.webofscience.com%2Fwos%2Fwoscc%2Ffull-record%2FWOS:000690951600001","View Full Record in Web of Science")</f>
        <v>View Full Record in Web of Science</v>
      </c>
    </row>
    <row r="850" spans="1:72" x14ac:dyDescent="0.15">
      <c r="A850" t="s">
        <v>72</v>
      </c>
      <c r="B850" t="s">
        <v>16539</v>
      </c>
      <c r="C850" t="s">
        <v>74</v>
      </c>
      <c r="D850" t="s">
        <v>74</v>
      </c>
      <c r="E850" t="s">
        <v>74</v>
      </c>
      <c r="F850" t="s">
        <v>16540</v>
      </c>
      <c r="G850" t="s">
        <v>74</v>
      </c>
      <c r="H850" t="s">
        <v>74</v>
      </c>
      <c r="I850" t="s">
        <v>16541</v>
      </c>
      <c r="J850" t="s">
        <v>348</v>
      </c>
      <c r="K850" t="s">
        <v>74</v>
      </c>
      <c r="L850" t="s">
        <v>74</v>
      </c>
      <c r="M850" t="s">
        <v>78</v>
      </c>
      <c r="N850" t="s">
        <v>79</v>
      </c>
      <c r="O850" t="s">
        <v>74</v>
      </c>
      <c r="P850" t="s">
        <v>74</v>
      </c>
      <c r="Q850" t="s">
        <v>74</v>
      </c>
      <c r="R850" t="s">
        <v>74</v>
      </c>
      <c r="S850" t="s">
        <v>74</v>
      </c>
      <c r="T850" t="s">
        <v>16542</v>
      </c>
      <c r="U850" t="s">
        <v>16543</v>
      </c>
      <c r="V850" t="s">
        <v>16544</v>
      </c>
      <c r="W850" t="s">
        <v>16545</v>
      </c>
      <c r="X850" t="s">
        <v>16546</v>
      </c>
      <c r="Y850" t="s">
        <v>16547</v>
      </c>
      <c r="Z850" t="s">
        <v>16548</v>
      </c>
      <c r="AA850" t="s">
        <v>16549</v>
      </c>
      <c r="AB850" t="s">
        <v>16550</v>
      </c>
      <c r="AC850" t="s">
        <v>16551</v>
      </c>
      <c r="AD850" t="s">
        <v>16552</v>
      </c>
      <c r="AE850" t="s">
        <v>16553</v>
      </c>
      <c r="AF850" t="s">
        <v>74</v>
      </c>
      <c r="AG850">
        <v>94</v>
      </c>
      <c r="AH850">
        <v>6</v>
      </c>
      <c r="AI850">
        <v>6</v>
      </c>
      <c r="AJ850">
        <v>0</v>
      </c>
      <c r="AK850">
        <v>6</v>
      </c>
      <c r="AL850" t="s">
        <v>255</v>
      </c>
      <c r="AM850" t="s">
        <v>256</v>
      </c>
      <c r="AN850" t="s">
        <v>257</v>
      </c>
      <c r="AO850" t="s">
        <v>359</v>
      </c>
      <c r="AP850" t="s">
        <v>360</v>
      </c>
      <c r="AQ850" t="s">
        <v>74</v>
      </c>
      <c r="AR850" t="s">
        <v>361</v>
      </c>
      <c r="AS850" t="s">
        <v>362</v>
      </c>
      <c r="AT850" t="s">
        <v>4170</v>
      </c>
      <c r="AU850">
        <v>2021</v>
      </c>
      <c r="AV850">
        <v>312</v>
      </c>
      <c r="AW850" t="s">
        <v>74</v>
      </c>
      <c r="AX850" t="s">
        <v>74</v>
      </c>
      <c r="AY850" t="s">
        <v>74</v>
      </c>
      <c r="AZ850" t="s">
        <v>74</v>
      </c>
      <c r="BA850" t="s">
        <v>74</v>
      </c>
      <c r="BB850">
        <v>25</v>
      </c>
      <c r="BC850">
        <v>43</v>
      </c>
      <c r="BD850" t="s">
        <v>74</v>
      </c>
      <c r="BE850" t="s">
        <v>16554</v>
      </c>
      <c r="BF850" t="str">
        <f>HYPERLINK("http://dx.doi.org/10.1016/j.gca.2021.08.009","http://dx.doi.org/10.1016/j.gca.2021.08.009")</f>
        <v>http://dx.doi.org/10.1016/j.gca.2021.08.009</v>
      </c>
      <c r="BG850" t="s">
        <v>74</v>
      </c>
      <c r="BH850" t="s">
        <v>16043</v>
      </c>
      <c r="BI850">
        <v>19</v>
      </c>
      <c r="BJ850" t="s">
        <v>365</v>
      </c>
      <c r="BK850" t="s">
        <v>101</v>
      </c>
      <c r="BL850" t="s">
        <v>365</v>
      </c>
      <c r="BM850" t="s">
        <v>16311</v>
      </c>
      <c r="BN850" t="s">
        <v>74</v>
      </c>
      <c r="BO850" t="s">
        <v>74</v>
      </c>
      <c r="BP850" t="s">
        <v>74</v>
      </c>
      <c r="BQ850" t="s">
        <v>74</v>
      </c>
      <c r="BR850" t="s">
        <v>105</v>
      </c>
      <c r="BS850" t="s">
        <v>16555</v>
      </c>
      <c r="BT850" t="str">
        <f>HYPERLINK("https%3A%2F%2Fwww.webofscience.com%2Fwos%2Fwoscc%2Ffull-record%2FWOS:000703167600002","View Full Record in Web of Science")</f>
        <v>View Full Record in Web of Science</v>
      </c>
    </row>
    <row r="851" spans="1:72" x14ac:dyDescent="0.15">
      <c r="A851" t="s">
        <v>72</v>
      </c>
      <c r="B851" t="s">
        <v>16556</v>
      </c>
      <c r="C851" t="s">
        <v>74</v>
      </c>
      <c r="D851" t="s">
        <v>74</v>
      </c>
      <c r="E851" t="s">
        <v>74</v>
      </c>
      <c r="F851" t="s">
        <v>16557</v>
      </c>
      <c r="G851" t="s">
        <v>74</v>
      </c>
      <c r="H851" t="s">
        <v>74</v>
      </c>
      <c r="I851" t="s">
        <v>16558</v>
      </c>
      <c r="J851" t="s">
        <v>5885</v>
      </c>
      <c r="K851" t="s">
        <v>74</v>
      </c>
      <c r="L851" t="s">
        <v>74</v>
      </c>
      <c r="M851" t="s">
        <v>78</v>
      </c>
      <c r="N851" t="s">
        <v>79</v>
      </c>
      <c r="O851" t="s">
        <v>74</v>
      </c>
      <c r="P851" t="s">
        <v>74</v>
      </c>
      <c r="Q851" t="s">
        <v>74</v>
      </c>
      <c r="R851" t="s">
        <v>74</v>
      </c>
      <c r="S851" t="s">
        <v>74</v>
      </c>
      <c r="T851" t="s">
        <v>16559</v>
      </c>
      <c r="U851" t="s">
        <v>16560</v>
      </c>
      <c r="V851" t="s">
        <v>16561</v>
      </c>
      <c r="W851" t="s">
        <v>16562</v>
      </c>
      <c r="X851" t="s">
        <v>16563</v>
      </c>
      <c r="Y851" t="s">
        <v>16564</v>
      </c>
      <c r="Z851" t="s">
        <v>16565</v>
      </c>
      <c r="AA851" t="s">
        <v>16566</v>
      </c>
      <c r="AB851" t="s">
        <v>16567</v>
      </c>
      <c r="AC851" t="s">
        <v>16568</v>
      </c>
      <c r="AD851" t="s">
        <v>16569</v>
      </c>
      <c r="AE851" t="s">
        <v>16570</v>
      </c>
      <c r="AF851" t="s">
        <v>74</v>
      </c>
      <c r="AG851">
        <v>97</v>
      </c>
      <c r="AH851">
        <v>34</v>
      </c>
      <c r="AI851">
        <v>36</v>
      </c>
      <c r="AJ851">
        <v>13</v>
      </c>
      <c r="AK851">
        <v>78</v>
      </c>
      <c r="AL851" t="s">
        <v>1326</v>
      </c>
      <c r="AM851" t="s">
        <v>256</v>
      </c>
      <c r="AN851" t="s">
        <v>1327</v>
      </c>
      <c r="AO851" t="s">
        <v>5896</v>
      </c>
      <c r="AP851" t="s">
        <v>5897</v>
      </c>
      <c r="AQ851" t="s">
        <v>74</v>
      </c>
      <c r="AR851" t="s">
        <v>5898</v>
      </c>
      <c r="AS851" t="s">
        <v>5899</v>
      </c>
      <c r="AT851" t="s">
        <v>204</v>
      </c>
      <c r="AU851">
        <v>2021</v>
      </c>
      <c r="AV851">
        <v>290</v>
      </c>
      <c r="AW851" t="s">
        <v>74</v>
      </c>
      <c r="AX851" t="s">
        <v>74</v>
      </c>
      <c r="AY851" t="s">
        <v>74</v>
      </c>
      <c r="AZ851" t="s">
        <v>74</v>
      </c>
      <c r="BA851" t="s">
        <v>74</v>
      </c>
      <c r="BB851" t="s">
        <v>74</v>
      </c>
      <c r="BC851" t="s">
        <v>74</v>
      </c>
      <c r="BD851">
        <v>118030</v>
      </c>
      <c r="BE851" t="s">
        <v>16571</v>
      </c>
      <c r="BF851" t="str">
        <f>HYPERLINK("http://dx.doi.org/10.1016/j.envpol.2021.118030","http://dx.doi.org/10.1016/j.envpol.2021.118030")</f>
        <v>http://dx.doi.org/10.1016/j.envpol.2021.118030</v>
      </c>
      <c r="BG851" t="s">
        <v>74</v>
      </c>
      <c r="BH851" t="s">
        <v>16043</v>
      </c>
      <c r="BI851">
        <v>11</v>
      </c>
      <c r="BJ851" t="s">
        <v>856</v>
      </c>
      <c r="BK851" t="s">
        <v>101</v>
      </c>
      <c r="BL851" t="s">
        <v>630</v>
      </c>
      <c r="BM851" t="s">
        <v>16572</v>
      </c>
      <c r="BN851">
        <v>34461419</v>
      </c>
      <c r="BO851" t="s">
        <v>74</v>
      </c>
      <c r="BP851" t="s">
        <v>74</v>
      </c>
      <c r="BQ851" t="s">
        <v>74</v>
      </c>
      <c r="BR851" t="s">
        <v>105</v>
      </c>
      <c r="BS851" t="s">
        <v>16573</v>
      </c>
      <c r="BT851" t="str">
        <f>HYPERLINK("https%3A%2F%2Fwww.webofscience.com%2Fwos%2Fwoscc%2Ffull-record%2FWOS:000696710800010","View Full Record in Web of Science")</f>
        <v>View Full Record in Web of Science</v>
      </c>
    </row>
    <row r="852" spans="1:72" x14ac:dyDescent="0.15">
      <c r="A852" t="s">
        <v>72</v>
      </c>
      <c r="B852" t="s">
        <v>16574</v>
      </c>
      <c r="C852" t="s">
        <v>74</v>
      </c>
      <c r="D852" t="s">
        <v>74</v>
      </c>
      <c r="E852" t="s">
        <v>74</v>
      </c>
      <c r="F852" t="s">
        <v>16575</v>
      </c>
      <c r="G852" t="s">
        <v>74</v>
      </c>
      <c r="H852" t="s">
        <v>74</v>
      </c>
      <c r="I852" t="s">
        <v>16576</v>
      </c>
      <c r="J852" t="s">
        <v>1058</v>
      </c>
      <c r="K852" t="s">
        <v>74</v>
      </c>
      <c r="L852" t="s">
        <v>74</v>
      </c>
      <c r="M852" t="s">
        <v>78</v>
      </c>
      <c r="N852" t="s">
        <v>79</v>
      </c>
      <c r="O852" t="s">
        <v>74</v>
      </c>
      <c r="P852" t="s">
        <v>74</v>
      </c>
      <c r="Q852" t="s">
        <v>74</v>
      </c>
      <c r="R852" t="s">
        <v>74</v>
      </c>
      <c r="S852" t="s">
        <v>74</v>
      </c>
      <c r="T852" t="s">
        <v>74</v>
      </c>
      <c r="U852" t="s">
        <v>16577</v>
      </c>
      <c r="V852" t="s">
        <v>16578</v>
      </c>
      <c r="W852" t="s">
        <v>16579</v>
      </c>
      <c r="X852" t="s">
        <v>16580</v>
      </c>
      <c r="Y852" t="s">
        <v>16581</v>
      </c>
      <c r="Z852" t="s">
        <v>16582</v>
      </c>
      <c r="AA852" t="s">
        <v>16583</v>
      </c>
      <c r="AB852" t="s">
        <v>16584</v>
      </c>
      <c r="AC852" t="s">
        <v>16585</v>
      </c>
      <c r="AD852" t="s">
        <v>16586</v>
      </c>
      <c r="AE852" t="s">
        <v>16587</v>
      </c>
      <c r="AF852" t="s">
        <v>74</v>
      </c>
      <c r="AG852">
        <v>75</v>
      </c>
      <c r="AH852">
        <v>7</v>
      </c>
      <c r="AI852">
        <v>8</v>
      </c>
      <c r="AJ852">
        <v>2</v>
      </c>
      <c r="AK852">
        <v>6</v>
      </c>
      <c r="AL852" t="s">
        <v>227</v>
      </c>
      <c r="AM852" t="s">
        <v>228</v>
      </c>
      <c r="AN852" t="s">
        <v>229</v>
      </c>
      <c r="AO852" t="s">
        <v>1065</v>
      </c>
      <c r="AP852" t="s">
        <v>1066</v>
      </c>
      <c r="AQ852" t="s">
        <v>74</v>
      </c>
      <c r="AR852" t="s">
        <v>1058</v>
      </c>
      <c r="AS852" t="s">
        <v>1067</v>
      </c>
      <c r="AT852" t="s">
        <v>16535</v>
      </c>
      <c r="AU852">
        <v>2021</v>
      </c>
      <c r="AV852">
        <v>15</v>
      </c>
      <c r="AW852">
        <v>8</v>
      </c>
      <c r="AX852" t="s">
        <v>74</v>
      </c>
      <c r="AY852" t="s">
        <v>74</v>
      </c>
      <c r="AZ852" t="s">
        <v>74</v>
      </c>
      <c r="BA852" t="s">
        <v>74</v>
      </c>
      <c r="BB852">
        <v>4117</v>
      </c>
      <c r="BC852">
        <v>4133</v>
      </c>
      <c r="BD852" t="s">
        <v>74</v>
      </c>
      <c r="BE852" t="s">
        <v>16588</v>
      </c>
      <c r="BF852" t="str">
        <f>HYPERLINK("http://dx.doi.org/10.5194/tc-15-4117-2021","http://dx.doi.org/10.5194/tc-15-4117-2021")</f>
        <v>http://dx.doi.org/10.5194/tc-15-4117-2021</v>
      </c>
      <c r="BG852" t="s">
        <v>74</v>
      </c>
      <c r="BH852" t="s">
        <v>74</v>
      </c>
      <c r="BI852">
        <v>17</v>
      </c>
      <c r="BJ852" t="s">
        <v>340</v>
      </c>
      <c r="BK852" t="s">
        <v>101</v>
      </c>
      <c r="BL852" t="s">
        <v>341</v>
      </c>
      <c r="BM852" t="s">
        <v>16589</v>
      </c>
      <c r="BN852" t="s">
        <v>74</v>
      </c>
      <c r="BO852" t="s">
        <v>3985</v>
      </c>
      <c r="BP852" t="s">
        <v>74</v>
      </c>
      <c r="BQ852" t="s">
        <v>74</v>
      </c>
      <c r="BR852" t="s">
        <v>105</v>
      </c>
      <c r="BS852" t="s">
        <v>16590</v>
      </c>
      <c r="BT852" t="str">
        <f>HYPERLINK("https%3A%2F%2Fwww.webofscience.com%2Fwos%2Fwoscc%2Ffull-record%2FWOS:000692000000001","View Full Record in Web of Science")</f>
        <v>View Full Record in Web of Science</v>
      </c>
    </row>
    <row r="853" spans="1:72" x14ac:dyDescent="0.15">
      <c r="A853" t="s">
        <v>72</v>
      </c>
      <c r="B853" t="s">
        <v>16591</v>
      </c>
      <c r="C853" t="s">
        <v>74</v>
      </c>
      <c r="D853" t="s">
        <v>74</v>
      </c>
      <c r="E853" t="s">
        <v>74</v>
      </c>
      <c r="F853" t="s">
        <v>16592</v>
      </c>
      <c r="G853" t="s">
        <v>74</v>
      </c>
      <c r="H853" t="s">
        <v>74</v>
      </c>
      <c r="I853" t="s">
        <v>16593</v>
      </c>
      <c r="J853" t="s">
        <v>16594</v>
      </c>
      <c r="K853" t="s">
        <v>74</v>
      </c>
      <c r="L853" t="s">
        <v>74</v>
      </c>
      <c r="M853" t="s">
        <v>78</v>
      </c>
      <c r="N853" t="s">
        <v>79</v>
      </c>
      <c r="O853" t="s">
        <v>74</v>
      </c>
      <c r="P853" t="s">
        <v>74</v>
      </c>
      <c r="Q853" t="s">
        <v>74</v>
      </c>
      <c r="R853" t="s">
        <v>74</v>
      </c>
      <c r="S853" t="s">
        <v>74</v>
      </c>
      <c r="T853" t="s">
        <v>74</v>
      </c>
      <c r="U853" t="s">
        <v>16595</v>
      </c>
      <c r="V853" t="s">
        <v>16596</v>
      </c>
      <c r="W853" t="s">
        <v>16597</v>
      </c>
      <c r="X853" t="s">
        <v>16598</v>
      </c>
      <c r="Y853" t="s">
        <v>16599</v>
      </c>
      <c r="Z853" t="s">
        <v>16600</v>
      </c>
      <c r="AA853" t="s">
        <v>16601</v>
      </c>
      <c r="AB853" t="s">
        <v>74</v>
      </c>
      <c r="AC853" t="s">
        <v>16602</v>
      </c>
      <c r="AD853" t="s">
        <v>16603</v>
      </c>
      <c r="AE853" t="s">
        <v>16604</v>
      </c>
      <c r="AF853" t="s">
        <v>74</v>
      </c>
      <c r="AG853">
        <v>59</v>
      </c>
      <c r="AH853">
        <v>4</v>
      </c>
      <c r="AI853">
        <v>6</v>
      </c>
      <c r="AJ853">
        <v>4</v>
      </c>
      <c r="AK853">
        <v>38</v>
      </c>
      <c r="AL853" t="s">
        <v>572</v>
      </c>
      <c r="AM853" t="s">
        <v>573</v>
      </c>
      <c r="AN853" t="s">
        <v>574</v>
      </c>
      <c r="AO853" t="s">
        <v>16605</v>
      </c>
      <c r="AP853" t="s">
        <v>16606</v>
      </c>
      <c r="AQ853" t="s">
        <v>74</v>
      </c>
      <c r="AR853" t="s">
        <v>16607</v>
      </c>
      <c r="AS853" t="s">
        <v>16608</v>
      </c>
      <c r="AT853" t="s">
        <v>7760</v>
      </c>
      <c r="AU853">
        <v>2021</v>
      </c>
      <c r="AV853">
        <v>83</v>
      </c>
      <c r="AW853">
        <v>4</v>
      </c>
      <c r="AX853" t="s">
        <v>74</v>
      </c>
      <c r="AY853" t="s">
        <v>74</v>
      </c>
      <c r="AZ853" t="s">
        <v>74</v>
      </c>
      <c r="BA853" t="s">
        <v>74</v>
      </c>
      <c r="BB853">
        <v>255</v>
      </c>
      <c r="BC853">
        <v>266</v>
      </c>
      <c r="BD853" t="s">
        <v>74</v>
      </c>
      <c r="BE853" t="s">
        <v>16609</v>
      </c>
      <c r="BF853" t="str">
        <f>HYPERLINK("http://dx.doi.org/10.1002/naaq.10185","http://dx.doi.org/10.1002/naaq.10185")</f>
        <v>http://dx.doi.org/10.1002/naaq.10185</v>
      </c>
      <c r="BG853" t="s">
        <v>74</v>
      </c>
      <c r="BH853" t="s">
        <v>16043</v>
      </c>
      <c r="BI853">
        <v>12</v>
      </c>
      <c r="BJ853" t="s">
        <v>700</v>
      </c>
      <c r="BK853" t="s">
        <v>101</v>
      </c>
      <c r="BL853" t="s">
        <v>700</v>
      </c>
      <c r="BM853" t="s">
        <v>16610</v>
      </c>
      <c r="BN853" t="s">
        <v>74</v>
      </c>
      <c r="BO853" t="s">
        <v>74</v>
      </c>
      <c r="BP853" t="s">
        <v>74</v>
      </c>
      <c r="BQ853" t="s">
        <v>74</v>
      </c>
      <c r="BR853" t="s">
        <v>105</v>
      </c>
      <c r="BS853" t="s">
        <v>16611</v>
      </c>
      <c r="BT853" t="str">
        <f>HYPERLINK("https%3A%2F%2Fwww.webofscience.com%2Fwos%2Fwoscc%2Ffull-record%2FWOS:000689684400001","View Full Record in Web of Science")</f>
        <v>View Full Record in Web of Science</v>
      </c>
    </row>
    <row r="854" spans="1:72" x14ac:dyDescent="0.15">
      <c r="A854" t="s">
        <v>72</v>
      </c>
      <c r="B854" t="s">
        <v>16612</v>
      </c>
      <c r="C854" t="s">
        <v>74</v>
      </c>
      <c r="D854" t="s">
        <v>74</v>
      </c>
      <c r="E854" t="s">
        <v>74</v>
      </c>
      <c r="F854" t="s">
        <v>16613</v>
      </c>
      <c r="G854" t="s">
        <v>74</v>
      </c>
      <c r="H854" t="s">
        <v>74</v>
      </c>
      <c r="I854" t="s">
        <v>16614</v>
      </c>
      <c r="J854" t="s">
        <v>3228</v>
      </c>
      <c r="K854" t="s">
        <v>74</v>
      </c>
      <c r="L854" t="s">
        <v>74</v>
      </c>
      <c r="M854" t="s">
        <v>78</v>
      </c>
      <c r="N854" t="s">
        <v>79</v>
      </c>
      <c r="O854" t="s">
        <v>74</v>
      </c>
      <c r="P854" t="s">
        <v>74</v>
      </c>
      <c r="Q854" t="s">
        <v>74</v>
      </c>
      <c r="R854" t="s">
        <v>74</v>
      </c>
      <c r="S854" t="s">
        <v>74</v>
      </c>
      <c r="T854" t="s">
        <v>16615</v>
      </c>
      <c r="U854" t="s">
        <v>16616</v>
      </c>
      <c r="V854" t="s">
        <v>16617</v>
      </c>
      <c r="W854" t="s">
        <v>16618</v>
      </c>
      <c r="X854" t="s">
        <v>16619</v>
      </c>
      <c r="Y854" t="s">
        <v>16620</v>
      </c>
      <c r="Z854" t="s">
        <v>12175</v>
      </c>
      <c r="AA854" t="s">
        <v>16621</v>
      </c>
      <c r="AB854" t="s">
        <v>16622</v>
      </c>
      <c r="AC854" t="s">
        <v>16623</v>
      </c>
      <c r="AD854" t="s">
        <v>16624</v>
      </c>
      <c r="AE854" t="s">
        <v>16625</v>
      </c>
      <c r="AF854" t="s">
        <v>74</v>
      </c>
      <c r="AG854">
        <v>129</v>
      </c>
      <c r="AH854">
        <v>12</v>
      </c>
      <c r="AI854">
        <v>12</v>
      </c>
      <c r="AJ854">
        <v>1</v>
      </c>
      <c r="AK854">
        <v>15</v>
      </c>
      <c r="AL854" t="s">
        <v>847</v>
      </c>
      <c r="AM854" t="s">
        <v>848</v>
      </c>
      <c r="AN854" t="s">
        <v>849</v>
      </c>
      <c r="AO854" t="s">
        <v>3238</v>
      </c>
      <c r="AP854" t="s">
        <v>3239</v>
      </c>
      <c r="AQ854" t="s">
        <v>74</v>
      </c>
      <c r="AR854" t="s">
        <v>3240</v>
      </c>
      <c r="AS854" t="s">
        <v>3241</v>
      </c>
      <c r="AT854" t="s">
        <v>310</v>
      </c>
      <c r="AU854">
        <v>2021</v>
      </c>
      <c r="AV854">
        <v>441</v>
      </c>
      <c r="AW854" t="s">
        <v>74</v>
      </c>
      <c r="AX854" t="s">
        <v>74</v>
      </c>
      <c r="AY854" t="s">
        <v>74</v>
      </c>
      <c r="AZ854" t="s">
        <v>74</v>
      </c>
      <c r="BA854" t="s">
        <v>74</v>
      </c>
      <c r="BB854" t="s">
        <v>74</v>
      </c>
      <c r="BC854" t="s">
        <v>74</v>
      </c>
      <c r="BD854">
        <v>106596</v>
      </c>
      <c r="BE854" t="s">
        <v>16626</v>
      </c>
      <c r="BF854" t="str">
        <f>HYPERLINK("http://dx.doi.org/10.1016/j.margeo.2021.106596","http://dx.doi.org/10.1016/j.margeo.2021.106596")</f>
        <v>http://dx.doi.org/10.1016/j.margeo.2021.106596</v>
      </c>
      <c r="BG854" t="s">
        <v>74</v>
      </c>
      <c r="BH854" t="s">
        <v>16043</v>
      </c>
      <c r="BI854">
        <v>20</v>
      </c>
      <c r="BJ854" t="s">
        <v>177</v>
      </c>
      <c r="BK854" t="s">
        <v>101</v>
      </c>
      <c r="BL854" t="s">
        <v>178</v>
      </c>
      <c r="BM854" t="s">
        <v>13458</v>
      </c>
      <c r="BN854" t="s">
        <v>74</v>
      </c>
      <c r="BO854" t="s">
        <v>2241</v>
      </c>
      <c r="BP854" t="s">
        <v>74</v>
      </c>
      <c r="BQ854" t="s">
        <v>74</v>
      </c>
      <c r="BR854" t="s">
        <v>105</v>
      </c>
      <c r="BS854" t="s">
        <v>16627</v>
      </c>
      <c r="BT854" t="str">
        <f>HYPERLINK("https%3A%2F%2Fwww.webofscience.com%2Fwos%2Fwoscc%2Ffull-record%2FWOS:000697734600002","View Full Record in Web of Science")</f>
        <v>View Full Record in Web of Science</v>
      </c>
    </row>
    <row r="855" spans="1:72" x14ac:dyDescent="0.15">
      <c r="A855" t="s">
        <v>72</v>
      </c>
      <c r="B855" t="s">
        <v>16628</v>
      </c>
      <c r="C855" t="s">
        <v>74</v>
      </c>
      <c r="D855" t="s">
        <v>74</v>
      </c>
      <c r="E855" t="s">
        <v>74</v>
      </c>
      <c r="F855" t="s">
        <v>16629</v>
      </c>
      <c r="G855" t="s">
        <v>74</v>
      </c>
      <c r="H855" t="s">
        <v>74</v>
      </c>
      <c r="I855" t="s">
        <v>16630</v>
      </c>
      <c r="J855" t="s">
        <v>11346</v>
      </c>
      <c r="K855" t="s">
        <v>74</v>
      </c>
      <c r="L855" t="s">
        <v>74</v>
      </c>
      <c r="M855" t="s">
        <v>78</v>
      </c>
      <c r="N855" t="s">
        <v>373</v>
      </c>
      <c r="O855" t="s">
        <v>74</v>
      </c>
      <c r="P855" t="s">
        <v>74</v>
      </c>
      <c r="Q855" t="s">
        <v>74</v>
      </c>
      <c r="R855" t="s">
        <v>74</v>
      </c>
      <c r="S855" t="s">
        <v>74</v>
      </c>
      <c r="T855" t="s">
        <v>16631</v>
      </c>
      <c r="U855" t="s">
        <v>16632</v>
      </c>
      <c r="V855" t="s">
        <v>16633</v>
      </c>
      <c r="W855" t="s">
        <v>16634</v>
      </c>
      <c r="X855" t="s">
        <v>16635</v>
      </c>
      <c r="Y855" t="s">
        <v>16636</v>
      </c>
      <c r="Z855" t="s">
        <v>16637</v>
      </c>
      <c r="AA855" t="s">
        <v>16638</v>
      </c>
      <c r="AB855" t="s">
        <v>16639</v>
      </c>
      <c r="AC855" t="s">
        <v>16640</v>
      </c>
      <c r="AD855" t="s">
        <v>16641</v>
      </c>
      <c r="AE855" t="s">
        <v>16642</v>
      </c>
      <c r="AF855" t="s">
        <v>74</v>
      </c>
      <c r="AG855">
        <v>62</v>
      </c>
      <c r="AH855">
        <v>35</v>
      </c>
      <c r="AI855">
        <v>36</v>
      </c>
      <c r="AJ855">
        <v>1</v>
      </c>
      <c r="AK855">
        <v>37</v>
      </c>
      <c r="AL855" t="s">
        <v>255</v>
      </c>
      <c r="AM855" t="s">
        <v>256</v>
      </c>
      <c r="AN855" t="s">
        <v>257</v>
      </c>
      <c r="AO855" t="s">
        <v>11356</v>
      </c>
      <c r="AP855" t="s">
        <v>11357</v>
      </c>
      <c r="AQ855" t="s">
        <v>74</v>
      </c>
      <c r="AR855" t="s">
        <v>11358</v>
      </c>
      <c r="AS855" t="s">
        <v>11359</v>
      </c>
      <c r="AT855" t="s">
        <v>310</v>
      </c>
      <c r="AU855">
        <v>2021</v>
      </c>
      <c r="AV855">
        <v>198</v>
      </c>
      <c r="AW855" t="s">
        <v>74</v>
      </c>
      <c r="AX855" t="s">
        <v>74</v>
      </c>
      <c r="AY855" t="s">
        <v>74</v>
      </c>
      <c r="AZ855" t="s">
        <v>74</v>
      </c>
      <c r="BA855" t="s">
        <v>74</v>
      </c>
      <c r="BB855" t="s">
        <v>74</v>
      </c>
      <c r="BC855" t="s">
        <v>74</v>
      </c>
      <c r="BD855">
        <v>102659</v>
      </c>
      <c r="BE855" t="s">
        <v>16643</v>
      </c>
      <c r="BF855" t="str">
        <f>HYPERLINK("http://dx.doi.org/10.1016/j.pocean.2021.102659","http://dx.doi.org/10.1016/j.pocean.2021.102659")</f>
        <v>http://dx.doi.org/10.1016/j.pocean.2021.102659</v>
      </c>
      <c r="BG855" t="s">
        <v>74</v>
      </c>
      <c r="BH855" t="s">
        <v>16043</v>
      </c>
      <c r="BI855">
        <v>16</v>
      </c>
      <c r="BJ855" t="s">
        <v>264</v>
      </c>
      <c r="BK855" t="s">
        <v>101</v>
      </c>
      <c r="BL855" t="s">
        <v>264</v>
      </c>
      <c r="BM855" t="s">
        <v>16644</v>
      </c>
      <c r="BN855" t="s">
        <v>74</v>
      </c>
      <c r="BO855" t="s">
        <v>7354</v>
      </c>
      <c r="BP855" t="s">
        <v>74</v>
      </c>
      <c r="BQ855" t="s">
        <v>74</v>
      </c>
      <c r="BR855" t="s">
        <v>105</v>
      </c>
      <c r="BS855" t="s">
        <v>16645</v>
      </c>
      <c r="BT855" t="str">
        <f>HYPERLINK("https%3A%2F%2Fwww.webofscience.com%2Fwos%2Fwoscc%2Ffull-record%2FWOS:000703808100001","View Full Record in Web of Science")</f>
        <v>View Full Record in Web of Science</v>
      </c>
    </row>
    <row r="856" spans="1:72" x14ac:dyDescent="0.15">
      <c r="A856" t="s">
        <v>72</v>
      </c>
      <c r="B856" t="s">
        <v>16646</v>
      </c>
      <c r="C856" t="s">
        <v>74</v>
      </c>
      <c r="D856" t="s">
        <v>74</v>
      </c>
      <c r="E856" t="s">
        <v>74</v>
      </c>
      <c r="F856" t="s">
        <v>16647</v>
      </c>
      <c r="G856" t="s">
        <v>74</v>
      </c>
      <c r="H856" t="s">
        <v>74</v>
      </c>
      <c r="I856" t="s">
        <v>16648</v>
      </c>
      <c r="J856" t="s">
        <v>12305</v>
      </c>
      <c r="K856" t="s">
        <v>74</v>
      </c>
      <c r="L856" t="s">
        <v>74</v>
      </c>
      <c r="M856" t="s">
        <v>78</v>
      </c>
      <c r="N856" t="s">
        <v>79</v>
      </c>
      <c r="O856" t="s">
        <v>74</v>
      </c>
      <c r="P856" t="s">
        <v>74</v>
      </c>
      <c r="Q856" t="s">
        <v>74</v>
      </c>
      <c r="R856" t="s">
        <v>74</v>
      </c>
      <c r="S856" t="s">
        <v>74</v>
      </c>
      <c r="T856" t="s">
        <v>16649</v>
      </c>
      <c r="U856" t="s">
        <v>16650</v>
      </c>
      <c r="V856" t="s">
        <v>16651</v>
      </c>
      <c r="W856" t="s">
        <v>16652</v>
      </c>
      <c r="X856" t="s">
        <v>16653</v>
      </c>
      <c r="Y856" t="s">
        <v>16654</v>
      </c>
      <c r="Z856" t="s">
        <v>16655</v>
      </c>
      <c r="AA856" t="s">
        <v>74</v>
      </c>
      <c r="AB856" t="s">
        <v>16656</v>
      </c>
      <c r="AC856" t="s">
        <v>74</v>
      </c>
      <c r="AD856" t="s">
        <v>74</v>
      </c>
      <c r="AE856" t="s">
        <v>74</v>
      </c>
      <c r="AF856" t="s">
        <v>74</v>
      </c>
      <c r="AG856">
        <v>118</v>
      </c>
      <c r="AH856">
        <v>34</v>
      </c>
      <c r="AI856">
        <v>34</v>
      </c>
      <c r="AJ856">
        <v>1</v>
      </c>
      <c r="AK856">
        <v>3</v>
      </c>
      <c r="AL856" t="s">
        <v>169</v>
      </c>
      <c r="AM856" t="s">
        <v>520</v>
      </c>
      <c r="AN856" t="s">
        <v>521</v>
      </c>
      <c r="AO856" t="s">
        <v>12317</v>
      </c>
      <c r="AP856" t="s">
        <v>12318</v>
      </c>
      <c r="AQ856" t="s">
        <v>74</v>
      </c>
      <c r="AR856" t="s">
        <v>12319</v>
      </c>
      <c r="AS856" t="s">
        <v>12320</v>
      </c>
      <c r="AT856" t="s">
        <v>338</v>
      </c>
      <c r="AU856">
        <v>2022</v>
      </c>
      <c r="AV856">
        <v>32</v>
      </c>
      <c r="AW856">
        <v>1</v>
      </c>
      <c r="AX856" t="s">
        <v>74</v>
      </c>
      <c r="AY856" t="s">
        <v>74</v>
      </c>
      <c r="AZ856" t="s">
        <v>526</v>
      </c>
      <c r="BA856" t="s">
        <v>74</v>
      </c>
      <c r="BB856">
        <v>271</v>
      </c>
      <c r="BC856">
        <v>296</v>
      </c>
      <c r="BD856" t="s">
        <v>74</v>
      </c>
      <c r="BE856" t="s">
        <v>16657</v>
      </c>
      <c r="BF856" t="str">
        <f>HYPERLINK("http://dx.doi.org/10.1007/s11160-021-09679-3","http://dx.doi.org/10.1007/s11160-021-09679-3")</f>
        <v>http://dx.doi.org/10.1007/s11160-021-09679-3</v>
      </c>
      <c r="BG856" t="s">
        <v>74</v>
      </c>
      <c r="BH856" t="s">
        <v>16043</v>
      </c>
      <c r="BI856">
        <v>26</v>
      </c>
      <c r="BJ856" t="s">
        <v>2624</v>
      </c>
      <c r="BK856" t="s">
        <v>207</v>
      </c>
      <c r="BL856" t="s">
        <v>2624</v>
      </c>
      <c r="BM856" t="s">
        <v>12322</v>
      </c>
      <c r="BN856">
        <v>34465946</v>
      </c>
      <c r="BO856" t="s">
        <v>7354</v>
      </c>
      <c r="BP856" t="s">
        <v>74</v>
      </c>
      <c r="BQ856" t="s">
        <v>74</v>
      </c>
      <c r="BR856" t="s">
        <v>105</v>
      </c>
      <c r="BS856" t="s">
        <v>16658</v>
      </c>
      <c r="BT856" t="str">
        <f>HYPERLINK("https%3A%2F%2Fwww.webofscience.com%2Fwos%2Fwoscc%2Ffull-record%2FWOS:000690348200001","View Full Record in Web of Science")</f>
        <v>View Full Record in Web of Science</v>
      </c>
    </row>
    <row r="857" spans="1:72" x14ac:dyDescent="0.15">
      <c r="A857" t="s">
        <v>72</v>
      </c>
      <c r="B857" t="s">
        <v>16659</v>
      </c>
      <c r="C857" t="s">
        <v>74</v>
      </c>
      <c r="D857" t="s">
        <v>74</v>
      </c>
      <c r="E857" t="s">
        <v>74</v>
      </c>
      <c r="F857" t="s">
        <v>16660</v>
      </c>
      <c r="G857" t="s">
        <v>74</v>
      </c>
      <c r="H857" t="s">
        <v>74</v>
      </c>
      <c r="I857" t="s">
        <v>16661</v>
      </c>
      <c r="J857" t="s">
        <v>725</v>
      </c>
      <c r="K857" t="s">
        <v>74</v>
      </c>
      <c r="L857" t="s">
        <v>74</v>
      </c>
      <c r="M857" t="s">
        <v>78</v>
      </c>
      <c r="N857" t="s">
        <v>79</v>
      </c>
      <c r="O857" t="s">
        <v>74</v>
      </c>
      <c r="P857" t="s">
        <v>74</v>
      </c>
      <c r="Q857" t="s">
        <v>74</v>
      </c>
      <c r="R857" t="s">
        <v>74</v>
      </c>
      <c r="S857" t="s">
        <v>74</v>
      </c>
      <c r="T857" t="s">
        <v>74</v>
      </c>
      <c r="U857" t="s">
        <v>16662</v>
      </c>
      <c r="V857" t="s">
        <v>16663</v>
      </c>
      <c r="W857" t="s">
        <v>16664</v>
      </c>
      <c r="X857" t="s">
        <v>16665</v>
      </c>
      <c r="Y857" t="s">
        <v>4688</v>
      </c>
      <c r="Z857" t="s">
        <v>4689</v>
      </c>
      <c r="AA857" t="s">
        <v>16666</v>
      </c>
      <c r="AB857" t="s">
        <v>16667</v>
      </c>
      <c r="AC857" t="s">
        <v>16668</v>
      </c>
      <c r="AD857" t="s">
        <v>16669</v>
      </c>
      <c r="AE857" t="s">
        <v>16670</v>
      </c>
      <c r="AF857" t="s">
        <v>74</v>
      </c>
      <c r="AG857">
        <v>48</v>
      </c>
      <c r="AH857">
        <v>22</v>
      </c>
      <c r="AI857">
        <v>22</v>
      </c>
      <c r="AJ857">
        <v>5</v>
      </c>
      <c r="AK857">
        <v>13</v>
      </c>
      <c r="AL857" t="s">
        <v>492</v>
      </c>
      <c r="AM857" t="s">
        <v>493</v>
      </c>
      <c r="AN857" t="s">
        <v>494</v>
      </c>
      <c r="AO857" t="s">
        <v>737</v>
      </c>
      <c r="AP857" t="s">
        <v>738</v>
      </c>
      <c r="AQ857" t="s">
        <v>74</v>
      </c>
      <c r="AR857" t="s">
        <v>739</v>
      </c>
      <c r="AS857" t="s">
        <v>740</v>
      </c>
      <c r="AT857" t="s">
        <v>7760</v>
      </c>
      <c r="AU857">
        <v>2021</v>
      </c>
      <c r="AV857">
        <v>14</v>
      </c>
      <c r="AW857">
        <v>10</v>
      </c>
      <c r="AX857" t="s">
        <v>74</v>
      </c>
      <c r="AY857" t="s">
        <v>74</v>
      </c>
      <c r="AZ857" t="s">
        <v>74</v>
      </c>
      <c r="BA857" t="s">
        <v>74</v>
      </c>
      <c r="BB857">
        <v>732</v>
      </c>
      <c r="BC857" t="s">
        <v>499</v>
      </c>
      <c r="BD857" t="s">
        <v>74</v>
      </c>
      <c r="BE857" t="s">
        <v>16671</v>
      </c>
      <c r="BF857" t="str">
        <f>HYPERLINK("http://dx.doi.org/10.1038/s41561-021-00811-3","http://dx.doi.org/10.1038/s41561-021-00811-3")</f>
        <v>http://dx.doi.org/10.1038/s41561-021-00811-3</v>
      </c>
      <c r="BG857" t="s">
        <v>74</v>
      </c>
      <c r="BH857" t="s">
        <v>16043</v>
      </c>
      <c r="BI857">
        <v>18</v>
      </c>
      <c r="BJ857" t="s">
        <v>236</v>
      </c>
      <c r="BK857" t="s">
        <v>101</v>
      </c>
      <c r="BL857" t="s">
        <v>237</v>
      </c>
      <c r="BM857" t="s">
        <v>13341</v>
      </c>
      <c r="BN857" t="s">
        <v>74</v>
      </c>
      <c r="BO857" t="s">
        <v>419</v>
      </c>
      <c r="BP857" t="s">
        <v>74</v>
      </c>
      <c r="BQ857" t="s">
        <v>74</v>
      </c>
      <c r="BR857" t="s">
        <v>105</v>
      </c>
      <c r="BS857" t="s">
        <v>16672</v>
      </c>
      <c r="BT857" t="str">
        <f>HYPERLINK("https%3A%2F%2Fwww.webofscience.com%2Fwos%2Fwoscc%2Ffull-record%2FWOS:000689655300001","View Full Record in Web of Science")</f>
        <v>View Full Record in Web of Science</v>
      </c>
    </row>
    <row r="858" spans="1:72" x14ac:dyDescent="0.15">
      <c r="A858" t="s">
        <v>72</v>
      </c>
      <c r="B858" t="s">
        <v>16673</v>
      </c>
      <c r="C858" t="s">
        <v>74</v>
      </c>
      <c r="D858" t="s">
        <v>74</v>
      </c>
      <c r="E858" t="s">
        <v>74</v>
      </c>
      <c r="F858" t="s">
        <v>16674</v>
      </c>
      <c r="G858" t="s">
        <v>74</v>
      </c>
      <c r="H858" t="s">
        <v>74</v>
      </c>
      <c r="I858" t="s">
        <v>16675</v>
      </c>
      <c r="J858" t="s">
        <v>1253</v>
      </c>
      <c r="K858" t="s">
        <v>74</v>
      </c>
      <c r="L858" t="s">
        <v>74</v>
      </c>
      <c r="M858" t="s">
        <v>78</v>
      </c>
      <c r="N858" t="s">
        <v>79</v>
      </c>
      <c r="O858" t="s">
        <v>74</v>
      </c>
      <c r="P858" t="s">
        <v>74</v>
      </c>
      <c r="Q858" t="s">
        <v>74</v>
      </c>
      <c r="R858" t="s">
        <v>74</v>
      </c>
      <c r="S858" t="s">
        <v>74</v>
      </c>
      <c r="T858" t="s">
        <v>16676</v>
      </c>
      <c r="U858" t="s">
        <v>16677</v>
      </c>
      <c r="V858" t="s">
        <v>16678</v>
      </c>
      <c r="W858" t="s">
        <v>16679</v>
      </c>
      <c r="X858" t="s">
        <v>16680</v>
      </c>
      <c r="Y858" t="s">
        <v>16681</v>
      </c>
      <c r="Z858" t="s">
        <v>16682</v>
      </c>
      <c r="AA858" t="s">
        <v>16683</v>
      </c>
      <c r="AB858" t="s">
        <v>16684</v>
      </c>
      <c r="AC858" t="s">
        <v>16685</v>
      </c>
      <c r="AD858" t="s">
        <v>16686</v>
      </c>
      <c r="AE858" t="s">
        <v>16687</v>
      </c>
      <c r="AF858" t="s">
        <v>74</v>
      </c>
      <c r="AG858">
        <v>75</v>
      </c>
      <c r="AH858">
        <v>8</v>
      </c>
      <c r="AI858">
        <v>8</v>
      </c>
      <c r="AJ858">
        <v>6</v>
      </c>
      <c r="AK858">
        <v>21</v>
      </c>
      <c r="AL858" t="s">
        <v>847</v>
      </c>
      <c r="AM858" t="s">
        <v>848</v>
      </c>
      <c r="AN858" t="s">
        <v>849</v>
      </c>
      <c r="AO858" t="s">
        <v>1266</v>
      </c>
      <c r="AP858" t="s">
        <v>1267</v>
      </c>
      <c r="AQ858" t="s">
        <v>74</v>
      </c>
      <c r="AR858" t="s">
        <v>1268</v>
      </c>
      <c r="AS858" t="s">
        <v>1269</v>
      </c>
      <c r="AT858" t="s">
        <v>13290</v>
      </c>
      <c r="AU858">
        <v>2021</v>
      </c>
      <c r="AV858">
        <v>236</v>
      </c>
      <c r="AW858" t="s">
        <v>74</v>
      </c>
      <c r="AX858" t="s">
        <v>74</v>
      </c>
      <c r="AY858" t="s">
        <v>74</v>
      </c>
      <c r="AZ858" t="s">
        <v>74</v>
      </c>
      <c r="BA858" t="s">
        <v>74</v>
      </c>
      <c r="BB858" t="s">
        <v>74</v>
      </c>
      <c r="BC858" t="s">
        <v>74</v>
      </c>
      <c r="BD858">
        <v>104019</v>
      </c>
      <c r="BE858" t="s">
        <v>16688</v>
      </c>
      <c r="BF858" t="str">
        <f>HYPERLINK("http://dx.doi.org/10.1016/j.marchem.2021.104019","http://dx.doi.org/10.1016/j.marchem.2021.104019")</f>
        <v>http://dx.doi.org/10.1016/j.marchem.2021.104019</v>
      </c>
      <c r="BG858" t="s">
        <v>74</v>
      </c>
      <c r="BH858" t="s">
        <v>16043</v>
      </c>
      <c r="BI858">
        <v>12</v>
      </c>
      <c r="BJ858" t="s">
        <v>1272</v>
      </c>
      <c r="BK858" t="s">
        <v>101</v>
      </c>
      <c r="BL858" t="s">
        <v>1273</v>
      </c>
      <c r="BM858" t="s">
        <v>13292</v>
      </c>
      <c r="BN858" t="s">
        <v>74</v>
      </c>
      <c r="BO858" t="s">
        <v>314</v>
      </c>
      <c r="BP858" t="s">
        <v>74</v>
      </c>
      <c r="BQ858" t="s">
        <v>74</v>
      </c>
      <c r="BR858" t="s">
        <v>105</v>
      </c>
      <c r="BS858" t="s">
        <v>16689</v>
      </c>
      <c r="BT858" t="str">
        <f>HYPERLINK("https%3A%2F%2Fwww.webofscience.com%2Fwos%2Fwoscc%2Ffull-record%2FWOS:000697732900002","View Full Record in Web of Science")</f>
        <v>View Full Record in Web of Science</v>
      </c>
    </row>
    <row r="859" spans="1:72" x14ac:dyDescent="0.15">
      <c r="A859" t="s">
        <v>72</v>
      </c>
      <c r="B859" t="s">
        <v>16690</v>
      </c>
      <c r="C859" t="s">
        <v>74</v>
      </c>
      <c r="D859" t="s">
        <v>74</v>
      </c>
      <c r="E859" t="s">
        <v>74</v>
      </c>
      <c r="F859" t="s">
        <v>16691</v>
      </c>
      <c r="G859" t="s">
        <v>74</v>
      </c>
      <c r="H859" t="s">
        <v>74</v>
      </c>
      <c r="I859" t="s">
        <v>16692</v>
      </c>
      <c r="J859" t="s">
        <v>16693</v>
      </c>
      <c r="K859" t="s">
        <v>74</v>
      </c>
      <c r="L859" t="s">
        <v>74</v>
      </c>
      <c r="M859" t="s">
        <v>78</v>
      </c>
      <c r="N859" t="s">
        <v>79</v>
      </c>
      <c r="O859" t="s">
        <v>74</v>
      </c>
      <c r="P859" t="s">
        <v>74</v>
      </c>
      <c r="Q859" t="s">
        <v>74</v>
      </c>
      <c r="R859" t="s">
        <v>74</v>
      </c>
      <c r="S859" t="s">
        <v>74</v>
      </c>
      <c r="T859" t="s">
        <v>16694</v>
      </c>
      <c r="U859" t="s">
        <v>16695</v>
      </c>
      <c r="V859" t="s">
        <v>16696</v>
      </c>
      <c r="W859" t="s">
        <v>16697</v>
      </c>
      <c r="X859" t="s">
        <v>2075</v>
      </c>
      <c r="Y859" t="s">
        <v>16698</v>
      </c>
      <c r="Z859" t="s">
        <v>16699</v>
      </c>
      <c r="AA859" t="s">
        <v>74</v>
      </c>
      <c r="AB859" t="s">
        <v>16700</v>
      </c>
      <c r="AC859" t="s">
        <v>16701</v>
      </c>
      <c r="AD859" t="s">
        <v>16701</v>
      </c>
      <c r="AE859" t="s">
        <v>16702</v>
      </c>
      <c r="AF859" t="s">
        <v>74</v>
      </c>
      <c r="AG859">
        <v>51</v>
      </c>
      <c r="AH859">
        <v>1</v>
      </c>
      <c r="AI859">
        <v>1</v>
      </c>
      <c r="AJ859">
        <v>0</v>
      </c>
      <c r="AK859">
        <v>3</v>
      </c>
      <c r="AL859" t="s">
        <v>847</v>
      </c>
      <c r="AM859" t="s">
        <v>848</v>
      </c>
      <c r="AN859" t="s">
        <v>849</v>
      </c>
      <c r="AO859" t="s">
        <v>16703</v>
      </c>
      <c r="AP859" t="s">
        <v>74</v>
      </c>
      <c r="AQ859" t="s">
        <v>74</v>
      </c>
      <c r="AR859" t="s">
        <v>16704</v>
      </c>
      <c r="AS859" t="s">
        <v>16705</v>
      </c>
      <c r="AT859" t="s">
        <v>98</v>
      </c>
      <c r="AU859">
        <v>2021</v>
      </c>
      <c r="AV859">
        <v>34</v>
      </c>
      <c r="AW859" t="s">
        <v>74</v>
      </c>
      <c r="AX859" t="s">
        <v>74</v>
      </c>
      <c r="AY859" t="s">
        <v>74</v>
      </c>
      <c r="AZ859" t="s">
        <v>74</v>
      </c>
      <c r="BA859" t="s">
        <v>74</v>
      </c>
      <c r="BB859" t="s">
        <v>74</v>
      </c>
      <c r="BC859" t="s">
        <v>74</v>
      </c>
      <c r="BD859">
        <v>100377</v>
      </c>
      <c r="BE859" t="s">
        <v>16706</v>
      </c>
      <c r="BF859" t="str">
        <f>HYPERLINK("http://dx.doi.org/10.1016/j.wace.2021.100377","http://dx.doi.org/10.1016/j.wace.2021.100377")</f>
        <v>http://dx.doi.org/10.1016/j.wace.2021.100377</v>
      </c>
      <c r="BG859" t="s">
        <v>74</v>
      </c>
      <c r="BH859" t="s">
        <v>16043</v>
      </c>
      <c r="BI859">
        <v>8</v>
      </c>
      <c r="BJ859" t="s">
        <v>829</v>
      </c>
      <c r="BK859" t="s">
        <v>101</v>
      </c>
      <c r="BL859" t="s">
        <v>829</v>
      </c>
      <c r="BM859" t="s">
        <v>16707</v>
      </c>
      <c r="BN859" t="s">
        <v>74</v>
      </c>
      <c r="BO859" t="s">
        <v>210</v>
      </c>
      <c r="BP859" t="s">
        <v>74</v>
      </c>
      <c r="BQ859" t="s">
        <v>74</v>
      </c>
      <c r="BR859" t="s">
        <v>105</v>
      </c>
      <c r="BS859" t="s">
        <v>16708</v>
      </c>
      <c r="BT859" t="str">
        <f>HYPERLINK("https%3A%2F%2Fwww.webofscience.com%2Fwos%2Fwoscc%2Ffull-record%2FWOS:000698512000001","View Full Record in Web of Science")</f>
        <v>View Full Record in Web of Science</v>
      </c>
    </row>
    <row r="860" spans="1:72" x14ac:dyDescent="0.15">
      <c r="A860" t="s">
        <v>72</v>
      </c>
      <c r="B860" t="s">
        <v>16709</v>
      </c>
      <c r="C860" t="s">
        <v>74</v>
      </c>
      <c r="D860" t="s">
        <v>74</v>
      </c>
      <c r="E860" t="s">
        <v>74</v>
      </c>
      <c r="F860" t="s">
        <v>16710</v>
      </c>
      <c r="G860" t="s">
        <v>74</v>
      </c>
      <c r="H860" t="s">
        <v>74</v>
      </c>
      <c r="I860" t="s">
        <v>16711</v>
      </c>
      <c r="J860" t="s">
        <v>1279</v>
      </c>
      <c r="K860" t="s">
        <v>74</v>
      </c>
      <c r="L860" t="s">
        <v>74</v>
      </c>
      <c r="M860" t="s">
        <v>78</v>
      </c>
      <c r="N860" t="s">
        <v>79</v>
      </c>
      <c r="O860" t="s">
        <v>74</v>
      </c>
      <c r="P860" t="s">
        <v>74</v>
      </c>
      <c r="Q860" t="s">
        <v>74</v>
      </c>
      <c r="R860" t="s">
        <v>74</v>
      </c>
      <c r="S860" t="s">
        <v>74</v>
      </c>
      <c r="T860" t="s">
        <v>74</v>
      </c>
      <c r="U860" t="s">
        <v>16712</v>
      </c>
      <c r="V860" t="s">
        <v>16713</v>
      </c>
      <c r="W860" t="s">
        <v>16714</v>
      </c>
      <c r="X860" t="s">
        <v>16715</v>
      </c>
      <c r="Y860" t="s">
        <v>16716</v>
      </c>
      <c r="Z860" t="s">
        <v>16717</v>
      </c>
      <c r="AA860" t="s">
        <v>16718</v>
      </c>
      <c r="AB860" t="s">
        <v>16719</v>
      </c>
      <c r="AC860" t="s">
        <v>16720</v>
      </c>
      <c r="AD860" t="s">
        <v>16721</v>
      </c>
      <c r="AE860" t="s">
        <v>16722</v>
      </c>
      <c r="AF860" t="s">
        <v>74</v>
      </c>
      <c r="AG860">
        <v>80</v>
      </c>
      <c r="AH860">
        <v>74</v>
      </c>
      <c r="AI860">
        <v>78</v>
      </c>
      <c r="AJ860">
        <v>25</v>
      </c>
      <c r="AK860">
        <v>116</v>
      </c>
      <c r="AL860" t="s">
        <v>492</v>
      </c>
      <c r="AM860" t="s">
        <v>493</v>
      </c>
      <c r="AN860" t="s">
        <v>494</v>
      </c>
      <c r="AO860" t="s">
        <v>74</v>
      </c>
      <c r="AP860" t="s">
        <v>1291</v>
      </c>
      <c r="AQ860" t="s">
        <v>74</v>
      </c>
      <c r="AR860" t="s">
        <v>1292</v>
      </c>
      <c r="AS860" t="s">
        <v>1293</v>
      </c>
      <c r="AT860" t="s">
        <v>16723</v>
      </c>
      <c r="AU860">
        <v>2021</v>
      </c>
      <c r="AV860">
        <v>12</v>
      </c>
      <c r="AW860">
        <v>1</v>
      </c>
      <c r="AX860" t="s">
        <v>74</v>
      </c>
      <c r="AY860" t="s">
        <v>74</v>
      </c>
      <c r="AZ860" t="s">
        <v>74</v>
      </c>
      <c r="BA860" t="s">
        <v>74</v>
      </c>
      <c r="BB860" t="s">
        <v>74</v>
      </c>
      <c r="BC860" t="s">
        <v>74</v>
      </c>
      <c r="BD860">
        <v>5124</v>
      </c>
      <c r="BE860" t="s">
        <v>16724</v>
      </c>
      <c r="BF860" t="str">
        <f>HYPERLINK("http://dx.doi.org/10.1038/s41467-021-25257-4","http://dx.doi.org/10.1038/s41467-021-25257-4")</f>
        <v>http://dx.doi.org/10.1038/s41467-021-25257-4</v>
      </c>
      <c r="BG860" t="s">
        <v>74</v>
      </c>
      <c r="BH860" t="s">
        <v>74</v>
      </c>
      <c r="BI860">
        <v>12</v>
      </c>
      <c r="BJ860" t="s">
        <v>126</v>
      </c>
      <c r="BK860" t="s">
        <v>101</v>
      </c>
      <c r="BL860" t="s">
        <v>127</v>
      </c>
      <c r="BM860" t="s">
        <v>16725</v>
      </c>
      <c r="BN860">
        <v>34446701</v>
      </c>
      <c r="BO860" t="s">
        <v>16726</v>
      </c>
      <c r="BP860" t="s">
        <v>9318</v>
      </c>
      <c r="BQ860" t="s">
        <v>9319</v>
      </c>
      <c r="BR860" t="s">
        <v>105</v>
      </c>
      <c r="BS860" t="s">
        <v>16727</v>
      </c>
      <c r="BT860" t="str">
        <f>HYPERLINK("https%3A%2F%2Fwww.webofscience.com%2Fwos%2Fwoscc%2Ffull-record%2FWOS:000691126200028","View Full Record in Web of Science")</f>
        <v>View Full Record in Web of Science</v>
      </c>
    </row>
    <row r="861" spans="1:72" x14ac:dyDescent="0.15">
      <c r="A861" t="s">
        <v>72</v>
      </c>
      <c r="B861" t="s">
        <v>16728</v>
      </c>
      <c r="C861" t="s">
        <v>74</v>
      </c>
      <c r="D861" t="s">
        <v>74</v>
      </c>
      <c r="E861" t="s">
        <v>74</v>
      </c>
      <c r="F861" t="s">
        <v>16729</v>
      </c>
      <c r="G861" t="s">
        <v>74</v>
      </c>
      <c r="H861" t="s">
        <v>74</v>
      </c>
      <c r="I861" t="s">
        <v>16730</v>
      </c>
      <c r="J861" t="s">
        <v>1058</v>
      </c>
      <c r="K861" t="s">
        <v>74</v>
      </c>
      <c r="L861" t="s">
        <v>74</v>
      </c>
      <c r="M861" t="s">
        <v>78</v>
      </c>
      <c r="N861" t="s">
        <v>79</v>
      </c>
      <c r="O861" t="s">
        <v>74</v>
      </c>
      <c r="P861" t="s">
        <v>74</v>
      </c>
      <c r="Q861" t="s">
        <v>74</v>
      </c>
      <c r="R861" t="s">
        <v>74</v>
      </c>
      <c r="S861" t="s">
        <v>74</v>
      </c>
      <c r="T861" t="s">
        <v>74</v>
      </c>
      <c r="U861" t="s">
        <v>16731</v>
      </c>
      <c r="V861" t="s">
        <v>16732</v>
      </c>
      <c r="W861" t="s">
        <v>16733</v>
      </c>
      <c r="X861" t="s">
        <v>16734</v>
      </c>
      <c r="Y861" t="s">
        <v>16735</v>
      </c>
      <c r="Z861" t="s">
        <v>16736</v>
      </c>
      <c r="AA861" t="s">
        <v>16737</v>
      </c>
      <c r="AB861" t="s">
        <v>16738</v>
      </c>
      <c r="AC861" t="s">
        <v>16739</v>
      </c>
      <c r="AD861" t="s">
        <v>16740</v>
      </c>
      <c r="AE861" t="s">
        <v>16741</v>
      </c>
      <c r="AF861" t="s">
        <v>74</v>
      </c>
      <c r="AG861">
        <v>63</v>
      </c>
      <c r="AH861">
        <v>2</v>
      </c>
      <c r="AI861">
        <v>2</v>
      </c>
      <c r="AJ861">
        <v>0</v>
      </c>
      <c r="AK861">
        <v>4</v>
      </c>
      <c r="AL861" t="s">
        <v>227</v>
      </c>
      <c r="AM861" t="s">
        <v>228</v>
      </c>
      <c r="AN861" t="s">
        <v>229</v>
      </c>
      <c r="AO861" t="s">
        <v>1065</v>
      </c>
      <c r="AP861" t="s">
        <v>1066</v>
      </c>
      <c r="AQ861" t="s">
        <v>74</v>
      </c>
      <c r="AR861" t="s">
        <v>1058</v>
      </c>
      <c r="AS861" t="s">
        <v>1067</v>
      </c>
      <c r="AT861" t="s">
        <v>16723</v>
      </c>
      <c r="AU861">
        <v>2021</v>
      </c>
      <c r="AV861">
        <v>15</v>
      </c>
      <c r="AW861">
        <v>8</v>
      </c>
      <c r="AX861" t="s">
        <v>74</v>
      </c>
      <c r="AY861" t="s">
        <v>74</v>
      </c>
      <c r="AZ861" t="s">
        <v>74</v>
      </c>
      <c r="BA861" t="s">
        <v>74</v>
      </c>
      <c r="BB861">
        <v>4099</v>
      </c>
      <c r="BC861">
        <v>4115</v>
      </c>
      <c r="BD861" t="s">
        <v>74</v>
      </c>
      <c r="BE861" t="s">
        <v>16742</v>
      </c>
      <c r="BF861" t="str">
        <f>HYPERLINK("http://dx.doi.org/10.5194/tc-15-4099-2021","http://dx.doi.org/10.5194/tc-15-4099-2021")</f>
        <v>http://dx.doi.org/10.5194/tc-15-4099-2021</v>
      </c>
      <c r="BG861" t="s">
        <v>74</v>
      </c>
      <c r="BH861" t="s">
        <v>74</v>
      </c>
      <c r="BI861">
        <v>17</v>
      </c>
      <c r="BJ861" t="s">
        <v>340</v>
      </c>
      <c r="BK861" t="s">
        <v>101</v>
      </c>
      <c r="BL861" t="s">
        <v>341</v>
      </c>
      <c r="BM861" t="s">
        <v>16743</v>
      </c>
      <c r="BN861" t="s">
        <v>74</v>
      </c>
      <c r="BO861" t="s">
        <v>554</v>
      </c>
      <c r="BP861" t="s">
        <v>74</v>
      </c>
      <c r="BQ861" t="s">
        <v>74</v>
      </c>
      <c r="BR861" t="s">
        <v>105</v>
      </c>
      <c r="BS861" t="s">
        <v>16744</v>
      </c>
      <c r="BT861" t="str">
        <f>HYPERLINK("https%3A%2F%2Fwww.webofscience.com%2Fwos%2Fwoscc%2Ffull-record%2FWOS:000691780400001","View Full Record in Web of Science")</f>
        <v>View Full Record in Web of Science</v>
      </c>
    </row>
    <row r="862" spans="1:72" x14ac:dyDescent="0.15">
      <c r="A862" t="s">
        <v>72</v>
      </c>
      <c r="B862" t="s">
        <v>16745</v>
      </c>
      <c r="C862" t="s">
        <v>74</v>
      </c>
      <c r="D862" t="s">
        <v>74</v>
      </c>
      <c r="E862" t="s">
        <v>74</v>
      </c>
      <c r="F862" t="s">
        <v>16746</v>
      </c>
      <c r="G862" t="s">
        <v>74</v>
      </c>
      <c r="H862" t="s">
        <v>74</v>
      </c>
      <c r="I862" t="s">
        <v>16747</v>
      </c>
      <c r="J862" t="s">
        <v>16748</v>
      </c>
      <c r="K862" t="s">
        <v>74</v>
      </c>
      <c r="L862" t="s">
        <v>74</v>
      </c>
      <c r="M862" t="s">
        <v>78</v>
      </c>
      <c r="N862" t="s">
        <v>79</v>
      </c>
      <c r="O862" t="s">
        <v>74</v>
      </c>
      <c r="P862" t="s">
        <v>74</v>
      </c>
      <c r="Q862" t="s">
        <v>74</v>
      </c>
      <c r="R862" t="s">
        <v>74</v>
      </c>
      <c r="S862" t="s">
        <v>74</v>
      </c>
      <c r="T862" t="s">
        <v>16749</v>
      </c>
      <c r="U862" t="s">
        <v>16750</v>
      </c>
      <c r="V862" t="s">
        <v>16751</v>
      </c>
      <c r="W862" t="s">
        <v>16752</v>
      </c>
      <c r="X862" t="s">
        <v>16753</v>
      </c>
      <c r="Y862" t="s">
        <v>16754</v>
      </c>
      <c r="Z862" t="s">
        <v>798</v>
      </c>
      <c r="AA862" t="s">
        <v>16755</v>
      </c>
      <c r="AB862" t="s">
        <v>16756</v>
      </c>
      <c r="AC862" t="s">
        <v>16757</v>
      </c>
      <c r="AD862" t="s">
        <v>16758</v>
      </c>
      <c r="AE862" t="s">
        <v>16759</v>
      </c>
      <c r="AF862" t="s">
        <v>74</v>
      </c>
      <c r="AG862">
        <v>46</v>
      </c>
      <c r="AH862">
        <v>0</v>
      </c>
      <c r="AI862">
        <v>0</v>
      </c>
      <c r="AJ862">
        <v>2</v>
      </c>
      <c r="AK862">
        <v>8</v>
      </c>
      <c r="AL862" t="s">
        <v>1621</v>
      </c>
      <c r="AM862" t="s">
        <v>1622</v>
      </c>
      <c r="AN862" t="s">
        <v>1623</v>
      </c>
      <c r="AO862" t="s">
        <v>74</v>
      </c>
      <c r="AP862" t="s">
        <v>16760</v>
      </c>
      <c r="AQ862" t="s">
        <v>74</v>
      </c>
      <c r="AR862" t="s">
        <v>16761</v>
      </c>
      <c r="AS862" t="s">
        <v>16762</v>
      </c>
      <c r="AT862" t="s">
        <v>74</v>
      </c>
      <c r="AU862">
        <v>2021</v>
      </c>
      <c r="AV862">
        <v>71</v>
      </c>
      <c r="AW862">
        <v>2</v>
      </c>
      <c r="AX862" t="s">
        <v>74</v>
      </c>
      <c r="AY862" t="s">
        <v>74</v>
      </c>
      <c r="AZ862" t="s">
        <v>74</v>
      </c>
      <c r="BA862" t="s">
        <v>74</v>
      </c>
      <c r="BB862">
        <v>181</v>
      </c>
      <c r="BC862">
        <v>193</v>
      </c>
      <c r="BD862" t="s">
        <v>74</v>
      </c>
      <c r="BE862" t="s">
        <v>16763</v>
      </c>
      <c r="BF862" t="str">
        <f>HYPERLINK("http://dx.doi.org/10.1071/ES21002","http://dx.doi.org/10.1071/ES21002")</f>
        <v>http://dx.doi.org/10.1071/ES21002</v>
      </c>
      <c r="BG862" t="s">
        <v>74</v>
      </c>
      <c r="BH862" t="s">
        <v>16043</v>
      </c>
      <c r="BI862">
        <v>13</v>
      </c>
      <c r="BJ862" t="s">
        <v>1155</v>
      </c>
      <c r="BK862" t="s">
        <v>101</v>
      </c>
      <c r="BL862" t="s">
        <v>1155</v>
      </c>
      <c r="BM862" t="s">
        <v>16764</v>
      </c>
      <c r="BN862" t="s">
        <v>74</v>
      </c>
      <c r="BO862" t="s">
        <v>239</v>
      </c>
      <c r="BP862" t="s">
        <v>74</v>
      </c>
      <c r="BQ862" t="s">
        <v>74</v>
      </c>
      <c r="BR862" t="s">
        <v>105</v>
      </c>
      <c r="BS862" t="s">
        <v>16765</v>
      </c>
      <c r="BT862" t="str">
        <f>HYPERLINK("https%3A%2F%2Fwww.webofscience.com%2Fwos%2Fwoscc%2Ffull-record%2FWOS:000691531000001","View Full Record in Web of Science")</f>
        <v>View Full Record in Web of Science</v>
      </c>
    </row>
    <row r="863" spans="1:72" x14ac:dyDescent="0.15">
      <c r="A863" t="s">
        <v>72</v>
      </c>
      <c r="B863" t="s">
        <v>16766</v>
      </c>
      <c r="C863" t="s">
        <v>74</v>
      </c>
      <c r="D863" t="s">
        <v>74</v>
      </c>
      <c r="E863" t="s">
        <v>74</v>
      </c>
      <c r="F863" t="s">
        <v>16767</v>
      </c>
      <c r="G863" t="s">
        <v>74</v>
      </c>
      <c r="H863" t="s">
        <v>74</v>
      </c>
      <c r="I863" t="s">
        <v>16768</v>
      </c>
      <c r="J863" t="s">
        <v>16769</v>
      </c>
      <c r="K863" t="s">
        <v>74</v>
      </c>
      <c r="L863" t="s">
        <v>74</v>
      </c>
      <c r="M863" t="s">
        <v>78</v>
      </c>
      <c r="N863" t="s">
        <v>79</v>
      </c>
      <c r="O863" t="s">
        <v>74</v>
      </c>
      <c r="P863" t="s">
        <v>74</v>
      </c>
      <c r="Q863" t="s">
        <v>74</v>
      </c>
      <c r="R863" t="s">
        <v>74</v>
      </c>
      <c r="S863" t="s">
        <v>74</v>
      </c>
      <c r="T863" t="s">
        <v>16770</v>
      </c>
      <c r="U863" t="s">
        <v>16771</v>
      </c>
      <c r="V863" t="s">
        <v>16772</v>
      </c>
      <c r="W863" t="s">
        <v>16773</v>
      </c>
      <c r="X863" t="s">
        <v>9880</v>
      </c>
      <c r="Y863" t="s">
        <v>16774</v>
      </c>
      <c r="Z863" t="s">
        <v>16775</v>
      </c>
      <c r="AA863" t="s">
        <v>74</v>
      </c>
      <c r="AB863" t="s">
        <v>16776</v>
      </c>
      <c r="AC863" t="s">
        <v>16777</v>
      </c>
      <c r="AD863" t="s">
        <v>16778</v>
      </c>
      <c r="AE863" t="s">
        <v>16779</v>
      </c>
      <c r="AF863" t="s">
        <v>74</v>
      </c>
      <c r="AG863">
        <v>101</v>
      </c>
      <c r="AH863">
        <v>9</v>
      </c>
      <c r="AI863">
        <v>10</v>
      </c>
      <c r="AJ863">
        <v>1</v>
      </c>
      <c r="AK863">
        <v>14</v>
      </c>
      <c r="AL863" t="s">
        <v>1088</v>
      </c>
      <c r="AM863" t="s">
        <v>333</v>
      </c>
      <c r="AN863" t="s">
        <v>1089</v>
      </c>
      <c r="AO863" t="s">
        <v>16780</v>
      </c>
      <c r="AP863" t="s">
        <v>74</v>
      </c>
      <c r="AQ863" t="s">
        <v>74</v>
      </c>
      <c r="AR863" t="s">
        <v>16781</v>
      </c>
      <c r="AS863" t="s">
        <v>16782</v>
      </c>
      <c r="AT863" t="s">
        <v>16723</v>
      </c>
      <c r="AU863">
        <v>2021</v>
      </c>
      <c r="AV863">
        <v>9</v>
      </c>
      <c r="AW863">
        <v>1</v>
      </c>
      <c r="AX863" t="s">
        <v>74</v>
      </c>
      <c r="AY863" t="s">
        <v>74</v>
      </c>
      <c r="AZ863" t="s">
        <v>74</v>
      </c>
      <c r="BA863" t="s">
        <v>74</v>
      </c>
      <c r="BB863" t="s">
        <v>74</v>
      </c>
      <c r="BC863" t="s">
        <v>74</v>
      </c>
      <c r="BD863">
        <v>43</v>
      </c>
      <c r="BE863" t="s">
        <v>16783</v>
      </c>
      <c r="BF863" t="str">
        <f>HYPERLINK("http://dx.doi.org/10.1186/s40462-021-00280-8","http://dx.doi.org/10.1186/s40462-021-00280-8")</f>
        <v>http://dx.doi.org/10.1186/s40462-021-00280-8</v>
      </c>
      <c r="BG863" t="s">
        <v>74</v>
      </c>
      <c r="BH863" t="s">
        <v>74</v>
      </c>
      <c r="BI863">
        <v>15</v>
      </c>
      <c r="BJ863" t="s">
        <v>629</v>
      </c>
      <c r="BK863" t="s">
        <v>101</v>
      </c>
      <c r="BL863" t="s">
        <v>630</v>
      </c>
      <c r="BM863" t="s">
        <v>16784</v>
      </c>
      <c r="BN863">
        <v>34446104</v>
      </c>
      <c r="BO863" t="s">
        <v>7854</v>
      </c>
      <c r="BP863" t="s">
        <v>74</v>
      </c>
      <c r="BQ863" t="s">
        <v>74</v>
      </c>
      <c r="BR863" t="s">
        <v>105</v>
      </c>
      <c r="BS863" t="s">
        <v>16785</v>
      </c>
      <c r="BT863" t="str">
        <f>HYPERLINK("https%3A%2F%2Fwww.webofscience.com%2Fwos%2Fwoscc%2Ffull-record%2FWOS:000690951700001","View Full Record in Web of Science")</f>
        <v>View Full Record in Web of Science</v>
      </c>
    </row>
    <row r="864" spans="1:72" x14ac:dyDescent="0.15">
      <c r="A864" t="s">
        <v>72</v>
      </c>
      <c r="B864" t="s">
        <v>16786</v>
      </c>
      <c r="C864" t="s">
        <v>74</v>
      </c>
      <c r="D864" t="s">
        <v>74</v>
      </c>
      <c r="E864" t="s">
        <v>74</v>
      </c>
      <c r="F864" t="s">
        <v>16787</v>
      </c>
      <c r="G864" t="s">
        <v>74</v>
      </c>
      <c r="H864" t="s">
        <v>74</v>
      </c>
      <c r="I864" t="s">
        <v>16788</v>
      </c>
      <c r="J864" t="s">
        <v>16789</v>
      </c>
      <c r="K864" t="s">
        <v>74</v>
      </c>
      <c r="L864" t="s">
        <v>74</v>
      </c>
      <c r="M864" t="s">
        <v>78</v>
      </c>
      <c r="N864" t="s">
        <v>79</v>
      </c>
      <c r="O864" t="s">
        <v>74</v>
      </c>
      <c r="P864" t="s">
        <v>74</v>
      </c>
      <c r="Q864" t="s">
        <v>74</v>
      </c>
      <c r="R864" t="s">
        <v>74</v>
      </c>
      <c r="S864" t="s">
        <v>74</v>
      </c>
      <c r="T864" t="s">
        <v>16790</v>
      </c>
      <c r="U864" t="s">
        <v>16791</v>
      </c>
      <c r="V864" t="s">
        <v>16792</v>
      </c>
      <c r="W864" t="s">
        <v>16793</v>
      </c>
      <c r="X864" t="s">
        <v>16794</v>
      </c>
      <c r="Y864" t="s">
        <v>16795</v>
      </c>
      <c r="Z864" t="s">
        <v>16796</v>
      </c>
      <c r="AA864" t="s">
        <v>74</v>
      </c>
      <c r="AB864" t="s">
        <v>16797</v>
      </c>
      <c r="AC864" t="s">
        <v>16798</v>
      </c>
      <c r="AD864" t="s">
        <v>16799</v>
      </c>
      <c r="AE864" t="s">
        <v>16800</v>
      </c>
      <c r="AF864" t="s">
        <v>74</v>
      </c>
      <c r="AG864">
        <v>79</v>
      </c>
      <c r="AH864">
        <v>3</v>
      </c>
      <c r="AI864">
        <v>3</v>
      </c>
      <c r="AJ864">
        <v>1</v>
      </c>
      <c r="AK864">
        <v>15</v>
      </c>
      <c r="AL864" t="s">
        <v>572</v>
      </c>
      <c r="AM864" t="s">
        <v>573</v>
      </c>
      <c r="AN864" t="s">
        <v>574</v>
      </c>
      <c r="AO864" t="s">
        <v>16801</v>
      </c>
      <c r="AP864" t="s">
        <v>16802</v>
      </c>
      <c r="AQ864" t="s">
        <v>74</v>
      </c>
      <c r="AR864" t="s">
        <v>16803</v>
      </c>
      <c r="AS864" t="s">
        <v>16804</v>
      </c>
      <c r="AT864" t="s">
        <v>7760</v>
      </c>
      <c r="AU864">
        <v>2021</v>
      </c>
      <c r="AV864">
        <v>40</v>
      </c>
      <c r="AW864">
        <v>10</v>
      </c>
      <c r="AX864" t="s">
        <v>74</v>
      </c>
      <c r="AY864" t="s">
        <v>74</v>
      </c>
      <c r="AZ864" t="s">
        <v>74</v>
      </c>
      <c r="BA864" t="s">
        <v>74</v>
      </c>
      <c r="BB864">
        <v>2791</v>
      </c>
      <c r="BC864">
        <v>2801</v>
      </c>
      <c r="BD864" t="s">
        <v>74</v>
      </c>
      <c r="BE864" t="s">
        <v>16805</v>
      </c>
      <c r="BF864" t="str">
        <f>HYPERLINK("http://dx.doi.org/10.1002/etc.5166","http://dx.doi.org/10.1002/etc.5166")</f>
        <v>http://dx.doi.org/10.1002/etc.5166</v>
      </c>
      <c r="BG864" t="s">
        <v>74</v>
      </c>
      <c r="BH864" t="s">
        <v>16043</v>
      </c>
      <c r="BI864">
        <v>11</v>
      </c>
      <c r="BJ864" t="s">
        <v>16806</v>
      </c>
      <c r="BK864" t="s">
        <v>101</v>
      </c>
      <c r="BL864" t="s">
        <v>16807</v>
      </c>
      <c r="BM864" t="s">
        <v>16808</v>
      </c>
      <c r="BN864">
        <v>34265110</v>
      </c>
      <c r="BO864" t="s">
        <v>74</v>
      </c>
      <c r="BP864" t="s">
        <v>74</v>
      </c>
      <c r="BQ864" t="s">
        <v>74</v>
      </c>
      <c r="BR864" t="s">
        <v>105</v>
      </c>
      <c r="BS864" t="s">
        <v>16809</v>
      </c>
      <c r="BT864" t="str">
        <f>HYPERLINK("https%3A%2F%2Fwww.webofscience.com%2Fwos%2Fwoscc%2Ffull-record%2FWOS:000688749900001","View Full Record in Web of Science")</f>
        <v>View Full Record in Web of Science</v>
      </c>
    </row>
    <row r="865" spans="1:72" x14ac:dyDescent="0.15">
      <c r="A865" t="s">
        <v>72</v>
      </c>
      <c r="B865" t="s">
        <v>16810</v>
      </c>
      <c r="C865" t="s">
        <v>74</v>
      </c>
      <c r="D865" t="s">
        <v>74</v>
      </c>
      <c r="E865" t="s">
        <v>74</v>
      </c>
      <c r="F865" t="s">
        <v>16811</v>
      </c>
      <c r="G865" t="s">
        <v>74</v>
      </c>
      <c r="H865" t="s">
        <v>74</v>
      </c>
      <c r="I865" t="s">
        <v>16812</v>
      </c>
      <c r="J865" t="s">
        <v>399</v>
      </c>
      <c r="K865" t="s">
        <v>74</v>
      </c>
      <c r="L865" t="s">
        <v>74</v>
      </c>
      <c r="M865" t="s">
        <v>78</v>
      </c>
      <c r="N865" t="s">
        <v>79</v>
      </c>
      <c r="O865" t="s">
        <v>74</v>
      </c>
      <c r="P865" t="s">
        <v>74</v>
      </c>
      <c r="Q865" t="s">
        <v>74</v>
      </c>
      <c r="R865" t="s">
        <v>74</v>
      </c>
      <c r="S865" t="s">
        <v>74</v>
      </c>
      <c r="T865" t="s">
        <v>16813</v>
      </c>
      <c r="U865" t="s">
        <v>16814</v>
      </c>
      <c r="V865" t="s">
        <v>16815</v>
      </c>
      <c r="W865" t="s">
        <v>16816</v>
      </c>
      <c r="X865" t="s">
        <v>16817</v>
      </c>
      <c r="Y865" t="s">
        <v>16818</v>
      </c>
      <c r="Z865" t="s">
        <v>16819</v>
      </c>
      <c r="AA865" t="s">
        <v>16820</v>
      </c>
      <c r="AB865" t="s">
        <v>16821</v>
      </c>
      <c r="AC865" t="s">
        <v>16822</v>
      </c>
      <c r="AD865" t="s">
        <v>16822</v>
      </c>
      <c r="AE865" t="s">
        <v>16823</v>
      </c>
      <c r="AF865" t="s">
        <v>74</v>
      </c>
      <c r="AG865">
        <v>39</v>
      </c>
      <c r="AH865">
        <v>4</v>
      </c>
      <c r="AI865">
        <v>4</v>
      </c>
      <c r="AJ865">
        <v>2</v>
      </c>
      <c r="AK865">
        <v>12</v>
      </c>
      <c r="AL865" t="s">
        <v>255</v>
      </c>
      <c r="AM865" t="s">
        <v>256</v>
      </c>
      <c r="AN865" t="s">
        <v>257</v>
      </c>
      <c r="AO865" t="s">
        <v>412</v>
      </c>
      <c r="AP865" t="s">
        <v>413</v>
      </c>
      <c r="AQ865" t="s">
        <v>74</v>
      </c>
      <c r="AR865" t="s">
        <v>414</v>
      </c>
      <c r="AS865" t="s">
        <v>415</v>
      </c>
      <c r="AT865" t="s">
        <v>310</v>
      </c>
      <c r="AU865">
        <v>2021</v>
      </c>
      <c r="AV865">
        <v>172</v>
      </c>
      <c r="AW865" t="s">
        <v>74</v>
      </c>
      <c r="AX865" t="s">
        <v>74</v>
      </c>
      <c r="AY865" t="s">
        <v>74</v>
      </c>
      <c r="AZ865" t="s">
        <v>74</v>
      </c>
      <c r="BA865" t="s">
        <v>74</v>
      </c>
      <c r="BB865" t="s">
        <v>74</v>
      </c>
      <c r="BC865" t="s">
        <v>74</v>
      </c>
      <c r="BD865">
        <v>112889</v>
      </c>
      <c r="BE865" t="s">
        <v>16824</v>
      </c>
      <c r="BF865" t="str">
        <f>HYPERLINK("http://dx.doi.org/10.1016/j.marpolbul.2021.112889","http://dx.doi.org/10.1016/j.marpolbul.2021.112889")</f>
        <v>http://dx.doi.org/10.1016/j.marpolbul.2021.112889</v>
      </c>
      <c r="BG865" t="s">
        <v>74</v>
      </c>
      <c r="BH865" t="s">
        <v>16043</v>
      </c>
      <c r="BI865">
        <v>7</v>
      </c>
      <c r="BJ865" t="s">
        <v>391</v>
      </c>
      <c r="BK865" t="s">
        <v>101</v>
      </c>
      <c r="BL865" t="s">
        <v>392</v>
      </c>
      <c r="BM865" t="s">
        <v>16825</v>
      </c>
      <c r="BN865">
        <v>34454385</v>
      </c>
      <c r="BO865" t="s">
        <v>314</v>
      </c>
      <c r="BP865" t="s">
        <v>74</v>
      </c>
      <c r="BQ865" t="s">
        <v>74</v>
      </c>
      <c r="BR865" t="s">
        <v>105</v>
      </c>
      <c r="BS865" t="s">
        <v>16826</v>
      </c>
      <c r="BT865" t="str">
        <f>HYPERLINK("https%3A%2F%2Fwww.webofscience.com%2Fwos%2Fwoscc%2Ffull-record%2FWOS:000701963400002","View Full Record in Web of Science")</f>
        <v>View Full Record in Web of Science</v>
      </c>
    </row>
    <row r="866" spans="1:72" x14ac:dyDescent="0.15">
      <c r="A866" t="s">
        <v>72</v>
      </c>
      <c r="B866" t="s">
        <v>16827</v>
      </c>
      <c r="C866" t="s">
        <v>74</v>
      </c>
      <c r="D866" t="s">
        <v>74</v>
      </c>
      <c r="E866" t="s">
        <v>74</v>
      </c>
      <c r="F866" t="s">
        <v>16828</v>
      </c>
      <c r="G866" t="s">
        <v>74</v>
      </c>
      <c r="H866" t="s">
        <v>74</v>
      </c>
      <c r="I866" t="s">
        <v>16829</v>
      </c>
      <c r="J866" t="s">
        <v>1234</v>
      </c>
      <c r="K866" t="s">
        <v>74</v>
      </c>
      <c r="L866" t="s">
        <v>74</v>
      </c>
      <c r="M866" t="s">
        <v>78</v>
      </c>
      <c r="N866" t="s">
        <v>79</v>
      </c>
      <c r="O866" t="s">
        <v>74</v>
      </c>
      <c r="P866" t="s">
        <v>74</v>
      </c>
      <c r="Q866" t="s">
        <v>74</v>
      </c>
      <c r="R866" t="s">
        <v>74</v>
      </c>
      <c r="S866" t="s">
        <v>74</v>
      </c>
      <c r="T866" t="s">
        <v>16830</v>
      </c>
      <c r="U866" t="s">
        <v>16831</v>
      </c>
      <c r="V866" t="s">
        <v>16832</v>
      </c>
      <c r="W866" t="s">
        <v>16833</v>
      </c>
      <c r="X866" t="s">
        <v>16834</v>
      </c>
      <c r="Y866" t="s">
        <v>9642</v>
      </c>
      <c r="Z866" t="s">
        <v>5443</v>
      </c>
      <c r="AA866" t="s">
        <v>16835</v>
      </c>
      <c r="AB866" t="s">
        <v>16836</v>
      </c>
      <c r="AC866" t="s">
        <v>12389</v>
      </c>
      <c r="AD866" t="s">
        <v>12390</v>
      </c>
      <c r="AE866" t="s">
        <v>16837</v>
      </c>
      <c r="AF866" t="s">
        <v>74</v>
      </c>
      <c r="AG866">
        <v>69</v>
      </c>
      <c r="AH866">
        <v>8</v>
      </c>
      <c r="AI866">
        <v>9</v>
      </c>
      <c r="AJ866">
        <v>4</v>
      </c>
      <c r="AK866">
        <v>46</v>
      </c>
      <c r="AL866" t="s">
        <v>383</v>
      </c>
      <c r="AM866" t="s">
        <v>384</v>
      </c>
      <c r="AN866" t="s">
        <v>385</v>
      </c>
      <c r="AO866" t="s">
        <v>74</v>
      </c>
      <c r="AP866" t="s">
        <v>1243</v>
      </c>
      <c r="AQ866" t="s">
        <v>74</v>
      </c>
      <c r="AR866" t="s">
        <v>1244</v>
      </c>
      <c r="AS866" t="s">
        <v>1245</v>
      </c>
      <c r="AT866" t="s">
        <v>16838</v>
      </c>
      <c r="AU866">
        <v>2021</v>
      </c>
      <c r="AV866">
        <v>12</v>
      </c>
      <c r="AW866" t="s">
        <v>74</v>
      </c>
      <c r="AX866" t="s">
        <v>74</v>
      </c>
      <c r="AY866" t="s">
        <v>74</v>
      </c>
      <c r="AZ866" t="s">
        <v>74</v>
      </c>
      <c r="BA866" t="s">
        <v>74</v>
      </c>
      <c r="BB866" t="s">
        <v>74</v>
      </c>
      <c r="BC866" t="s">
        <v>74</v>
      </c>
      <c r="BD866">
        <v>726074</v>
      </c>
      <c r="BE866" t="s">
        <v>16839</v>
      </c>
      <c r="BF866" t="str">
        <f>HYPERLINK("http://dx.doi.org/10.3389/fmicb.2021.726074","http://dx.doi.org/10.3389/fmicb.2021.726074")</f>
        <v>http://dx.doi.org/10.3389/fmicb.2021.726074</v>
      </c>
      <c r="BG866" t="s">
        <v>74</v>
      </c>
      <c r="BH866" t="s">
        <v>74</v>
      </c>
      <c r="BI866">
        <v>12</v>
      </c>
      <c r="BJ866" t="s">
        <v>975</v>
      </c>
      <c r="BK866" t="s">
        <v>101</v>
      </c>
      <c r="BL866" t="s">
        <v>975</v>
      </c>
      <c r="BM866" t="s">
        <v>16840</v>
      </c>
      <c r="BN866">
        <v>34512604</v>
      </c>
      <c r="BO866" t="s">
        <v>1094</v>
      </c>
      <c r="BP866" t="s">
        <v>74</v>
      </c>
      <c r="BQ866" t="s">
        <v>74</v>
      </c>
      <c r="BR866" t="s">
        <v>105</v>
      </c>
      <c r="BS866" t="s">
        <v>16841</v>
      </c>
      <c r="BT866" t="str">
        <f>HYPERLINK("https%3A%2F%2Fwww.webofscience.com%2Fwos%2Fwoscc%2Ffull-record%2FWOS:000702308300001","View Full Record in Web of Science")</f>
        <v>View Full Record in Web of Science</v>
      </c>
    </row>
    <row r="867" spans="1:72" x14ac:dyDescent="0.15">
      <c r="A867" t="s">
        <v>72</v>
      </c>
      <c r="B867" t="s">
        <v>16842</v>
      </c>
      <c r="C867" t="s">
        <v>74</v>
      </c>
      <c r="D867" t="s">
        <v>74</v>
      </c>
      <c r="E867" t="s">
        <v>74</v>
      </c>
      <c r="F867" t="s">
        <v>16843</v>
      </c>
      <c r="G867" t="s">
        <v>74</v>
      </c>
      <c r="H867" t="s">
        <v>74</v>
      </c>
      <c r="I867" t="s">
        <v>16844</v>
      </c>
      <c r="J867" t="s">
        <v>3228</v>
      </c>
      <c r="K867" t="s">
        <v>74</v>
      </c>
      <c r="L867" t="s">
        <v>74</v>
      </c>
      <c r="M867" t="s">
        <v>78</v>
      </c>
      <c r="N867" t="s">
        <v>79</v>
      </c>
      <c r="O867" t="s">
        <v>74</v>
      </c>
      <c r="P867" t="s">
        <v>74</v>
      </c>
      <c r="Q867" t="s">
        <v>74</v>
      </c>
      <c r="R867" t="s">
        <v>74</v>
      </c>
      <c r="S867" t="s">
        <v>74</v>
      </c>
      <c r="T867" t="s">
        <v>16845</v>
      </c>
      <c r="U867" t="s">
        <v>16846</v>
      </c>
      <c r="V867" t="s">
        <v>16847</v>
      </c>
      <c r="W867" t="s">
        <v>16848</v>
      </c>
      <c r="X867" t="s">
        <v>16849</v>
      </c>
      <c r="Y867" t="s">
        <v>16850</v>
      </c>
      <c r="Z867" t="s">
        <v>16851</v>
      </c>
      <c r="AA867" t="s">
        <v>16852</v>
      </c>
      <c r="AB867" t="s">
        <v>16853</v>
      </c>
      <c r="AC867" t="s">
        <v>16854</v>
      </c>
      <c r="AD867" t="s">
        <v>16855</v>
      </c>
      <c r="AE867" t="s">
        <v>16856</v>
      </c>
      <c r="AF867" t="s">
        <v>74</v>
      </c>
      <c r="AG867">
        <v>88</v>
      </c>
      <c r="AH867">
        <v>1</v>
      </c>
      <c r="AI867">
        <v>1</v>
      </c>
      <c r="AJ867">
        <v>1</v>
      </c>
      <c r="AK867">
        <v>11</v>
      </c>
      <c r="AL867" t="s">
        <v>847</v>
      </c>
      <c r="AM867" t="s">
        <v>848</v>
      </c>
      <c r="AN867" t="s">
        <v>849</v>
      </c>
      <c r="AO867" t="s">
        <v>3238</v>
      </c>
      <c r="AP867" t="s">
        <v>3239</v>
      </c>
      <c r="AQ867" t="s">
        <v>74</v>
      </c>
      <c r="AR867" t="s">
        <v>3240</v>
      </c>
      <c r="AS867" t="s">
        <v>3241</v>
      </c>
      <c r="AT867" t="s">
        <v>310</v>
      </c>
      <c r="AU867">
        <v>2021</v>
      </c>
      <c r="AV867">
        <v>441</v>
      </c>
      <c r="AW867" t="s">
        <v>74</v>
      </c>
      <c r="AX867" t="s">
        <v>74</v>
      </c>
      <c r="AY867" t="s">
        <v>74</v>
      </c>
      <c r="AZ867" t="s">
        <v>74</v>
      </c>
      <c r="BA867" t="s">
        <v>74</v>
      </c>
      <c r="BB867" t="s">
        <v>74</v>
      </c>
      <c r="BC867" t="s">
        <v>74</v>
      </c>
      <c r="BD867">
        <v>106604</v>
      </c>
      <c r="BE867" t="s">
        <v>16857</v>
      </c>
      <c r="BF867" t="str">
        <f>HYPERLINK("http://dx.doi.org/10.1016/j.margeo.2021.106604","http://dx.doi.org/10.1016/j.margeo.2021.106604")</f>
        <v>http://dx.doi.org/10.1016/j.margeo.2021.106604</v>
      </c>
      <c r="BG867" t="s">
        <v>74</v>
      </c>
      <c r="BH867" t="s">
        <v>16043</v>
      </c>
      <c r="BI867">
        <v>16</v>
      </c>
      <c r="BJ867" t="s">
        <v>177</v>
      </c>
      <c r="BK867" t="s">
        <v>101</v>
      </c>
      <c r="BL867" t="s">
        <v>178</v>
      </c>
      <c r="BM867" t="s">
        <v>13458</v>
      </c>
      <c r="BN867" t="s">
        <v>74</v>
      </c>
      <c r="BO867" t="s">
        <v>419</v>
      </c>
      <c r="BP867" t="s">
        <v>74</v>
      </c>
      <c r="BQ867" t="s">
        <v>74</v>
      </c>
      <c r="BR867" t="s">
        <v>105</v>
      </c>
      <c r="BS867" t="s">
        <v>16858</v>
      </c>
      <c r="BT867" t="str">
        <f>HYPERLINK("https%3A%2F%2Fwww.webofscience.com%2Fwos%2Fwoscc%2Ffull-record%2FWOS:000697734600006","View Full Record in Web of Science")</f>
        <v>View Full Record in Web of Science</v>
      </c>
    </row>
    <row r="868" spans="1:72" x14ac:dyDescent="0.15">
      <c r="A868" t="s">
        <v>72</v>
      </c>
      <c r="B868" t="s">
        <v>16859</v>
      </c>
      <c r="C868" t="s">
        <v>74</v>
      </c>
      <c r="D868" t="s">
        <v>74</v>
      </c>
      <c r="E868" t="s">
        <v>74</v>
      </c>
      <c r="F868" t="s">
        <v>16860</v>
      </c>
      <c r="G868" t="s">
        <v>74</v>
      </c>
      <c r="H868" t="s">
        <v>74</v>
      </c>
      <c r="I868" t="s">
        <v>16861</v>
      </c>
      <c r="J868" t="s">
        <v>16862</v>
      </c>
      <c r="K868" t="s">
        <v>74</v>
      </c>
      <c r="L868" t="s">
        <v>74</v>
      </c>
      <c r="M868" t="s">
        <v>78</v>
      </c>
      <c r="N868" t="s">
        <v>79</v>
      </c>
      <c r="O868" t="s">
        <v>74</v>
      </c>
      <c r="P868" t="s">
        <v>74</v>
      </c>
      <c r="Q868" t="s">
        <v>74</v>
      </c>
      <c r="R868" t="s">
        <v>74</v>
      </c>
      <c r="S868" t="s">
        <v>74</v>
      </c>
      <c r="T868" t="s">
        <v>16863</v>
      </c>
      <c r="U868" t="s">
        <v>16864</v>
      </c>
      <c r="V868" t="s">
        <v>16865</v>
      </c>
      <c r="W868" t="s">
        <v>16866</v>
      </c>
      <c r="X868" t="s">
        <v>16867</v>
      </c>
      <c r="Y868" t="s">
        <v>16868</v>
      </c>
      <c r="Z868" t="s">
        <v>16869</v>
      </c>
      <c r="AA868" t="s">
        <v>16870</v>
      </c>
      <c r="AB868" t="s">
        <v>16871</v>
      </c>
      <c r="AC868" t="s">
        <v>16872</v>
      </c>
      <c r="AD868" t="s">
        <v>16873</v>
      </c>
      <c r="AE868" t="s">
        <v>16874</v>
      </c>
      <c r="AF868" t="s">
        <v>74</v>
      </c>
      <c r="AG868">
        <v>170</v>
      </c>
      <c r="AH868">
        <v>8</v>
      </c>
      <c r="AI868">
        <v>8</v>
      </c>
      <c r="AJ868">
        <v>0</v>
      </c>
      <c r="AK868">
        <v>5</v>
      </c>
      <c r="AL868" t="s">
        <v>572</v>
      </c>
      <c r="AM868" t="s">
        <v>573</v>
      </c>
      <c r="AN868" t="s">
        <v>9203</v>
      </c>
      <c r="AO868" t="s">
        <v>16875</v>
      </c>
      <c r="AP868" t="s">
        <v>16876</v>
      </c>
      <c r="AQ868" t="s">
        <v>74</v>
      </c>
      <c r="AR868" t="s">
        <v>16877</v>
      </c>
      <c r="AS868" t="s">
        <v>16878</v>
      </c>
      <c r="AT868" t="s">
        <v>310</v>
      </c>
      <c r="AU868">
        <v>2021</v>
      </c>
      <c r="AV868">
        <v>7</v>
      </c>
      <c r="AW868">
        <v>4</v>
      </c>
      <c r="AX868" t="s">
        <v>74</v>
      </c>
      <c r="AY868" t="s">
        <v>74</v>
      </c>
      <c r="AZ868" t="s">
        <v>74</v>
      </c>
      <c r="BA868" t="s">
        <v>74</v>
      </c>
      <c r="BB868">
        <v>2227</v>
      </c>
      <c r="BC868">
        <v>2244</v>
      </c>
      <c r="BD868" t="s">
        <v>74</v>
      </c>
      <c r="BE868" t="s">
        <v>16879</v>
      </c>
      <c r="BF868" t="str">
        <f>HYPERLINK("http://dx.doi.org/10.1002/spp2.1396","http://dx.doi.org/10.1002/spp2.1396")</f>
        <v>http://dx.doi.org/10.1002/spp2.1396</v>
      </c>
      <c r="BG868" t="s">
        <v>74</v>
      </c>
      <c r="BH868" t="s">
        <v>16043</v>
      </c>
      <c r="BI868">
        <v>18</v>
      </c>
      <c r="BJ868" t="s">
        <v>2990</v>
      </c>
      <c r="BK868" t="s">
        <v>101</v>
      </c>
      <c r="BL868" t="s">
        <v>2990</v>
      </c>
      <c r="BM868" t="s">
        <v>16880</v>
      </c>
      <c r="BN868" t="s">
        <v>74</v>
      </c>
      <c r="BO868" t="s">
        <v>74</v>
      </c>
      <c r="BP868" t="s">
        <v>74</v>
      </c>
      <c r="BQ868" t="s">
        <v>74</v>
      </c>
      <c r="BR868" t="s">
        <v>105</v>
      </c>
      <c r="BS868" t="s">
        <v>16881</v>
      </c>
      <c r="BT868" t="str">
        <f>HYPERLINK("https%3A%2F%2Fwww.webofscience.com%2Fwos%2Fwoscc%2Ffull-record%2FWOS:000690389600001","View Full Record in Web of Science")</f>
        <v>View Full Record in Web of Science</v>
      </c>
    </row>
    <row r="869" spans="1:72" x14ac:dyDescent="0.15">
      <c r="A869" t="s">
        <v>72</v>
      </c>
      <c r="B869" t="s">
        <v>16882</v>
      </c>
      <c r="C869" t="s">
        <v>74</v>
      </c>
      <c r="D869" t="s">
        <v>74</v>
      </c>
      <c r="E869" t="s">
        <v>74</v>
      </c>
      <c r="F869" t="s">
        <v>16883</v>
      </c>
      <c r="G869" t="s">
        <v>74</v>
      </c>
      <c r="H869" t="s">
        <v>74</v>
      </c>
      <c r="I869" t="s">
        <v>16884</v>
      </c>
      <c r="J869" t="s">
        <v>348</v>
      </c>
      <c r="K869" t="s">
        <v>74</v>
      </c>
      <c r="L869" t="s">
        <v>74</v>
      </c>
      <c r="M869" t="s">
        <v>78</v>
      </c>
      <c r="N869" t="s">
        <v>79</v>
      </c>
      <c r="O869" t="s">
        <v>74</v>
      </c>
      <c r="P869" t="s">
        <v>74</v>
      </c>
      <c r="Q869" t="s">
        <v>74</v>
      </c>
      <c r="R869" t="s">
        <v>74</v>
      </c>
      <c r="S869" t="s">
        <v>74</v>
      </c>
      <c r="T869" t="s">
        <v>16885</v>
      </c>
      <c r="U869" t="s">
        <v>16886</v>
      </c>
      <c r="V869" t="s">
        <v>16887</v>
      </c>
      <c r="W869" t="s">
        <v>16888</v>
      </c>
      <c r="X869" t="s">
        <v>16889</v>
      </c>
      <c r="Y869" t="s">
        <v>16890</v>
      </c>
      <c r="Z869" t="s">
        <v>16891</v>
      </c>
      <c r="AA869" t="s">
        <v>11734</v>
      </c>
      <c r="AB869" t="s">
        <v>16892</v>
      </c>
      <c r="AC869" t="s">
        <v>16893</v>
      </c>
      <c r="AD869" t="s">
        <v>16894</v>
      </c>
      <c r="AE869" t="s">
        <v>16895</v>
      </c>
      <c r="AF869" t="s">
        <v>74</v>
      </c>
      <c r="AG869">
        <v>142</v>
      </c>
      <c r="AH869">
        <v>31</v>
      </c>
      <c r="AI869">
        <v>31</v>
      </c>
      <c r="AJ869">
        <v>1</v>
      </c>
      <c r="AK869">
        <v>5</v>
      </c>
      <c r="AL869" t="s">
        <v>255</v>
      </c>
      <c r="AM869" t="s">
        <v>256</v>
      </c>
      <c r="AN869" t="s">
        <v>257</v>
      </c>
      <c r="AO869" t="s">
        <v>359</v>
      </c>
      <c r="AP869" t="s">
        <v>360</v>
      </c>
      <c r="AQ869" t="s">
        <v>74</v>
      </c>
      <c r="AR869" t="s">
        <v>361</v>
      </c>
      <c r="AS869" t="s">
        <v>362</v>
      </c>
      <c r="AT869" t="s">
        <v>10375</v>
      </c>
      <c r="AU869">
        <v>2021</v>
      </c>
      <c r="AV869">
        <v>310</v>
      </c>
      <c r="AW869" t="s">
        <v>74</v>
      </c>
      <c r="AX869" t="s">
        <v>74</v>
      </c>
      <c r="AY869" t="s">
        <v>74</v>
      </c>
      <c r="AZ869" t="s">
        <v>74</v>
      </c>
      <c r="BA869" t="s">
        <v>74</v>
      </c>
      <c r="BB869">
        <v>240</v>
      </c>
      <c r="BC869">
        <v>280</v>
      </c>
      <c r="BD869" t="s">
        <v>74</v>
      </c>
      <c r="BE869" t="s">
        <v>16896</v>
      </c>
      <c r="BF869" t="str">
        <f>HYPERLINK("http://dx.doi.org/10.1016/j.gca.2021.05.050","http://dx.doi.org/10.1016/j.gca.2021.05.050")</f>
        <v>http://dx.doi.org/10.1016/j.gca.2021.05.050</v>
      </c>
      <c r="BG869" t="s">
        <v>74</v>
      </c>
      <c r="BH869" t="s">
        <v>16043</v>
      </c>
      <c r="BI869">
        <v>41</v>
      </c>
      <c r="BJ869" t="s">
        <v>365</v>
      </c>
      <c r="BK869" t="s">
        <v>101</v>
      </c>
      <c r="BL869" t="s">
        <v>365</v>
      </c>
      <c r="BM869" t="s">
        <v>16897</v>
      </c>
      <c r="BN869" t="s">
        <v>74</v>
      </c>
      <c r="BO869" t="s">
        <v>676</v>
      </c>
      <c r="BP869" t="s">
        <v>74</v>
      </c>
      <c r="BQ869" t="s">
        <v>74</v>
      </c>
      <c r="BR869" t="s">
        <v>105</v>
      </c>
      <c r="BS869" t="s">
        <v>16898</v>
      </c>
      <c r="BT869" t="str">
        <f>HYPERLINK("https%3A%2F%2Fwww.webofscience.com%2Fwos%2Fwoscc%2Ffull-record%2FWOS:000689517700015","View Full Record in Web of Science")</f>
        <v>View Full Record in Web of Science</v>
      </c>
    </row>
    <row r="870" spans="1:72" x14ac:dyDescent="0.15">
      <c r="A870" t="s">
        <v>72</v>
      </c>
      <c r="B870" t="s">
        <v>16899</v>
      </c>
      <c r="C870" t="s">
        <v>74</v>
      </c>
      <c r="D870" t="s">
        <v>74</v>
      </c>
      <c r="E870" t="s">
        <v>74</v>
      </c>
      <c r="F870" t="s">
        <v>16900</v>
      </c>
      <c r="G870" t="s">
        <v>74</v>
      </c>
      <c r="H870" t="s">
        <v>74</v>
      </c>
      <c r="I870" t="s">
        <v>16901</v>
      </c>
      <c r="J870" t="s">
        <v>348</v>
      </c>
      <c r="K870" t="s">
        <v>74</v>
      </c>
      <c r="L870" t="s">
        <v>74</v>
      </c>
      <c r="M870" t="s">
        <v>78</v>
      </c>
      <c r="N870" t="s">
        <v>79</v>
      </c>
      <c r="O870" t="s">
        <v>74</v>
      </c>
      <c r="P870" t="s">
        <v>74</v>
      </c>
      <c r="Q870" t="s">
        <v>74</v>
      </c>
      <c r="R870" t="s">
        <v>74</v>
      </c>
      <c r="S870" t="s">
        <v>74</v>
      </c>
      <c r="T870" t="s">
        <v>16902</v>
      </c>
      <c r="U870" t="s">
        <v>16903</v>
      </c>
      <c r="V870" t="s">
        <v>16904</v>
      </c>
      <c r="W870" t="s">
        <v>16905</v>
      </c>
      <c r="X870" t="s">
        <v>16906</v>
      </c>
      <c r="Y870" t="s">
        <v>16907</v>
      </c>
      <c r="Z870" t="s">
        <v>16908</v>
      </c>
      <c r="AA870" t="s">
        <v>16909</v>
      </c>
      <c r="AB870" t="s">
        <v>16910</v>
      </c>
      <c r="AC870" t="s">
        <v>16911</v>
      </c>
      <c r="AD870" t="s">
        <v>16912</v>
      </c>
      <c r="AE870" t="s">
        <v>16913</v>
      </c>
      <c r="AF870" t="s">
        <v>74</v>
      </c>
      <c r="AG870">
        <v>70</v>
      </c>
      <c r="AH870">
        <v>17</v>
      </c>
      <c r="AI870">
        <v>17</v>
      </c>
      <c r="AJ870">
        <v>0</v>
      </c>
      <c r="AK870">
        <v>4</v>
      </c>
      <c r="AL870" t="s">
        <v>255</v>
      </c>
      <c r="AM870" t="s">
        <v>256</v>
      </c>
      <c r="AN870" t="s">
        <v>257</v>
      </c>
      <c r="AO870" t="s">
        <v>359</v>
      </c>
      <c r="AP870" t="s">
        <v>360</v>
      </c>
      <c r="AQ870" t="s">
        <v>74</v>
      </c>
      <c r="AR870" t="s">
        <v>361</v>
      </c>
      <c r="AS870" t="s">
        <v>362</v>
      </c>
      <c r="AT870" t="s">
        <v>10375</v>
      </c>
      <c r="AU870">
        <v>2021</v>
      </c>
      <c r="AV870">
        <v>310</v>
      </c>
      <c r="AW870" t="s">
        <v>74</v>
      </c>
      <c r="AX870" t="s">
        <v>74</v>
      </c>
      <c r="AY870" t="s">
        <v>74</v>
      </c>
      <c r="AZ870" t="s">
        <v>74</v>
      </c>
      <c r="BA870" t="s">
        <v>74</v>
      </c>
      <c r="BB870">
        <v>320</v>
      </c>
      <c r="BC870">
        <v>345</v>
      </c>
      <c r="BD870" t="s">
        <v>74</v>
      </c>
      <c r="BE870" t="s">
        <v>16914</v>
      </c>
      <c r="BF870" t="str">
        <f>HYPERLINK("http://dx.doi.org/10.1016/j.gca.2021.05.042","http://dx.doi.org/10.1016/j.gca.2021.05.042")</f>
        <v>http://dx.doi.org/10.1016/j.gca.2021.05.042</v>
      </c>
      <c r="BG870" t="s">
        <v>74</v>
      </c>
      <c r="BH870" t="s">
        <v>16043</v>
      </c>
      <c r="BI870">
        <v>26</v>
      </c>
      <c r="BJ870" t="s">
        <v>365</v>
      </c>
      <c r="BK870" t="s">
        <v>101</v>
      </c>
      <c r="BL870" t="s">
        <v>365</v>
      </c>
      <c r="BM870" t="s">
        <v>16915</v>
      </c>
      <c r="BN870" t="s">
        <v>74</v>
      </c>
      <c r="BO870" t="s">
        <v>180</v>
      </c>
      <c r="BP870" t="s">
        <v>74</v>
      </c>
      <c r="BQ870" t="s">
        <v>74</v>
      </c>
      <c r="BR870" t="s">
        <v>105</v>
      </c>
      <c r="BS870" t="s">
        <v>16916</v>
      </c>
      <c r="BT870" t="str">
        <f>HYPERLINK("https%3A%2F%2Fwww.webofscience.com%2Fwos%2Fwoscc%2Ffull-record%2FWOS:000689637200001","View Full Record in Web of Science")</f>
        <v>View Full Record in Web of Science</v>
      </c>
    </row>
    <row r="871" spans="1:72" x14ac:dyDescent="0.15">
      <c r="A871" t="s">
        <v>72</v>
      </c>
      <c r="B871" t="s">
        <v>16917</v>
      </c>
      <c r="C871" t="s">
        <v>74</v>
      </c>
      <c r="D871" t="s">
        <v>74</v>
      </c>
      <c r="E871" t="s">
        <v>74</v>
      </c>
      <c r="F871" t="s">
        <v>16918</v>
      </c>
      <c r="G871" t="s">
        <v>74</v>
      </c>
      <c r="H871" t="s">
        <v>74</v>
      </c>
      <c r="I871" t="s">
        <v>16919</v>
      </c>
      <c r="J871" t="s">
        <v>348</v>
      </c>
      <c r="K871" t="s">
        <v>74</v>
      </c>
      <c r="L871" t="s">
        <v>74</v>
      </c>
      <c r="M871" t="s">
        <v>78</v>
      </c>
      <c r="N871" t="s">
        <v>79</v>
      </c>
      <c r="O871" t="s">
        <v>74</v>
      </c>
      <c r="P871" t="s">
        <v>74</v>
      </c>
      <c r="Q871" t="s">
        <v>74</v>
      </c>
      <c r="R871" t="s">
        <v>74</v>
      </c>
      <c r="S871" t="s">
        <v>74</v>
      </c>
      <c r="T871" t="s">
        <v>16920</v>
      </c>
      <c r="U871" t="s">
        <v>16921</v>
      </c>
      <c r="V871" t="s">
        <v>16922</v>
      </c>
      <c r="W871" t="s">
        <v>16923</v>
      </c>
      <c r="X871" t="s">
        <v>16924</v>
      </c>
      <c r="Y871" t="s">
        <v>16925</v>
      </c>
      <c r="Z871" t="s">
        <v>16926</v>
      </c>
      <c r="AA871" t="s">
        <v>16909</v>
      </c>
      <c r="AB871" t="s">
        <v>16927</v>
      </c>
      <c r="AC871" t="s">
        <v>16928</v>
      </c>
      <c r="AD871" t="s">
        <v>16929</v>
      </c>
      <c r="AE871" t="s">
        <v>16930</v>
      </c>
      <c r="AF871" t="s">
        <v>74</v>
      </c>
      <c r="AG871">
        <v>85</v>
      </c>
      <c r="AH871">
        <v>15</v>
      </c>
      <c r="AI871">
        <v>15</v>
      </c>
      <c r="AJ871">
        <v>0</v>
      </c>
      <c r="AK871">
        <v>3</v>
      </c>
      <c r="AL871" t="s">
        <v>255</v>
      </c>
      <c r="AM871" t="s">
        <v>256</v>
      </c>
      <c r="AN871" t="s">
        <v>257</v>
      </c>
      <c r="AO871" t="s">
        <v>359</v>
      </c>
      <c r="AP871" t="s">
        <v>360</v>
      </c>
      <c r="AQ871" t="s">
        <v>74</v>
      </c>
      <c r="AR871" t="s">
        <v>361</v>
      </c>
      <c r="AS871" t="s">
        <v>362</v>
      </c>
      <c r="AT871" t="s">
        <v>10375</v>
      </c>
      <c r="AU871">
        <v>2021</v>
      </c>
      <c r="AV871">
        <v>310</v>
      </c>
      <c r="AW871" t="s">
        <v>74</v>
      </c>
      <c r="AX871" t="s">
        <v>74</v>
      </c>
      <c r="AY871" t="s">
        <v>74</v>
      </c>
      <c r="AZ871" t="s">
        <v>74</v>
      </c>
      <c r="BA871" t="s">
        <v>74</v>
      </c>
      <c r="BB871">
        <v>346</v>
      </c>
      <c r="BC871">
        <v>362</v>
      </c>
      <c r="BD871" t="s">
        <v>74</v>
      </c>
      <c r="BE871" t="s">
        <v>16931</v>
      </c>
      <c r="BF871" t="str">
        <f>HYPERLINK("http://dx.doi.org/10.1016/j.gca.2021.05.041","http://dx.doi.org/10.1016/j.gca.2021.05.041")</f>
        <v>http://dx.doi.org/10.1016/j.gca.2021.05.041</v>
      </c>
      <c r="BG871" t="s">
        <v>74</v>
      </c>
      <c r="BH871" t="s">
        <v>16043</v>
      </c>
      <c r="BI871">
        <v>17</v>
      </c>
      <c r="BJ871" t="s">
        <v>365</v>
      </c>
      <c r="BK871" t="s">
        <v>101</v>
      </c>
      <c r="BL871" t="s">
        <v>365</v>
      </c>
      <c r="BM871" t="s">
        <v>16915</v>
      </c>
      <c r="BN871" t="s">
        <v>74</v>
      </c>
      <c r="BO871" t="s">
        <v>1471</v>
      </c>
      <c r="BP871" t="s">
        <v>74</v>
      </c>
      <c r="BQ871" t="s">
        <v>74</v>
      </c>
      <c r="BR871" t="s">
        <v>105</v>
      </c>
      <c r="BS871" t="s">
        <v>16932</v>
      </c>
      <c r="BT871" t="str">
        <f>HYPERLINK("https%3A%2F%2Fwww.webofscience.com%2Fwos%2Fwoscc%2Ffull-record%2FWOS:000689637200002","View Full Record in Web of Science")</f>
        <v>View Full Record in Web of Science</v>
      </c>
    </row>
    <row r="872" spans="1:72" x14ac:dyDescent="0.15">
      <c r="A872" t="s">
        <v>72</v>
      </c>
      <c r="B872" t="s">
        <v>16933</v>
      </c>
      <c r="C872" t="s">
        <v>74</v>
      </c>
      <c r="D872" t="s">
        <v>74</v>
      </c>
      <c r="E872" t="s">
        <v>74</v>
      </c>
      <c r="F872" t="s">
        <v>16934</v>
      </c>
      <c r="G872" t="s">
        <v>74</v>
      </c>
      <c r="H872" t="s">
        <v>74</v>
      </c>
      <c r="I872" t="s">
        <v>16935</v>
      </c>
      <c r="J872" t="s">
        <v>1401</v>
      </c>
      <c r="K872" t="s">
        <v>74</v>
      </c>
      <c r="L872" t="s">
        <v>74</v>
      </c>
      <c r="M872" t="s">
        <v>78</v>
      </c>
      <c r="N872" t="s">
        <v>7574</v>
      </c>
      <c r="O872" t="s">
        <v>74</v>
      </c>
      <c r="P872" t="s">
        <v>74</v>
      </c>
      <c r="Q872" t="s">
        <v>74</v>
      </c>
      <c r="R872" t="s">
        <v>74</v>
      </c>
      <c r="S872" t="s">
        <v>74</v>
      </c>
      <c r="T872" t="s">
        <v>74</v>
      </c>
      <c r="U872" t="s">
        <v>16936</v>
      </c>
      <c r="V872" t="s">
        <v>16937</v>
      </c>
      <c r="W872" t="s">
        <v>16938</v>
      </c>
      <c r="X872" t="s">
        <v>16939</v>
      </c>
      <c r="Y872" t="s">
        <v>16940</v>
      </c>
      <c r="Z872" t="s">
        <v>16941</v>
      </c>
      <c r="AA872" t="s">
        <v>16942</v>
      </c>
      <c r="AB872" t="s">
        <v>16943</v>
      </c>
      <c r="AC872" t="s">
        <v>16944</v>
      </c>
      <c r="AD872" t="s">
        <v>16945</v>
      </c>
      <c r="AE872" t="s">
        <v>16946</v>
      </c>
      <c r="AF872" t="s">
        <v>74</v>
      </c>
      <c r="AG872">
        <v>105</v>
      </c>
      <c r="AH872">
        <v>85</v>
      </c>
      <c r="AI872">
        <v>86</v>
      </c>
      <c r="AJ872">
        <v>6</v>
      </c>
      <c r="AK872">
        <v>48</v>
      </c>
      <c r="AL872" t="s">
        <v>227</v>
      </c>
      <c r="AM872" t="s">
        <v>228</v>
      </c>
      <c r="AN872" t="s">
        <v>229</v>
      </c>
      <c r="AO872" t="s">
        <v>1413</v>
      </c>
      <c r="AP872" t="s">
        <v>1414</v>
      </c>
      <c r="AQ872" t="s">
        <v>74</v>
      </c>
      <c r="AR872" t="s">
        <v>1415</v>
      </c>
      <c r="AS872" t="s">
        <v>1416</v>
      </c>
      <c r="AT872" t="s">
        <v>16838</v>
      </c>
      <c r="AU872">
        <v>2021</v>
      </c>
      <c r="AV872">
        <v>13</v>
      </c>
      <c r="AW872">
        <v>8</v>
      </c>
      <c r="AX872" t="s">
        <v>74</v>
      </c>
      <c r="AY872" t="s">
        <v>74</v>
      </c>
      <c r="AZ872" t="s">
        <v>74</v>
      </c>
      <c r="BA872" t="s">
        <v>74</v>
      </c>
      <c r="BB872">
        <v>4067</v>
      </c>
      <c r="BC872">
        <v>4119</v>
      </c>
      <c r="BD872" t="s">
        <v>74</v>
      </c>
      <c r="BE872" t="s">
        <v>16947</v>
      </c>
      <c r="BF872" t="str">
        <f>HYPERLINK("http://dx.doi.org/10.5194/essd-13-4067-2021","http://dx.doi.org/10.5194/essd-13-4067-2021")</f>
        <v>http://dx.doi.org/10.5194/essd-13-4067-2021</v>
      </c>
      <c r="BG872" t="s">
        <v>74</v>
      </c>
      <c r="BH872" t="s">
        <v>74</v>
      </c>
      <c r="BI872">
        <v>53</v>
      </c>
      <c r="BJ872" t="s">
        <v>1418</v>
      </c>
      <c r="BK872" t="s">
        <v>101</v>
      </c>
      <c r="BL872" t="s">
        <v>1419</v>
      </c>
      <c r="BM872" t="s">
        <v>16948</v>
      </c>
      <c r="BN872" t="s">
        <v>74</v>
      </c>
      <c r="BO872" t="s">
        <v>16949</v>
      </c>
      <c r="BP872" t="s">
        <v>9318</v>
      </c>
      <c r="BQ872" t="s">
        <v>9319</v>
      </c>
      <c r="BR872" t="s">
        <v>105</v>
      </c>
      <c r="BS872" t="s">
        <v>16950</v>
      </c>
      <c r="BT872" t="str">
        <f>HYPERLINK("https%3A%2F%2Fwww.webofscience.com%2Fwos%2Fwoscc%2Ffull-record%2FWOS:000691291500001","View Full Record in Web of Science")</f>
        <v>View Full Record in Web of Science</v>
      </c>
    </row>
    <row r="873" spans="1:72" x14ac:dyDescent="0.15">
      <c r="A873" t="s">
        <v>72</v>
      </c>
      <c r="B873" t="s">
        <v>16951</v>
      </c>
      <c r="C873" t="s">
        <v>74</v>
      </c>
      <c r="D873" t="s">
        <v>74</v>
      </c>
      <c r="E873" t="s">
        <v>74</v>
      </c>
      <c r="F873" t="s">
        <v>16952</v>
      </c>
      <c r="G873" t="s">
        <v>74</v>
      </c>
      <c r="H873" t="s">
        <v>74</v>
      </c>
      <c r="I873" t="s">
        <v>16953</v>
      </c>
      <c r="J873" t="s">
        <v>15873</v>
      </c>
      <c r="K873" t="s">
        <v>74</v>
      </c>
      <c r="L873" t="s">
        <v>74</v>
      </c>
      <c r="M873" t="s">
        <v>78</v>
      </c>
      <c r="N873" t="s">
        <v>79</v>
      </c>
      <c r="O873" t="s">
        <v>74</v>
      </c>
      <c r="P873" t="s">
        <v>74</v>
      </c>
      <c r="Q873" t="s">
        <v>74</v>
      </c>
      <c r="R873" t="s">
        <v>74</v>
      </c>
      <c r="S873" t="s">
        <v>74</v>
      </c>
      <c r="T873" t="s">
        <v>16954</v>
      </c>
      <c r="U873" t="s">
        <v>16955</v>
      </c>
      <c r="V873" t="s">
        <v>16956</v>
      </c>
      <c r="W873" t="s">
        <v>16957</v>
      </c>
      <c r="X873" t="s">
        <v>16958</v>
      </c>
      <c r="Y873" t="s">
        <v>16959</v>
      </c>
      <c r="Z873" t="s">
        <v>16960</v>
      </c>
      <c r="AA873" t="s">
        <v>16961</v>
      </c>
      <c r="AB873" t="s">
        <v>16962</v>
      </c>
      <c r="AC873" t="s">
        <v>16963</v>
      </c>
      <c r="AD873" t="s">
        <v>16964</v>
      </c>
      <c r="AE873" t="s">
        <v>16965</v>
      </c>
      <c r="AF873" t="s">
        <v>74</v>
      </c>
      <c r="AG873">
        <v>126</v>
      </c>
      <c r="AH873">
        <v>9</v>
      </c>
      <c r="AI873">
        <v>10</v>
      </c>
      <c r="AJ873">
        <v>4</v>
      </c>
      <c r="AK873">
        <v>10</v>
      </c>
      <c r="AL873" t="s">
        <v>1714</v>
      </c>
      <c r="AM873" t="s">
        <v>256</v>
      </c>
      <c r="AN873" t="s">
        <v>1715</v>
      </c>
      <c r="AO873" t="s">
        <v>15886</v>
      </c>
      <c r="AP873" t="s">
        <v>15887</v>
      </c>
      <c r="AQ873" t="s">
        <v>74</v>
      </c>
      <c r="AR873" t="s">
        <v>15888</v>
      </c>
      <c r="AS873" t="s">
        <v>15889</v>
      </c>
      <c r="AT873" t="s">
        <v>98</v>
      </c>
      <c r="AU873">
        <v>2021</v>
      </c>
      <c r="AV873">
        <v>38</v>
      </c>
      <c r="AW873">
        <v>12</v>
      </c>
      <c r="AX873" t="s">
        <v>74</v>
      </c>
      <c r="AY873" t="s">
        <v>74</v>
      </c>
      <c r="AZ873" t="s">
        <v>74</v>
      </c>
      <c r="BA873" t="s">
        <v>74</v>
      </c>
      <c r="BB873">
        <v>5391</v>
      </c>
      <c r="BC873">
        <v>5404</v>
      </c>
      <c r="BD873" t="s">
        <v>74</v>
      </c>
      <c r="BE873" t="s">
        <v>16966</v>
      </c>
      <c r="BF873" t="str">
        <f>HYPERLINK("http://dx.doi.org/10.1093/molbev/msab251","http://dx.doi.org/10.1093/molbev/msab251")</f>
        <v>http://dx.doi.org/10.1093/molbev/msab251</v>
      </c>
      <c r="BG873" t="s">
        <v>74</v>
      </c>
      <c r="BH873" t="s">
        <v>16043</v>
      </c>
      <c r="BI873">
        <v>14</v>
      </c>
      <c r="BJ873" t="s">
        <v>3293</v>
      </c>
      <c r="BK873" t="s">
        <v>101</v>
      </c>
      <c r="BL873" t="s">
        <v>3293</v>
      </c>
      <c r="BM873" t="s">
        <v>15891</v>
      </c>
      <c r="BN873">
        <v>34427671</v>
      </c>
      <c r="BO873" t="s">
        <v>394</v>
      </c>
      <c r="BP873" t="s">
        <v>74</v>
      </c>
      <c r="BQ873" t="s">
        <v>74</v>
      </c>
      <c r="BR873" t="s">
        <v>105</v>
      </c>
      <c r="BS873" t="s">
        <v>16967</v>
      </c>
      <c r="BT873" t="str">
        <f>HYPERLINK("https%3A%2F%2Fwww.webofscience.com%2Fwos%2Fwoscc%2Ffull-record%2FWOS:000741368600012","View Full Record in Web of Science")</f>
        <v>View Full Record in Web of Science</v>
      </c>
    </row>
    <row r="874" spans="1:72" x14ac:dyDescent="0.15">
      <c r="A874" t="s">
        <v>72</v>
      </c>
      <c r="B874" t="s">
        <v>16968</v>
      </c>
      <c r="C874" t="s">
        <v>74</v>
      </c>
      <c r="D874" t="s">
        <v>74</v>
      </c>
      <c r="E874" t="s">
        <v>74</v>
      </c>
      <c r="F874" t="s">
        <v>16969</v>
      </c>
      <c r="G874" t="s">
        <v>74</v>
      </c>
      <c r="H874" t="s">
        <v>74</v>
      </c>
      <c r="I874" t="s">
        <v>16970</v>
      </c>
      <c r="J874" t="s">
        <v>16971</v>
      </c>
      <c r="K874" t="s">
        <v>74</v>
      </c>
      <c r="L874" t="s">
        <v>74</v>
      </c>
      <c r="M874" t="s">
        <v>78</v>
      </c>
      <c r="N874" t="s">
        <v>79</v>
      </c>
      <c r="O874" t="s">
        <v>74</v>
      </c>
      <c r="P874" t="s">
        <v>74</v>
      </c>
      <c r="Q874" t="s">
        <v>74</v>
      </c>
      <c r="R874" t="s">
        <v>74</v>
      </c>
      <c r="S874" t="s">
        <v>74</v>
      </c>
      <c r="T874" t="s">
        <v>16972</v>
      </c>
      <c r="U874" t="s">
        <v>16973</v>
      </c>
      <c r="V874" t="s">
        <v>16974</v>
      </c>
      <c r="W874" t="s">
        <v>16975</v>
      </c>
      <c r="X874" t="s">
        <v>16976</v>
      </c>
      <c r="Y874" t="s">
        <v>16977</v>
      </c>
      <c r="Z874" t="s">
        <v>16978</v>
      </c>
      <c r="AA874" t="s">
        <v>16979</v>
      </c>
      <c r="AB874" t="s">
        <v>16980</v>
      </c>
      <c r="AC874" t="s">
        <v>16981</v>
      </c>
      <c r="AD874" t="s">
        <v>16982</v>
      </c>
      <c r="AE874" t="s">
        <v>16983</v>
      </c>
      <c r="AF874" t="s">
        <v>74</v>
      </c>
      <c r="AG874">
        <v>42</v>
      </c>
      <c r="AH874">
        <v>8</v>
      </c>
      <c r="AI874">
        <v>8</v>
      </c>
      <c r="AJ874">
        <v>5</v>
      </c>
      <c r="AK874">
        <v>24</v>
      </c>
      <c r="AL874" t="s">
        <v>847</v>
      </c>
      <c r="AM874" t="s">
        <v>848</v>
      </c>
      <c r="AN874" t="s">
        <v>849</v>
      </c>
      <c r="AO874" t="s">
        <v>16984</v>
      </c>
      <c r="AP874" t="s">
        <v>16985</v>
      </c>
      <c r="AQ874" t="s">
        <v>74</v>
      </c>
      <c r="AR874" t="s">
        <v>16986</v>
      </c>
      <c r="AS874" t="s">
        <v>16987</v>
      </c>
      <c r="AT874" t="s">
        <v>98</v>
      </c>
      <c r="AU874">
        <v>2021</v>
      </c>
      <c r="AV874">
        <v>603</v>
      </c>
      <c r="AW874" t="s">
        <v>74</v>
      </c>
      <c r="AX874" t="s">
        <v>5900</v>
      </c>
      <c r="AY874" t="s">
        <v>74</v>
      </c>
      <c r="AZ874" t="s">
        <v>74</v>
      </c>
      <c r="BA874" t="s">
        <v>74</v>
      </c>
      <c r="BB874" t="s">
        <v>74</v>
      </c>
      <c r="BC874" t="s">
        <v>74</v>
      </c>
      <c r="BD874">
        <v>126798</v>
      </c>
      <c r="BE874" t="s">
        <v>16988</v>
      </c>
      <c r="BF874" t="str">
        <f>HYPERLINK("http://dx.doi.org/10.1016/j.jhydrol.2021.126798","http://dx.doi.org/10.1016/j.jhydrol.2021.126798")</f>
        <v>http://dx.doi.org/10.1016/j.jhydrol.2021.126798</v>
      </c>
      <c r="BG874" t="s">
        <v>74</v>
      </c>
      <c r="BH874" t="s">
        <v>16043</v>
      </c>
      <c r="BI874">
        <v>16</v>
      </c>
      <c r="BJ874" t="s">
        <v>16989</v>
      </c>
      <c r="BK874" t="s">
        <v>101</v>
      </c>
      <c r="BL874" t="s">
        <v>16990</v>
      </c>
      <c r="BM874" t="s">
        <v>16991</v>
      </c>
      <c r="BN874" t="s">
        <v>74</v>
      </c>
      <c r="BO874" t="s">
        <v>2992</v>
      </c>
      <c r="BP874" t="s">
        <v>74</v>
      </c>
      <c r="BQ874" t="s">
        <v>74</v>
      </c>
      <c r="BR874" t="s">
        <v>105</v>
      </c>
      <c r="BS874" t="s">
        <v>16992</v>
      </c>
      <c r="BT874" t="str">
        <f>HYPERLINK("https%3A%2F%2Fwww.webofscience.com%2Fwos%2Fwoscc%2Ffull-record%2FWOS:000706313000008","View Full Record in Web of Science")</f>
        <v>View Full Record in Web of Science</v>
      </c>
    </row>
    <row r="875" spans="1:72" x14ac:dyDescent="0.15">
      <c r="A875" t="s">
        <v>72</v>
      </c>
      <c r="B875" t="s">
        <v>16993</v>
      </c>
      <c r="C875" t="s">
        <v>74</v>
      </c>
      <c r="D875" t="s">
        <v>74</v>
      </c>
      <c r="E875" t="s">
        <v>74</v>
      </c>
      <c r="F875" t="s">
        <v>16994</v>
      </c>
      <c r="G875" t="s">
        <v>74</v>
      </c>
      <c r="H875" t="s">
        <v>74</v>
      </c>
      <c r="I875" t="s">
        <v>16995</v>
      </c>
      <c r="J875" t="s">
        <v>16996</v>
      </c>
      <c r="K875" t="s">
        <v>74</v>
      </c>
      <c r="L875" t="s">
        <v>74</v>
      </c>
      <c r="M875" t="s">
        <v>78</v>
      </c>
      <c r="N875" t="s">
        <v>79</v>
      </c>
      <c r="O875" t="s">
        <v>74</v>
      </c>
      <c r="P875" t="s">
        <v>74</v>
      </c>
      <c r="Q875" t="s">
        <v>74</v>
      </c>
      <c r="R875" t="s">
        <v>74</v>
      </c>
      <c r="S875" t="s">
        <v>74</v>
      </c>
      <c r="T875" t="s">
        <v>16997</v>
      </c>
      <c r="U875" t="s">
        <v>16998</v>
      </c>
      <c r="V875" t="s">
        <v>16999</v>
      </c>
      <c r="W875" t="s">
        <v>17000</v>
      </c>
      <c r="X875" t="s">
        <v>17001</v>
      </c>
      <c r="Y875" t="s">
        <v>17002</v>
      </c>
      <c r="Z875" t="s">
        <v>17003</v>
      </c>
      <c r="AA875" t="s">
        <v>17004</v>
      </c>
      <c r="AB875" t="s">
        <v>17005</v>
      </c>
      <c r="AC875" t="s">
        <v>17006</v>
      </c>
      <c r="AD875" t="s">
        <v>17007</v>
      </c>
      <c r="AE875" t="s">
        <v>17008</v>
      </c>
      <c r="AF875" t="s">
        <v>74</v>
      </c>
      <c r="AG875">
        <v>50</v>
      </c>
      <c r="AH875">
        <v>36</v>
      </c>
      <c r="AI875">
        <v>37</v>
      </c>
      <c r="AJ875">
        <v>12</v>
      </c>
      <c r="AK875">
        <v>46</v>
      </c>
      <c r="AL875" t="s">
        <v>847</v>
      </c>
      <c r="AM875" t="s">
        <v>848</v>
      </c>
      <c r="AN875" t="s">
        <v>849</v>
      </c>
      <c r="AO875" t="s">
        <v>17009</v>
      </c>
      <c r="AP875" t="s">
        <v>17010</v>
      </c>
      <c r="AQ875" t="s">
        <v>74</v>
      </c>
      <c r="AR875" t="s">
        <v>17011</v>
      </c>
      <c r="AS875" t="s">
        <v>17012</v>
      </c>
      <c r="AT875" t="s">
        <v>310</v>
      </c>
      <c r="AU875">
        <v>2021</v>
      </c>
      <c r="AV875">
        <v>86</v>
      </c>
      <c r="AW875" t="s">
        <v>74</v>
      </c>
      <c r="AX875" t="s">
        <v>74</v>
      </c>
      <c r="AY875" t="s">
        <v>74</v>
      </c>
      <c r="AZ875" t="s">
        <v>74</v>
      </c>
      <c r="BA875" t="s">
        <v>74</v>
      </c>
      <c r="BB875" t="s">
        <v>74</v>
      </c>
      <c r="BC875" t="s">
        <v>74</v>
      </c>
      <c r="BD875">
        <v>104701</v>
      </c>
      <c r="BE875" t="s">
        <v>17013</v>
      </c>
      <c r="BF875" t="str">
        <f>HYPERLINK("http://dx.doi.org/10.1016/j.jff.2021.104701","http://dx.doi.org/10.1016/j.jff.2021.104701")</f>
        <v>http://dx.doi.org/10.1016/j.jff.2021.104701</v>
      </c>
      <c r="BG875" t="s">
        <v>74</v>
      </c>
      <c r="BH875" t="s">
        <v>16043</v>
      </c>
      <c r="BI875">
        <v>11</v>
      </c>
      <c r="BJ875" t="s">
        <v>17014</v>
      </c>
      <c r="BK875" t="s">
        <v>101</v>
      </c>
      <c r="BL875" t="s">
        <v>17014</v>
      </c>
      <c r="BM875" t="s">
        <v>17015</v>
      </c>
      <c r="BN875" t="s">
        <v>74</v>
      </c>
      <c r="BO875" t="s">
        <v>210</v>
      </c>
      <c r="BP875" t="s">
        <v>74</v>
      </c>
      <c r="BQ875" t="s">
        <v>74</v>
      </c>
      <c r="BR875" t="s">
        <v>105</v>
      </c>
      <c r="BS875" t="s">
        <v>17016</v>
      </c>
      <c r="BT875" t="str">
        <f>HYPERLINK("https%3A%2F%2Fwww.webofscience.com%2Fwos%2Fwoscc%2Ffull-record%2FWOS:000703883200001","View Full Record in Web of Science")</f>
        <v>View Full Record in Web of Science</v>
      </c>
    </row>
    <row r="876" spans="1:72" x14ac:dyDescent="0.15">
      <c r="A876" t="s">
        <v>72</v>
      </c>
      <c r="B876" t="s">
        <v>17017</v>
      </c>
      <c r="C876" t="s">
        <v>74</v>
      </c>
      <c r="D876" t="s">
        <v>74</v>
      </c>
      <c r="E876" t="s">
        <v>74</v>
      </c>
      <c r="F876" t="s">
        <v>17018</v>
      </c>
      <c r="G876" t="s">
        <v>74</v>
      </c>
      <c r="H876" t="s">
        <v>74</v>
      </c>
      <c r="I876" t="s">
        <v>17019</v>
      </c>
      <c r="J876" t="s">
        <v>1234</v>
      </c>
      <c r="K876" t="s">
        <v>74</v>
      </c>
      <c r="L876" t="s">
        <v>74</v>
      </c>
      <c r="M876" t="s">
        <v>78</v>
      </c>
      <c r="N876" t="s">
        <v>79</v>
      </c>
      <c r="O876" t="s">
        <v>74</v>
      </c>
      <c r="P876" t="s">
        <v>74</v>
      </c>
      <c r="Q876" t="s">
        <v>74</v>
      </c>
      <c r="R876" t="s">
        <v>74</v>
      </c>
      <c r="S876" t="s">
        <v>74</v>
      </c>
      <c r="T876" t="s">
        <v>17020</v>
      </c>
      <c r="U876" t="s">
        <v>17021</v>
      </c>
      <c r="V876" t="s">
        <v>17022</v>
      </c>
      <c r="W876" t="s">
        <v>17023</v>
      </c>
      <c r="X876" t="s">
        <v>17024</v>
      </c>
      <c r="Y876" t="s">
        <v>17025</v>
      </c>
      <c r="Z876" t="s">
        <v>17026</v>
      </c>
      <c r="AA876" t="s">
        <v>17027</v>
      </c>
      <c r="AB876" t="s">
        <v>17028</v>
      </c>
      <c r="AC876" t="s">
        <v>17029</v>
      </c>
      <c r="AD876" t="s">
        <v>17030</v>
      </c>
      <c r="AE876" t="s">
        <v>17031</v>
      </c>
      <c r="AF876" t="s">
        <v>74</v>
      </c>
      <c r="AG876">
        <v>116</v>
      </c>
      <c r="AH876">
        <v>2</v>
      </c>
      <c r="AI876">
        <v>2</v>
      </c>
      <c r="AJ876">
        <v>1</v>
      </c>
      <c r="AK876">
        <v>8</v>
      </c>
      <c r="AL876" t="s">
        <v>383</v>
      </c>
      <c r="AM876" t="s">
        <v>384</v>
      </c>
      <c r="AN876" t="s">
        <v>385</v>
      </c>
      <c r="AO876" t="s">
        <v>74</v>
      </c>
      <c r="AP876" t="s">
        <v>1243</v>
      </c>
      <c r="AQ876" t="s">
        <v>74</v>
      </c>
      <c r="AR876" t="s">
        <v>1244</v>
      </c>
      <c r="AS876" t="s">
        <v>1245</v>
      </c>
      <c r="AT876" t="s">
        <v>17032</v>
      </c>
      <c r="AU876">
        <v>2021</v>
      </c>
      <c r="AV876">
        <v>12</v>
      </c>
      <c r="AW876" t="s">
        <v>74</v>
      </c>
      <c r="AX876" t="s">
        <v>74</v>
      </c>
      <c r="AY876" t="s">
        <v>74</v>
      </c>
      <c r="AZ876" t="s">
        <v>74</v>
      </c>
      <c r="BA876" t="s">
        <v>74</v>
      </c>
      <c r="BB876" t="s">
        <v>74</v>
      </c>
      <c r="BC876" t="s">
        <v>74</v>
      </c>
      <c r="BD876" t="s">
        <v>74</v>
      </c>
      <c r="BE876" t="s">
        <v>17033</v>
      </c>
      <c r="BF876" t="str">
        <f>HYPERLINK("http://dx.doi.org/10.3389/fmicb.2021.709746","http://dx.doi.org/10.3389/fmicb.2021.709746")</f>
        <v>http://dx.doi.org/10.3389/fmicb.2021.709746</v>
      </c>
      <c r="BG876" t="s">
        <v>74</v>
      </c>
      <c r="BH876" t="s">
        <v>74</v>
      </c>
      <c r="BI876">
        <v>14</v>
      </c>
      <c r="BJ876" t="s">
        <v>975</v>
      </c>
      <c r="BK876" t="s">
        <v>101</v>
      </c>
      <c r="BL876" t="s">
        <v>975</v>
      </c>
      <c r="BM876" t="s">
        <v>17034</v>
      </c>
      <c r="BN876">
        <v>34504481</v>
      </c>
      <c r="BO876" t="s">
        <v>394</v>
      </c>
      <c r="BP876" t="s">
        <v>74</v>
      </c>
      <c r="BQ876" t="s">
        <v>74</v>
      </c>
      <c r="BR876" t="s">
        <v>105</v>
      </c>
      <c r="BS876" t="s">
        <v>17035</v>
      </c>
      <c r="BT876" t="str">
        <f>HYPERLINK("https%3A%2F%2Fwww.webofscience.com%2Fwos%2Fwoscc%2Ffull-record%2FWOS:000697398900001","View Full Record in Web of Science")</f>
        <v>View Full Record in Web of Science</v>
      </c>
    </row>
    <row r="877" spans="1:72" x14ac:dyDescent="0.15">
      <c r="A877" t="s">
        <v>72</v>
      </c>
      <c r="B877" t="s">
        <v>17036</v>
      </c>
      <c r="C877" t="s">
        <v>74</v>
      </c>
      <c r="D877" t="s">
        <v>74</v>
      </c>
      <c r="E877" t="s">
        <v>74</v>
      </c>
      <c r="F877" t="s">
        <v>17037</v>
      </c>
      <c r="G877" t="s">
        <v>74</v>
      </c>
      <c r="H877" t="s">
        <v>74</v>
      </c>
      <c r="I877" t="s">
        <v>17038</v>
      </c>
      <c r="J877" t="s">
        <v>17039</v>
      </c>
      <c r="K877" t="s">
        <v>74</v>
      </c>
      <c r="L877" t="s">
        <v>74</v>
      </c>
      <c r="M877" t="s">
        <v>78</v>
      </c>
      <c r="N877" t="s">
        <v>79</v>
      </c>
      <c r="O877" t="s">
        <v>74</v>
      </c>
      <c r="P877" t="s">
        <v>74</v>
      </c>
      <c r="Q877" t="s">
        <v>74</v>
      </c>
      <c r="R877" t="s">
        <v>74</v>
      </c>
      <c r="S877" t="s">
        <v>74</v>
      </c>
      <c r="T877" t="s">
        <v>17040</v>
      </c>
      <c r="U877" t="s">
        <v>17041</v>
      </c>
      <c r="V877" t="s">
        <v>17042</v>
      </c>
      <c r="W877" t="s">
        <v>17043</v>
      </c>
      <c r="X877" t="s">
        <v>17044</v>
      </c>
      <c r="Y877" t="s">
        <v>17045</v>
      </c>
      <c r="Z877" t="s">
        <v>17046</v>
      </c>
      <c r="AA877" t="s">
        <v>17047</v>
      </c>
      <c r="AB877" t="s">
        <v>17048</v>
      </c>
      <c r="AC877" t="s">
        <v>74</v>
      </c>
      <c r="AD877" t="s">
        <v>74</v>
      </c>
      <c r="AE877" t="s">
        <v>74</v>
      </c>
      <c r="AF877" t="s">
        <v>74</v>
      </c>
      <c r="AG877">
        <v>53</v>
      </c>
      <c r="AH877">
        <v>1</v>
      </c>
      <c r="AI877">
        <v>1</v>
      </c>
      <c r="AJ877">
        <v>0</v>
      </c>
      <c r="AK877">
        <v>7</v>
      </c>
      <c r="AL877" t="s">
        <v>4023</v>
      </c>
      <c r="AM877" t="s">
        <v>4024</v>
      </c>
      <c r="AN877" t="s">
        <v>4025</v>
      </c>
      <c r="AO877" t="s">
        <v>17049</v>
      </c>
      <c r="AP877" t="s">
        <v>17050</v>
      </c>
      <c r="AQ877" t="s">
        <v>74</v>
      </c>
      <c r="AR877" t="s">
        <v>17051</v>
      </c>
      <c r="AS877" t="s">
        <v>17052</v>
      </c>
      <c r="AT877" t="s">
        <v>4030</v>
      </c>
      <c r="AU877">
        <v>2021</v>
      </c>
      <c r="AV877">
        <v>38</v>
      </c>
      <c r="AW877">
        <v>10</v>
      </c>
      <c r="AX877" t="s">
        <v>74</v>
      </c>
      <c r="AY877" t="s">
        <v>74</v>
      </c>
      <c r="AZ877" t="s">
        <v>74</v>
      </c>
      <c r="BA877" t="s">
        <v>74</v>
      </c>
      <c r="BB877">
        <v>859</v>
      </c>
      <c r="BC877">
        <v>868</v>
      </c>
      <c r="BD877" t="s">
        <v>74</v>
      </c>
      <c r="BE877" t="s">
        <v>17053</v>
      </c>
      <c r="BF877" t="str">
        <f>HYPERLINK("http://dx.doi.org/10.1080/01490451.2021.1966141","http://dx.doi.org/10.1080/01490451.2021.1966141")</f>
        <v>http://dx.doi.org/10.1080/01490451.2021.1966141</v>
      </c>
      <c r="BG877" t="s">
        <v>74</v>
      </c>
      <c r="BH877" t="s">
        <v>16043</v>
      </c>
      <c r="BI877">
        <v>10</v>
      </c>
      <c r="BJ877" t="s">
        <v>5206</v>
      </c>
      <c r="BK877" t="s">
        <v>101</v>
      </c>
      <c r="BL877" t="s">
        <v>1573</v>
      </c>
      <c r="BM877" t="s">
        <v>17054</v>
      </c>
      <c r="BN877" t="s">
        <v>74</v>
      </c>
      <c r="BO877" t="s">
        <v>74</v>
      </c>
      <c r="BP877" t="s">
        <v>74</v>
      </c>
      <c r="BQ877" t="s">
        <v>74</v>
      </c>
      <c r="BR877" t="s">
        <v>105</v>
      </c>
      <c r="BS877" t="s">
        <v>17055</v>
      </c>
      <c r="BT877" t="str">
        <f>HYPERLINK("https%3A%2F%2Fwww.webofscience.com%2Fwos%2Fwoscc%2Ffull-record%2FWOS:000688351700001","View Full Record in Web of Science")</f>
        <v>View Full Record in Web of Science</v>
      </c>
    </row>
    <row r="878" spans="1:72" x14ac:dyDescent="0.15">
      <c r="A878" t="s">
        <v>72</v>
      </c>
      <c r="B878" t="s">
        <v>17056</v>
      </c>
      <c r="C878" t="s">
        <v>74</v>
      </c>
      <c r="D878" t="s">
        <v>74</v>
      </c>
      <c r="E878" t="s">
        <v>74</v>
      </c>
      <c r="F878" t="s">
        <v>17057</v>
      </c>
      <c r="G878" t="s">
        <v>74</v>
      </c>
      <c r="H878" t="s">
        <v>74</v>
      </c>
      <c r="I878" t="s">
        <v>17058</v>
      </c>
      <c r="J878" t="s">
        <v>17059</v>
      </c>
      <c r="K878" t="s">
        <v>74</v>
      </c>
      <c r="L878" t="s">
        <v>74</v>
      </c>
      <c r="M878" t="s">
        <v>78</v>
      </c>
      <c r="N878" t="s">
        <v>79</v>
      </c>
      <c r="O878" t="s">
        <v>74</v>
      </c>
      <c r="P878" t="s">
        <v>74</v>
      </c>
      <c r="Q878" t="s">
        <v>74</v>
      </c>
      <c r="R878" t="s">
        <v>74</v>
      </c>
      <c r="S878" t="s">
        <v>74</v>
      </c>
      <c r="T878" t="s">
        <v>17060</v>
      </c>
      <c r="U878" t="s">
        <v>17061</v>
      </c>
      <c r="V878" t="s">
        <v>17062</v>
      </c>
      <c r="W878" t="s">
        <v>17063</v>
      </c>
      <c r="X878" t="s">
        <v>17064</v>
      </c>
      <c r="Y878" t="s">
        <v>17065</v>
      </c>
      <c r="Z878" t="s">
        <v>17066</v>
      </c>
      <c r="AA878" t="s">
        <v>17067</v>
      </c>
      <c r="AB878" t="s">
        <v>17068</v>
      </c>
      <c r="AC878" t="s">
        <v>17069</v>
      </c>
      <c r="AD878" t="s">
        <v>17070</v>
      </c>
      <c r="AE878" t="s">
        <v>17071</v>
      </c>
      <c r="AF878" t="s">
        <v>74</v>
      </c>
      <c r="AG878">
        <v>34</v>
      </c>
      <c r="AH878">
        <v>7</v>
      </c>
      <c r="AI878">
        <v>7</v>
      </c>
      <c r="AJ878">
        <v>0</v>
      </c>
      <c r="AK878">
        <v>7</v>
      </c>
      <c r="AL878" t="s">
        <v>572</v>
      </c>
      <c r="AM878" t="s">
        <v>573</v>
      </c>
      <c r="AN878" t="s">
        <v>574</v>
      </c>
      <c r="AO878" t="s">
        <v>17072</v>
      </c>
      <c r="AP878" t="s">
        <v>74</v>
      </c>
      <c r="AQ878" t="s">
        <v>74</v>
      </c>
      <c r="AR878" t="s">
        <v>17073</v>
      </c>
      <c r="AS878" t="s">
        <v>17074</v>
      </c>
      <c r="AT878" t="s">
        <v>416</v>
      </c>
      <c r="AU878">
        <v>2022</v>
      </c>
      <c r="AV878">
        <v>23</v>
      </c>
      <c r="AW878">
        <v>1</v>
      </c>
      <c r="AX878" t="s">
        <v>74</v>
      </c>
      <c r="AY878" t="s">
        <v>74</v>
      </c>
      <c r="AZ878" t="s">
        <v>74</v>
      </c>
      <c r="BA878" t="s">
        <v>74</v>
      </c>
      <c r="BB878" t="s">
        <v>74</v>
      </c>
      <c r="BC878" t="s">
        <v>74</v>
      </c>
      <c r="BD878" t="s">
        <v>17075</v>
      </c>
      <c r="BE878" t="s">
        <v>17076</v>
      </c>
      <c r="BF878" t="str">
        <f>HYPERLINK("http://dx.doi.org/10.1002/asl.1066","http://dx.doi.org/10.1002/asl.1066")</f>
        <v>http://dx.doi.org/10.1002/asl.1066</v>
      </c>
      <c r="BG878" t="s">
        <v>74</v>
      </c>
      <c r="BH878" t="s">
        <v>16043</v>
      </c>
      <c r="BI878">
        <v>10</v>
      </c>
      <c r="BJ878" t="s">
        <v>5973</v>
      </c>
      <c r="BK878" t="s">
        <v>101</v>
      </c>
      <c r="BL878" t="s">
        <v>5973</v>
      </c>
      <c r="BM878" t="s">
        <v>17077</v>
      </c>
      <c r="BN878" t="s">
        <v>74</v>
      </c>
      <c r="BO878" t="s">
        <v>1094</v>
      </c>
      <c r="BP878" t="s">
        <v>74</v>
      </c>
      <c r="BQ878" t="s">
        <v>74</v>
      </c>
      <c r="BR878" t="s">
        <v>105</v>
      </c>
      <c r="BS878" t="s">
        <v>17078</v>
      </c>
      <c r="BT878" t="str">
        <f>HYPERLINK("https%3A%2F%2Fwww.webofscience.com%2Fwos%2Fwoscc%2Ffull-record%2FWOS:000687888200001","View Full Record in Web of Science")</f>
        <v>View Full Record in Web of Science</v>
      </c>
    </row>
    <row r="879" spans="1:72" x14ac:dyDescent="0.15">
      <c r="A879" t="s">
        <v>72</v>
      </c>
      <c r="B879" t="s">
        <v>5929</v>
      </c>
      <c r="C879" t="s">
        <v>74</v>
      </c>
      <c r="D879" t="s">
        <v>74</v>
      </c>
      <c r="E879" t="s">
        <v>74</v>
      </c>
      <c r="F879" t="s">
        <v>5930</v>
      </c>
      <c r="G879" t="s">
        <v>74</v>
      </c>
      <c r="H879" t="s">
        <v>74</v>
      </c>
      <c r="I879" t="s">
        <v>17079</v>
      </c>
      <c r="J879" t="s">
        <v>17080</v>
      </c>
      <c r="K879" t="s">
        <v>74</v>
      </c>
      <c r="L879" t="s">
        <v>74</v>
      </c>
      <c r="M879" t="s">
        <v>78</v>
      </c>
      <c r="N879" t="s">
        <v>79</v>
      </c>
      <c r="O879" t="s">
        <v>74</v>
      </c>
      <c r="P879" t="s">
        <v>74</v>
      </c>
      <c r="Q879" t="s">
        <v>74</v>
      </c>
      <c r="R879" t="s">
        <v>74</v>
      </c>
      <c r="S879" t="s">
        <v>74</v>
      </c>
      <c r="T879" t="s">
        <v>17081</v>
      </c>
      <c r="U879" t="s">
        <v>17082</v>
      </c>
      <c r="V879" t="s">
        <v>17083</v>
      </c>
      <c r="W879" t="s">
        <v>5935</v>
      </c>
      <c r="X879" t="s">
        <v>5936</v>
      </c>
      <c r="Y879" t="s">
        <v>5937</v>
      </c>
      <c r="Z879" t="s">
        <v>5938</v>
      </c>
      <c r="AA879" t="s">
        <v>74</v>
      </c>
      <c r="AB879" t="s">
        <v>5939</v>
      </c>
      <c r="AC879" t="s">
        <v>17084</v>
      </c>
      <c r="AD879" t="s">
        <v>17085</v>
      </c>
      <c r="AE879" t="s">
        <v>17086</v>
      </c>
      <c r="AF879" t="s">
        <v>74</v>
      </c>
      <c r="AG879">
        <v>29</v>
      </c>
      <c r="AH879">
        <v>5</v>
      </c>
      <c r="AI879">
        <v>5</v>
      </c>
      <c r="AJ879">
        <v>1</v>
      </c>
      <c r="AK879">
        <v>4</v>
      </c>
      <c r="AL879" t="s">
        <v>847</v>
      </c>
      <c r="AM879" t="s">
        <v>848</v>
      </c>
      <c r="AN879" t="s">
        <v>849</v>
      </c>
      <c r="AO879" t="s">
        <v>17087</v>
      </c>
      <c r="AP879" t="s">
        <v>17088</v>
      </c>
      <c r="AQ879" t="s">
        <v>74</v>
      </c>
      <c r="AR879" t="s">
        <v>17089</v>
      </c>
      <c r="AS879" t="s">
        <v>17090</v>
      </c>
      <c r="AT879" t="s">
        <v>98</v>
      </c>
      <c r="AU879">
        <v>2021</v>
      </c>
      <c r="AV879">
        <v>192</v>
      </c>
      <c r="AW879" t="s">
        <v>74</v>
      </c>
      <c r="AX879" t="s">
        <v>74</v>
      </c>
      <c r="AY879" t="s">
        <v>74</v>
      </c>
      <c r="AZ879" t="s">
        <v>74</v>
      </c>
      <c r="BA879" t="s">
        <v>74</v>
      </c>
      <c r="BB879" t="s">
        <v>74</v>
      </c>
      <c r="BC879" t="s">
        <v>74</v>
      </c>
      <c r="BD879">
        <v>103378</v>
      </c>
      <c r="BE879" t="s">
        <v>17091</v>
      </c>
      <c r="BF879" t="str">
        <f>HYPERLINK("http://dx.doi.org/10.1016/j.coldregions.2021.103378","http://dx.doi.org/10.1016/j.coldregions.2021.103378")</f>
        <v>http://dx.doi.org/10.1016/j.coldregions.2021.103378</v>
      </c>
      <c r="BG879" t="s">
        <v>74</v>
      </c>
      <c r="BH879" t="s">
        <v>16043</v>
      </c>
      <c r="BI879">
        <v>21</v>
      </c>
      <c r="BJ879" t="s">
        <v>17092</v>
      </c>
      <c r="BK879" t="s">
        <v>101</v>
      </c>
      <c r="BL879" t="s">
        <v>17093</v>
      </c>
      <c r="BM879" t="s">
        <v>17094</v>
      </c>
      <c r="BN879" t="s">
        <v>74</v>
      </c>
      <c r="BO879" t="s">
        <v>74</v>
      </c>
      <c r="BP879" t="s">
        <v>74</v>
      </c>
      <c r="BQ879" t="s">
        <v>74</v>
      </c>
      <c r="BR879" t="s">
        <v>105</v>
      </c>
      <c r="BS879" t="s">
        <v>17095</v>
      </c>
      <c r="BT879" t="str">
        <f>HYPERLINK("https%3A%2F%2Fwww.webofscience.com%2Fwos%2Fwoscc%2Ffull-record%2FWOS:000711725700002","View Full Record in Web of Science")</f>
        <v>View Full Record in Web of Science</v>
      </c>
    </row>
    <row r="880" spans="1:72" x14ac:dyDescent="0.15">
      <c r="A880" t="s">
        <v>72</v>
      </c>
      <c r="B880" t="s">
        <v>17096</v>
      </c>
      <c r="C880" t="s">
        <v>74</v>
      </c>
      <c r="D880" t="s">
        <v>74</v>
      </c>
      <c r="E880" t="s">
        <v>74</v>
      </c>
      <c r="F880" t="s">
        <v>17097</v>
      </c>
      <c r="G880" t="s">
        <v>74</v>
      </c>
      <c r="H880" t="s">
        <v>74</v>
      </c>
      <c r="I880" t="s">
        <v>17098</v>
      </c>
      <c r="J880" t="s">
        <v>3228</v>
      </c>
      <c r="K880" t="s">
        <v>74</v>
      </c>
      <c r="L880" t="s">
        <v>74</v>
      </c>
      <c r="M880" t="s">
        <v>78</v>
      </c>
      <c r="N880" t="s">
        <v>79</v>
      </c>
      <c r="O880" t="s">
        <v>74</v>
      </c>
      <c r="P880" t="s">
        <v>74</v>
      </c>
      <c r="Q880" t="s">
        <v>74</v>
      </c>
      <c r="R880" t="s">
        <v>74</v>
      </c>
      <c r="S880" t="s">
        <v>74</v>
      </c>
      <c r="T880" t="s">
        <v>17099</v>
      </c>
      <c r="U880" t="s">
        <v>17100</v>
      </c>
      <c r="V880" t="s">
        <v>17101</v>
      </c>
      <c r="W880" t="s">
        <v>17102</v>
      </c>
      <c r="X880" t="s">
        <v>17103</v>
      </c>
      <c r="Y880" t="s">
        <v>17104</v>
      </c>
      <c r="Z880" t="s">
        <v>17105</v>
      </c>
      <c r="AA880" t="s">
        <v>17106</v>
      </c>
      <c r="AB880" t="s">
        <v>17107</v>
      </c>
      <c r="AC880" t="s">
        <v>17108</v>
      </c>
      <c r="AD880" t="s">
        <v>17109</v>
      </c>
      <c r="AE880" t="s">
        <v>17110</v>
      </c>
      <c r="AF880" t="s">
        <v>74</v>
      </c>
      <c r="AG880">
        <v>83</v>
      </c>
      <c r="AH880">
        <v>4</v>
      </c>
      <c r="AI880">
        <v>5</v>
      </c>
      <c r="AJ880">
        <v>5</v>
      </c>
      <c r="AK880">
        <v>10</v>
      </c>
      <c r="AL880" t="s">
        <v>847</v>
      </c>
      <c r="AM880" t="s">
        <v>848</v>
      </c>
      <c r="AN880" t="s">
        <v>849</v>
      </c>
      <c r="AO880" t="s">
        <v>3238</v>
      </c>
      <c r="AP880" t="s">
        <v>3239</v>
      </c>
      <c r="AQ880" t="s">
        <v>74</v>
      </c>
      <c r="AR880" t="s">
        <v>3240</v>
      </c>
      <c r="AS880" t="s">
        <v>3241</v>
      </c>
      <c r="AT880" t="s">
        <v>310</v>
      </c>
      <c r="AU880">
        <v>2021</v>
      </c>
      <c r="AV880">
        <v>441</v>
      </c>
      <c r="AW880" t="s">
        <v>74</v>
      </c>
      <c r="AX880" t="s">
        <v>74</v>
      </c>
      <c r="AY880" t="s">
        <v>74</v>
      </c>
      <c r="AZ880" t="s">
        <v>74</v>
      </c>
      <c r="BA880" t="s">
        <v>74</v>
      </c>
      <c r="BB880" t="s">
        <v>74</v>
      </c>
      <c r="BC880" t="s">
        <v>74</v>
      </c>
      <c r="BD880">
        <v>106598</v>
      </c>
      <c r="BE880" t="s">
        <v>17111</v>
      </c>
      <c r="BF880" t="str">
        <f>HYPERLINK("http://dx.doi.org/10.1016/j.margeo.2021.106598","http://dx.doi.org/10.1016/j.margeo.2021.106598")</f>
        <v>http://dx.doi.org/10.1016/j.margeo.2021.106598</v>
      </c>
      <c r="BG880" t="s">
        <v>74</v>
      </c>
      <c r="BH880" t="s">
        <v>16043</v>
      </c>
      <c r="BI880">
        <v>18</v>
      </c>
      <c r="BJ880" t="s">
        <v>177</v>
      </c>
      <c r="BK880" t="s">
        <v>101</v>
      </c>
      <c r="BL880" t="s">
        <v>178</v>
      </c>
      <c r="BM880" t="s">
        <v>13458</v>
      </c>
      <c r="BN880" t="s">
        <v>74</v>
      </c>
      <c r="BO880" t="s">
        <v>17112</v>
      </c>
      <c r="BP880" t="s">
        <v>74</v>
      </c>
      <c r="BQ880" t="s">
        <v>74</v>
      </c>
      <c r="BR880" t="s">
        <v>105</v>
      </c>
      <c r="BS880" t="s">
        <v>17113</v>
      </c>
      <c r="BT880" t="str">
        <f>HYPERLINK("https%3A%2F%2Fwww.webofscience.com%2Fwos%2Fwoscc%2Ffull-record%2FWOS:000697734600004","View Full Record in Web of Science")</f>
        <v>View Full Record in Web of Science</v>
      </c>
    </row>
    <row r="881" spans="1:72" x14ac:dyDescent="0.15">
      <c r="A881" t="s">
        <v>72</v>
      </c>
      <c r="B881" t="s">
        <v>17114</v>
      </c>
      <c r="C881" t="s">
        <v>74</v>
      </c>
      <c r="D881" t="s">
        <v>74</v>
      </c>
      <c r="E881" t="s">
        <v>74</v>
      </c>
      <c r="F881" t="s">
        <v>17115</v>
      </c>
      <c r="G881" t="s">
        <v>74</v>
      </c>
      <c r="H881" t="s">
        <v>74</v>
      </c>
      <c r="I881" t="s">
        <v>17116</v>
      </c>
      <c r="J881" t="s">
        <v>2451</v>
      </c>
      <c r="K881" t="s">
        <v>74</v>
      </c>
      <c r="L881" t="s">
        <v>74</v>
      </c>
      <c r="M881" t="s">
        <v>78</v>
      </c>
      <c r="N881" t="s">
        <v>79</v>
      </c>
      <c r="O881" t="s">
        <v>74</v>
      </c>
      <c r="P881" t="s">
        <v>74</v>
      </c>
      <c r="Q881" t="s">
        <v>74</v>
      </c>
      <c r="R881" t="s">
        <v>74</v>
      </c>
      <c r="S881" t="s">
        <v>74</v>
      </c>
      <c r="T881" t="s">
        <v>17117</v>
      </c>
      <c r="U881" t="s">
        <v>17118</v>
      </c>
      <c r="V881" t="s">
        <v>17119</v>
      </c>
      <c r="W881" t="s">
        <v>17120</v>
      </c>
      <c r="X881" t="s">
        <v>17121</v>
      </c>
      <c r="Y881" t="s">
        <v>17122</v>
      </c>
      <c r="Z881" t="s">
        <v>17123</v>
      </c>
      <c r="AA881" t="s">
        <v>17124</v>
      </c>
      <c r="AB881" t="s">
        <v>17125</v>
      </c>
      <c r="AC881" t="s">
        <v>17126</v>
      </c>
      <c r="AD881" t="s">
        <v>17127</v>
      </c>
      <c r="AE881" t="s">
        <v>17128</v>
      </c>
      <c r="AF881" t="s">
        <v>74</v>
      </c>
      <c r="AG881">
        <v>135</v>
      </c>
      <c r="AH881">
        <v>4</v>
      </c>
      <c r="AI881">
        <v>7</v>
      </c>
      <c r="AJ881">
        <v>0</v>
      </c>
      <c r="AK881">
        <v>21</v>
      </c>
      <c r="AL881" t="s">
        <v>847</v>
      </c>
      <c r="AM881" t="s">
        <v>848</v>
      </c>
      <c r="AN881" t="s">
        <v>849</v>
      </c>
      <c r="AO881" t="s">
        <v>2464</v>
      </c>
      <c r="AP881" t="s">
        <v>2465</v>
      </c>
      <c r="AQ881" t="s">
        <v>74</v>
      </c>
      <c r="AR881" t="s">
        <v>2466</v>
      </c>
      <c r="AS881" t="s">
        <v>2467</v>
      </c>
      <c r="AT881" t="s">
        <v>7760</v>
      </c>
      <c r="AU881">
        <v>2021</v>
      </c>
      <c r="AV881">
        <v>205</v>
      </c>
      <c r="AW881" t="s">
        <v>74</v>
      </c>
      <c r="AX881" t="s">
        <v>74</v>
      </c>
      <c r="AY881" t="s">
        <v>74</v>
      </c>
      <c r="AZ881" t="s">
        <v>74</v>
      </c>
      <c r="BA881" t="s">
        <v>74</v>
      </c>
      <c r="BB881" t="s">
        <v>74</v>
      </c>
      <c r="BC881" t="s">
        <v>74</v>
      </c>
      <c r="BD881">
        <v>103589</v>
      </c>
      <c r="BE881" t="s">
        <v>17129</v>
      </c>
      <c r="BF881" t="str">
        <f>HYPERLINK("http://dx.doi.org/10.1016/j.gloplacha.2021.103589","http://dx.doi.org/10.1016/j.gloplacha.2021.103589")</f>
        <v>http://dx.doi.org/10.1016/j.gloplacha.2021.103589</v>
      </c>
      <c r="BG881" t="s">
        <v>74</v>
      </c>
      <c r="BH881" t="s">
        <v>16043</v>
      </c>
      <c r="BI881">
        <v>12</v>
      </c>
      <c r="BJ881" t="s">
        <v>340</v>
      </c>
      <c r="BK881" t="s">
        <v>101</v>
      </c>
      <c r="BL881" t="s">
        <v>341</v>
      </c>
      <c r="BM881" t="s">
        <v>17130</v>
      </c>
      <c r="BN881" t="s">
        <v>74</v>
      </c>
      <c r="BO881" t="s">
        <v>74</v>
      </c>
      <c r="BP881" t="s">
        <v>74</v>
      </c>
      <c r="BQ881" t="s">
        <v>74</v>
      </c>
      <c r="BR881" t="s">
        <v>105</v>
      </c>
      <c r="BS881" t="s">
        <v>17131</v>
      </c>
      <c r="BT881" t="str">
        <f>HYPERLINK("https%3A%2F%2Fwww.webofscience.com%2Fwos%2Fwoscc%2Ffull-record%2FWOS:000694744000002","View Full Record in Web of Science")</f>
        <v>View Full Record in Web of Science</v>
      </c>
    </row>
    <row r="882" spans="1:72" x14ac:dyDescent="0.15">
      <c r="A882" t="s">
        <v>72</v>
      </c>
      <c r="B882" t="s">
        <v>17132</v>
      </c>
      <c r="C882" t="s">
        <v>74</v>
      </c>
      <c r="D882" t="s">
        <v>74</v>
      </c>
      <c r="E882" t="s">
        <v>74</v>
      </c>
      <c r="F882" t="s">
        <v>17133</v>
      </c>
      <c r="G882" t="s">
        <v>74</v>
      </c>
      <c r="H882" t="s">
        <v>74</v>
      </c>
      <c r="I882" t="s">
        <v>17134</v>
      </c>
      <c r="J882" t="s">
        <v>17135</v>
      </c>
      <c r="K882" t="s">
        <v>74</v>
      </c>
      <c r="L882" t="s">
        <v>74</v>
      </c>
      <c r="M882" t="s">
        <v>78</v>
      </c>
      <c r="N882" t="s">
        <v>79</v>
      </c>
      <c r="O882" t="s">
        <v>74</v>
      </c>
      <c r="P882" t="s">
        <v>74</v>
      </c>
      <c r="Q882" t="s">
        <v>74</v>
      </c>
      <c r="R882" t="s">
        <v>74</v>
      </c>
      <c r="S882" t="s">
        <v>74</v>
      </c>
      <c r="T882" t="s">
        <v>17136</v>
      </c>
      <c r="U882" t="s">
        <v>17137</v>
      </c>
      <c r="V882" t="s">
        <v>17138</v>
      </c>
      <c r="W882" t="s">
        <v>17139</v>
      </c>
      <c r="X882" t="s">
        <v>17140</v>
      </c>
      <c r="Y882" t="s">
        <v>17141</v>
      </c>
      <c r="Z882" t="s">
        <v>17142</v>
      </c>
      <c r="AA882" t="s">
        <v>17143</v>
      </c>
      <c r="AB882" t="s">
        <v>17144</v>
      </c>
      <c r="AC882" t="s">
        <v>17145</v>
      </c>
      <c r="AD882" t="s">
        <v>17146</v>
      </c>
      <c r="AE882" t="s">
        <v>17147</v>
      </c>
      <c r="AF882" t="s">
        <v>74</v>
      </c>
      <c r="AG882">
        <v>74</v>
      </c>
      <c r="AH882">
        <v>2</v>
      </c>
      <c r="AI882">
        <v>2</v>
      </c>
      <c r="AJ882">
        <v>4</v>
      </c>
      <c r="AK882">
        <v>29</v>
      </c>
      <c r="AL882" t="s">
        <v>255</v>
      </c>
      <c r="AM882" t="s">
        <v>256</v>
      </c>
      <c r="AN882" t="s">
        <v>257</v>
      </c>
      <c r="AO882" t="s">
        <v>17148</v>
      </c>
      <c r="AP882" t="s">
        <v>17149</v>
      </c>
      <c r="AQ882" t="s">
        <v>74</v>
      </c>
      <c r="AR882" t="s">
        <v>17150</v>
      </c>
      <c r="AS882" t="s">
        <v>17151</v>
      </c>
      <c r="AT882" t="s">
        <v>7760</v>
      </c>
      <c r="AU882">
        <v>2021</v>
      </c>
      <c r="AV882">
        <v>160</v>
      </c>
      <c r="AW882" t="s">
        <v>74</v>
      </c>
      <c r="AX882" t="s">
        <v>74</v>
      </c>
      <c r="AY882" t="s">
        <v>74</v>
      </c>
      <c r="AZ882" t="s">
        <v>74</v>
      </c>
      <c r="BA882" t="s">
        <v>74</v>
      </c>
      <c r="BB882" t="s">
        <v>74</v>
      </c>
      <c r="BC882" t="s">
        <v>74</v>
      </c>
      <c r="BD882">
        <v>104288</v>
      </c>
      <c r="BE882" t="s">
        <v>17152</v>
      </c>
      <c r="BF882" t="str">
        <f>HYPERLINK("http://dx.doi.org/10.1016/j.orggeochem.2021.104288","http://dx.doi.org/10.1016/j.orggeochem.2021.104288")</f>
        <v>http://dx.doi.org/10.1016/j.orggeochem.2021.104288</v>
      </c>
      <c r="BG882" t="s">
        <v>74</v>
      </c>
      <c r="BH882" t="s">
        <v>16043</v>
      </c>
      <c r="BI882">
        <v>10</v>
      </c>
      <c r="BJ882" t="s">
        <v>365</v>
      </c>
      <c r="BK882" t="s">
        <v>101</v>
      </c>
      <c r="BL882" t="s">
        <v>365</v>
      </c>
      <c r="BM882" t="s">
        <v>17153</v>
      </c>
      <c r="BN882" t="s">
        <v>74</v>
      </c>
      <c r="BO882" t="s">
        <v>419</v>
      </c>
      <c r="BP882" t="s">
        <v>74</v>
      </c>
      <c r="BQ882" t="s">
        <v>74</v>
      </c>
      <c r="BR882" t="s">
        <v>105</v>
      </c>
      <c r="BS882" t="s">
        <v>17154</v>
      </c>
      <c r="BT882" t="str">
        <f>HYPERLINK("https%3A%2F%2Fwww.webofscience.com%2Fwos%2Fwoscc%2Ffull-record%2FWOS:000693345900006","View Full Record in Web of Science")</f>
        <v>View Full Record in Web of Science</v>
      </c>
    </row>
    <row r="883" spans="1:72" x14ac:dyDescent="0.15">
      <c r="A883" t="s">
        <v>72</v>
      </c>
      <c r="B883" t="s">
        <v>17155</v>
      </c>
      <c r="C883" t="s">
        <v>74</v>
      </c>
      <c r="D883" t="s">
        <v>74</v>
      </c>
      <c r="E883" t="s">
        <v>74</v>
      </c>
      <c r="F883" t="s">
        <v>17156</v>
      </c>
      <c r="G883" t="s">
        <v>74</v>
      </c>
      <c r="H883" t="s">
        <v>74</v>
      </c>
      <c r="I883" t="s">
        <v>17157</v>
      </c>
      <c r="J883" t="s">
        <v>3498</v>
      </c>
      <c r="K883" t="s">
        <v>74</v>
      </c>
      <c r="L883" t="s">
        <v>74</v>
      </c>
      <c r="M883" t="s">
        <v>78</v>
      </c>
      <c r="N883" t="s">
        <v>79</v>
      </c>
      <c r="O883" t="s">
        <v>74</v>
      </c>
      <c r="P883" t="s">
        <v>74</v>
      </c>
      <c r="Q883" t="s">
        <v>74</v>
      </c>
      <c r="R883" t="s">
        <v>74</v>
      </c>
      <c r="S883" t="s">
        <v>74</v>
      </c>
      <c r="T883" t="s">
        <v>74</v>
      </c>
      <c r="U883" t="s">
        <v>17158</v>
      </c>
      <c r="V883" t="s">
        <v>17159</v>
      </c>
      <c r="W883" t="s">
        <v>17160</v>
      </c>
      <c r="X883" t="s">
        <v>17161</v>
      </c>
      <c r="Y883" t="s">
        <v>17162</v>
      </c>
      <c r="Z883" t="s">
        <v>17163</v>
      </c>
      <c r="AA883" t="s">
        <v>17164</v>
      </c>
      <c r="AB883" t="s">
        <v>17165</v>
      </c>
      <c r="AC883" t="s">
        <v>17166</v>
      </c>
      <c r="AD883" t="s">
        <v>4310</v>
      </c>
      <c r="AE883" t="s">
        <v>17167</v>
      </c>
      <c r="AF883" t="s">
        <v>74</v>
      </c>
      <c r="AG883">
        <v>81</v>
      </c>
      <c r="AH883">
        <v>15</v>
      </c>
      <c r="AI883">
        <v>15</v>
      </c>
      <c r="AJ883">
        <v>2</v>
      </c>
      <c r="AK883">
        <v>15</v>
      </c>
      <c r="AL883" t="s">
        <v>3506</v>
      </c>
      <c r="AM883" t="s">
        <v>994</v>
      </c>
      <c r="AN883" t="s">
        <v>3507</v>
      </c>
      <c r="AO883" t="s">
        <v>3508</v>
      </c>
      <c r="AP883" t="s">
        <v>3509</v>
      </c>
      <c r="AQ883" t="s">
        <v>74</v>
      </c>
      <c r="AR883" t="s">
        <v>3510</v>
      </c>
      <c r="AS883" t="s">
        <v>3511</v>
      </c>
      <c r="AT883" t="s">
        <v>17168</v>
      </c>
      <c r="AU883">
        <v>2021</v>
      </c>
      <c r="AV883">
        <v>31</v>
      </c>
      <c r="AW883">
        <v>16</v>
      </c>
      <c r="AX883" t="s">
        <v>74</v>
      </c>
      <c r="AY883" t="s">
        <v>74</v>
      </c>
      <c r="AZ883" t="s">
        <v>74</v>
      </c>
      <c r="BA883" t="s">
        <v>74</v>
      </c>
      <c r="BB883">
        <v>3469</v>
      </c>
      <c r="BC883" t="s">
        <v>499</v>
      </c>
      <c r="BD883" t="s">
        <v>74</v>
      </c>
      <c r="BE883" t="s">
        <v>17169</v>
      </c>
      <c r="BF883" t="str">
        <f>HYPERLINK("http://dx.doi.org/10.1016/j.cub.2021.05.041","http://dx.doi.org/10.1016/j.cub.2021.05.041")</f>
        <v>http://dx.doi.org/10.1016/j.cub.2021.05.041</v>
      </c>
      <c r="BG883" t="s">
        <v>74</v>
      </c>
      <c r="BH883" t="s">
        <v>16043</v>
      </c>
      <c r="BI883">
        <v>16</v>
      </c>
      <c r="BJ883" t="s">
        <v>3516</v>
      </c>
      <c r="BK883" t="s">
        <v>101</v>
      </c>
      <c r="BL883" t="s">
        <v>3517</v>
      </c>
      <c r="BM883" t="s">
        <v>17170</v>
      </c>
      <c r="BN883">
        <v>34171301</v>
      </c>
      <c r="BO883" t="s">
        <v>1471</v>
      </c>
      <c r="BP883" t="s">
        <v>74</v>
      </c>
      <c r="BQ883" t="s">
        <v>74</v>
      </c>
      <c r="BR883" t="s">
        <v>105</v>
      </c>
      <c r="BS883" t="s">
        <v>17171</v>
      </c>
      <c r="BT883" t="str">
        <f>HYPERLINK("https%3A%2F%2Fwww.webofscience.com%2Fwos%2Fwoscc%2Ffull-record%2FWOS:000687948600001","View Full Record in Web of Science")</f>
        <v>View Full Record in Web of Science</v>
      </c>
    </row>
    <row r="884" spans="1:72" x14ac:dyDescent="0.15">
      <c r="A884" t="s">
        <v>72</v>
      </c>
      <c r="B884" t="s">
        <v>17172</v>
      </c>
      <c r="C884" t="s">
        <v>74</v>
      </c>
      <c r="D884" t="s">
        <v>74</v>
      </c>
      <c r="E884" t="s">
        <v>74</v>
      </c>
      <c r="F884" t="s">
        <v>17173</v>
      </c>
      <c r="G884" t="s">
        <v>74</v>
      </c>
      <c r="H884" t="s">
        <v>74</v>
      </c>
      <c r="I884" t="s">
        <v>17174</v>
      </c>
      <c r="J884" t="s">
        <v>215</v>
      </c>
      <c r="K884" t="s">
        <v>74</v>
      </c>
      <c r="L884" t="s">
        <v>74</v>
      </c>
      <c r="M884" t="s">
        <v>78</v>
      </c>
      <c r="N884" t="s">
        <v>79</v>
      </c>
      <c r="O884" t="s">
        <v>74</v>
      </c>
      <c r="P884" t="s">
        <v>74</v>
      </c>
      <c r="Q884" t="s">
        <v>74</v>
      </c>
      <c r="R884" t="s">
        <v>74</v>
      </c>
      <c r="S884" t="s">
        <v>74</v>
      </c>
      <c r="T884" t="s">
        <v>74</v>
      </c>
      <c r="U884" t="s">
        <v>17175</v>
      </c>
      <c r="V884" t="s">
        <v>17176</v>
      </c>
      <c r="W884" t="s">
        <v>17177</v>
      </c>
      <c r="X884" t="s">
        <v>17178</v>
      </c>
      <c r="Y884" t="s">
        <v>17179</v>
      </c>
      <c r="Z884" t="s">
        <v>17180</v>
      </c>
      <c r="AA884" t="s">
        <v>17181</v>
      </c>
      <c r="AB884" t="s">
        <v>17182</v>
      </c>
      <c r="AC884" t="s">
        <v>17183</v>
      </c>
      <c r="AD884" t="s">
        <v>17184</v>
      </c>
      <c r="AE884" t="s">
        <v>17185</v>
      </c>
      <c r="AF884" t="s">
        <v>74</v>
      </c>
      <c r="AG884">
        <v>76</v>
      </c>
      <c r="AH884">
        <v>0</v>
      </c>
      <c r="AI884">
        <v>0</v>
      </c>
      <c r="AJ884">
        <v>0</v>
      </c>
      <c r="AK884">
        <v>8</v>
      </c>
      <c r="AL884" t="s">
        <v>227</v>
      </c>
      <c r="AM884" t="s">
        <v>228</v>
      </c>
      <c r="AN884" t="s">
        <v>229</v>
      </c>
      <c r="AO884" t="s">
        <v>230</v>
      </c>
      <c r="AP884" t="s">
        <v>231</v>
      </c>
      <c r="AQ884" t="s">
        <v>74</v>
      </c>
      <c r="AR884" t="s">
        <v>232</v>
      </c>
      <c r="AS884" t="s">
        <v>233</v>
      </c>
      <c r="AT884" t="s">
        <v>17168</v>
      </c>
      <c r="AU884">
        <v>2021</v>
      </c>
      <c r="AV884">
        <v>14</v>
      </c>
      <c r="AW884">
        <v>8</v>
      </c>
      <c r="AX884" t="s">
        <v>74</v>
      </c>
      <c r="AY884" t="s">
        <v>74</v>
      </c>
      <c r="AZ884" t="s">
        <v>74</v>
      </c>
      <c r="BA884" t="s">
        <v>74</v>
      </c>
      <c r="BB884">
        <v>5285</v>
      </c>
      <c r="BC884">
        <v>5305</v>
      </c>
      <c r="BD884" t="s">
        <v>74</v>
      </c>
      <c r="BE884" t="s">
        <v>17186</v>
      </c>
      <c r="BF884" t="str">
        <f>HYPERLINK("http://dx.doi.org/10.5194/gmd-14-5285-2021","http://dx.doi.org/10.5194/gmd-14-5285-2021")</f>
        <v>http://dx.doi.org/10.5194/gmd-14-5285-2021</v>
      </c>
      <c r="BG884" t="s">
        <v>74</v>
      </c>
      <c r="BH884" t="s">
        <v>74</v>
      </c>
      <c r="BI884">
        <v>21</v>
      </c>
      <c r="BJ884" t="s">
        <v>236</v>
      </c>
      <c r="BK884" t="s">
        <v>101</v>
      </c>
      <c r="BL884" t="s">
        <v>237</v>
      </c>
      <c r="BM884" t="s">
        <v>17187</v>
      </c>
      <c r="BN884" t="s">
        <v>74</v>
      </c>
      <c r="BO884" t="s">
        <v>239</v>
      </c>
      <c r="BP884" t="s">
        <v>74</v>
      </c>
      <c r="BQ884" t="s">
        <v>74</v>
      </c>
      <c r="BR884" t="s">
        <v>105</v>
      </c>
      <c r="BS884" t="s">
        <v>17188</v>
      </c>
      <c r="BT884" t="str">
        <f>HYPERLINK("https%3A%2F%2Fwww.webofscience.com%2Fwos%2Fwoscc%2Ffull-record%2FWOS:000688076300001","View Full Record in Web of Science")</f>
        <v>View Full Record in Web of Science</v>
      </c>
    </row>
    <row r="885" spans="1:72" x14ac:dyDescent="0.15">
      <c r="A885" t="s">
        <v>72</v>
      </c>
      <c r="B885" t="s">
        <v>17189</v>
      </c>
      <c r="C885" t="s">
        <v>74</v>
      </c>
      <c r="D885" t="s">
        <v>74</v>
      </c>
      <c r="E885" t="s">
        <v>74</v>
      </c>
      <c r="F885" t="s">
        <v>17190</v>
      </c>
      <c r="G885" t="s">
        <v>74</v>
      </c>
      <c r="H885" t="s">
        <v>74</v>
      </c>
      <c r="I885" t="s">
        <v>17191</v>
      </c>
      <c r="J885" t="s">
        <v>2198</v>
      </c>
      <c r="K885" t="s">
        <v>74</v>
      </c>
      <c r="L885" t="s">
        <v>74</v>
      </c>
      <c r="M885" t="s">
        <v>78</v>
      </c>
      <c r="N885" t="s">
        <v>373</v>
      </c>
      <c r="O885" t="s">
        <v>74</v>
      </c>
      <c r="P885" t="s">
        <v>74</v>
      </c>
      <c r="Q885" t="s">
        <v>74</v>
      </c>
      <c r="R885" t="s">
        <v>74</v>
      </c>
      <c r="S885" t="s">
        <v>74</v>
      </c>
      <c r="T885" t="s">
        <v>17192</v>
      </c>
      <c r="U885" t="s">
        <v>17193</v>
      </c>
      <c r="V885" t="s">
        <v>17194</v>
      </c>
      <c r="W885" t="s">
        <v>17195</v>
      </c>
      <c r="X885" t="s">
        <v>17196</v>
      </c>
      <c r="Y885" t="s">
        <v>17197</v>
      </c>
      <c r="Z885" t="s">
        <v>17198</v>
      </c>
      <c r="AA885" t="s">
        <v>17199</v>
      </c>
      <c r="AB885" t="s">
        <v>17200</v>
      </c>
      <c r="AC885" t="s">
        <v>17201</v>
      </c>
      <c r="AD885" t="s">
        <v>17202</v>
      </c>
      <c r="AE885" t="s">
        <v>17203</v>
      </c>
      <c r="AF885" t="s">
        <v>74</v>
      </c>
      <c r="AG885">
        <v>164</v>
      </c>
      <c r="AH885">
        <v>41</v>
      </c>
      <c r="AI885">
        <v>44</v>
      </c>
      <c r="AJ885">
        <v>16</v>
      </c>
      <c r="AK885">
        <v>115</v>
      </c>
      <c r="AL885" t="s">
        <v>572</v>
      </c>
      <c r="AM885" t="s">
        <v>573</v>
      </c>
      <c r="AN885" t="s">
        <v>574</v>
      </c>
      <c r="AO885" t="s">
        <v>2210</v>
      </c>
      <c r="AP885" t="s">
        <v>2211</v>
      </c>
      <c r="AQ885" t="s">
        <v>74</v>
      </c>
      <c r="AR885" t="s">
        <v>2212</v>
      </c>
      <c r="AS885" t="s">
        <v>2213</v>
      </c>
      <c r="AT885" t="s">
        <v>7760</v>
      </c>
      <c r="AU885">
        <v>2021</v>
      </c>
      <c r="AV885">
        <v>57</v>
      </c>
      <c r="AW885">
        <v>5</v>
      </c>
      <c r="AX885" t="s">
        <v>74</v>
      </c>
      <c r="AY885" t="s">
        <v>74</v>
      </c>
      <c r="AZ885" t="s">
        <v>74</v>
      </c>
      <c r="BA885" t="s">
        <v>74</v>
      </c>
      <c r="BB885">
        <v>1375</v>
      </c>
      <c r="BC885">
        <v>1391</v>
      </c>
      <c r="BD885" t="s">
        <v>74</v>
      </c>
      <c r="BE885" t="s">
        <v>17204</v>
      </c>
      <c r="BF885" t="str">
        <f>HYPERLINK("http://dx.doi.org/10.1111/jpy.13198","http://dx.doi.org/10.1111/jpy.13198")</f>
        <v>http://dx.doi.org/10.1111/jpy.13198</v>
      </c>
      <c r="BG885" t="s">
        <v>74</v>
      </c>
      <c r="BH885" t="s">
        <v>16043</v>
      </c>
      <c r="BI885">
        <v>17</v>
      </c>
      <c r="BJ885" t="s">
        <v>2215</v>
      </c>
      <c r="BK885" t="s">
        <v>101</v>
      </c>
      <c r="BL885" t="s">
        <v>2215</v>
      </c>
      <c r="BM885" t="s">
        <v>17205</v>
      </c>
      <c r="BN885">
        <v>34287891</v>
      </c>
      <c r="BO885" t="s">
        <v>9122</v>
      </c>
      <c r="BP885" t="s">
        <v>74</v>
      </c>
      <c r="BQ885" t="s">
        <v>74</v>
      </c>
      <c r="BR885" t="s">
        <v>105</v>
      </c>
      <c r="BS885" t="s">
        <v>17206</v>
      </c>
      <c r="BT885" t="str">
        <f>HYPERLINK("https%3A%2F%2Fwww.webofscience.com%2Fwos%2Fwoscc%2Ffull-record%2FWOS:000687129900001","View Full Record in Web of Science")</f>
        <v>View Full Record in Web of Science</v>
      </c>
    </row>
    <row r="886" spans="1:72" x14ac:dyDescent="0.15">
      <c r="A886" t="s">
        <v>72</v>
      </c>
      <c r="B886" t="s">
        <v>17207</v>
      </c>
      <c r="C886" t="s">
        <v>74</v>
      </c>
      <c r="D886" t="s">
        <v>74</v>
      </c>
      <c r="E886" t="s">
        <v>74</v>
      </c>
      <c r="F886" t="s">
        <v>17208</v>
      </c>
      <c r="G886" t="s">
        <v>74</v>
      </c>
      <c r="H886" t="s">
        <v>74</v>
      </c>
      <c r="I886" t="s">
        <v>17209</v>
      </c>
      <c r="J886" t="s">
        <v>725</v>
      </c>
      <c r="K886" t="s">
        <v>74</v>
      </c>
      <c r="L886" t="s">
        <v>74</v>
      </c>
      <c r="M886" t="s">
        <v>78</v>
      </c>
      <c r="N886" t="s">
        <v>79</v>
      </c>
      <c r="O886" t="s">
        <v>74</v>
      </c>
      <c r="P886" t="s">
        <v>74</v>
      </c>
      <c r="Q886" t="s">
        <v>74</v>
      </c>
      <c r="R886" t="s">
        <v>74</v>
      </c>
      <c r="S886" t="s">
        <v>74</v>
      </c>
      <c r="T886" t="s">
        <v>74</v>
      </c>
      <c r="U886" t="s">
        <v>17210</v>
      </c>
      <c r="V886" t="s">
        <v>17211</v>
      </c>
      <c r="W886" t="s">
        <v>17212</v>
      </c>
      <c r="X886" t="s">
        <v>17213</v>
      </c>
      <c r="Y886" t="s">
        <v>17214</v>
      </c>
      <c r="Z886" t="s">
        <v>17215</v>
      </c>
      <c r="AA886" t="s">
        <v>17216</v>
      </c>
      <c r="AB886" t="s">
        <v>17217</v>
      </c>
      <c r="AC886" t="s">
        <v>17218</v>
      </c>
      <c r="AD886" t="s">
        <v>17219</v>
      </c>
      <c r="AE886" t="s">
        <v>17220</v>
      </c>
      <c r="AF886" t="s">
        <v>74</v>
      </c>
      <c r="AG886">
        <v>54</v>
      </c>
      <c r="AH886">
        <v>21</v>
      </c>
      <c r="AI886">
        <v>23</v>
      </c>
      <c r="AJ886">
        <v>5</v>
      </c>
      <c r="AK886">
        <v>20</v>
      </c>
      <c r="AL886" t="s">
        <v>492</v>
      </c>
      <c r="AM886" t="s">
        <v>493</v>
      </c>
      <c r="AN886" t="s">
        <v>494</v>
      </c>
      <c r="AO886" t="s">
        <v>737</v>
      </c>
      <c r="AP886" t="s">
        <v>738</v>
      </c>
      <c r="AQ886" t="s">
        <v>74</v>
      </c>
      <c r="AR886" t="s">
        <v>739</v>
      </c>
      <c r="AS886" t="s">
        <v>740</v>
      </c>
      <c r="AT886" t="s">
        <v>627</v>
      </c>
      <c r="AU886">
        <v>2021</v>
      </c>
      <c r="AV886">
        <v>14</v>
      </c>
      <c r="AW886">
        <v>9</v>
      </c>
      <c r="AX886" t="s">
        <v>74</v>
      </c>
      <c r="AY886" t="s">
        <v>74</v>
      </c>
      <c r="AZ886" t="s">
        <v>74</v>
      </c>
      <c r="BA886" t="s">
        <v>74</v>
      </c>
      <c r="BB886">
        <v>638</v>
      </c>
      <c r="BC886" t="s">
        <v>499</v>
      </c>
      <c r="BD886" t="s">
        <v>74</v>
      </c>
      <c r="BE886" t="s">
        <v>17221</v>
      </c>
      <c r="BF886" t="str">
        <f>HYPERLINK("http://dx.doi.org/10.1038/s41561-021-00803-3","http://dx.doi.org/10.1038/s41561-021-00803-3")</f>
        <v>http://dx.doi.org/10.1038/s41561-021-00803-3</v>
      </c>
      <c r="BG886" t="s">
        <v>74</v>
      </c>
      <c r="BH886" t="s">
        <v>16043</v>
      </c>
      <c r="BI886">
        <v>18</v>
      </c>
      <c r="BJ886" t="s">
        <v>236</v>
      </c>
      <c r="BK886" t="s">
        <v>101</v>
      </c>
      <c r="BL886" t="s">
        <v>237</v>
      </c>
      <c r="BM886" t="s">
        <v>17222</v>
      </c>
      <c r="BN886" t="s">
        <v>74</v>
      </c>
      <c r="BO886" t="s">
        <v>74</v>
      </c>
      <c r="BP886" t="s">
        <v>74</v>
      </c>
      <c r="BQ886" t="s">
        <v>74</v>
      </c>
      <c r="BR886" t="s">
        <v>105</v>
      </c>
      <c r="BS886" t="s">
        <v>17223</v>
      </c>
      <c r="BT886" t="str">
        <f>HYPERLINK("https%3A%2F%2Fwww.webofscience.com%2Fwos%2Fwoscc%2Ffull-record%2FWOS:000687514300002","View Full Record in Web of Science")</f>
        <v>View Full Record in Web of Science</v>
      </c>
    </row>
    <row r="887" spans="1:72" x14ac:dyDescent="0.15">
      <c r="A887" t="s">
        <v>72</v>
      </c>
      <c r="B887" t="s">
        <v>17224</v>
      </c>
      <c r="C887" t="s">
        <v>74</v>
      </c>
      <c r="D887" t="s">
        <v>74</v>
      </c>
      <c r="E887" t="s">
        <v>74</v>
      </c>
      <c r="F887" t="s">
        <v>17225</v>
      </c>
      <c r="G887" t="s">
        <v>74</v>
      </c>
      <c r="H887" t="s">
        <v>74</v>
      </c>
      <c r="I887" t="s">
        <v>17226</v>
      </c>
      <c r="J887" t="s">
        <v>659</v>
      </c>
      <c r="K887" t="s">
        <v>74</v>
      </c>
      <c r="L887" t="s">
        <v>74</v>
      </c>
      <c r="M887" t="s">
        <v>78</v>
      </c>
      <c r="N887" t="s">
        <v>79</v>
      </c>
      <c r="O887" t="s">
        <v>74</v>
      </c>
      <c r="P887" t="s">
        <v>74</v>
      </c>
      <c r="Q887" t="s">
        <v>74</v>
      </c>
      <c r="R887" t="s">
        <v>74</v>
      </c>
      <c r="S887" t="s">
        <v>74</v>
      </c>
      <c r="T887" t="s">
        <v>17227</v>
      </c>
      <c r="U887" t="s">
        <v>74</v>
      </c>
      <c r="V887" t="s">
        <v>17228</v>
      </c>
      <c r="W887" t="s">
        <v>17229</v>
      </c>
      <c r="X887" t="s">
        <v>17230</v>
      </c>
      <c r="Y887" t="s">
        <v>17231</v>
      </c>
      <c r="Z887" t="s">
        <v>17232</v>
      </c>
      <c r="AA887" t="s">
        <v>74</v>
      </c>
      <c r="AB887" t="s">
        <v>74</v>
      </c>
      <c r="AC887" t="s">
        <v>17233</v>
      </c>
      <c r="AD887" t="s">
        <v>784</v>
      </c>
      <c r="AE887" t="s">
        <v>17234</v>
      </c>
      <c r="AF887" t="s">
        <v>74</v>
      </c>
      <c r="AG887">
        <v>98</v>
      </c>
      <c r="AH887">
        <v>0</v>
      </c>
      <c r="AI887">
        <v>0</v>
      </c>
      <c r="AJ887">
        <v>0</v>
      </c>
      <c r="AK887">
        <v>5</v>
      </c>
      <c r="AL887" t="s">
        <v>666</v>
      </c>
      <c r="AM887" t="s">
        <v>170</v>
      </c>
      <c r="AN887" t="s">
        <v>667</v>
      </c>
      <c r="AO887" t="s">
        <v>668</v>
      </c>
      <c r="AP887" t="s">
        <v>669</v>
      </c>
      <c r="AQ887" t="s">
        <v>74</v>
      </c>
      <c r="AR887" t="s">
        <v>670</v>
      </c>
      <c r="AS887" t="s">
        <v>671</v>
      </c>
      <c r="AT887" t="s">
        <v>17168</v>
      </c>
      <c r="AU887">
        <v>2021</v>
      </c>
      <c r="AV887">
        <v>57</v>
      </c>
      <c r="AW887" t="s">
        <v>74</v>
      </c>
      <c r="AX887" t="s">
        <v>74</v>
      </c>
      <c r="AY887" t="s">
        <v>74</v>
      </c>
      <c r="AZ887" t="s">
        <v>74</v>
      </c>
      <c r="BA887" t="s">
        <v>74</v>
      </c>
      <c r="BB887" t="s">
        <v>74</v>
      </c>
      <c r="BC887" t="s">
        <v>74</v>
      </c>
      <c r="BD887" t="s">
        <v>17235</v>
      </c>
      <c r="BE887" t="s">
        <v>17236</v>
      </c>
      <c r="BF887" t="str">
        <f>HYPERLINK("http://dx.doi.org/10.1017/S0032247421000140","http://dx.doi.org/10.1017/S0032247421000140")</f>
        <v>http://dx.doi.org/10.1017/S0032247421000140</v>
      </c>
      <c r="BG887" t="s">
        <v>74</v>
      </c>
      <c r="BH887" t="s">
        <v>74</v>
      </c>
      <c r="BI887">
        <v>14</v>
      </c>
      <c r="BJ887" t="s">
        <v>674</v>
      </c>
      <c r="BK887" t="s">
        <v>101</v>
      </c>
      <c r="BL887" t="s">
        <v>630</v>
      </c>
      <c r="BM887" t="s">
        <v>17237</v>
      </c>
      <c r="BN887" t="s">
        <v>74</v>
      </c>
      <c r="BO887" t="s">
        <v>2241</v>
      </c>
      <c r="BP887" t="s">
        <v>74</v>
      </c>
      <c r="BQ887" t="s">
        <v>74</v>
      </c>
      <c r="BR887" t="s">
        <v>105</v>
      </c>
      <c r="BS887" t="s">
        <v>17238</v>
      </c>
      <c r="BT887" t="str">
        <f>HYPERLINK("https%3A%2F%2Fwww.webofscience.com%2Fwos%2Fwoscc%2Ffull-record%2FWOS:000687184700001","View Full Record in Web of Science")</f>
        <v>View Full Record in Web of Science</v>
      </c>
    </row>
    <row r="888" spans="1:72" x14ac:dyDescent="0.15">
      <c r="A888" t="s">
        <v>72</v>
      </c>
      <c r="B888" t="s">
        <v>17239</v>
      </c>
      <c r="C888" t="s">
        <v>74</v>
      </c>
      <c r="D888" t="s">
        <v>74</v>
      </c>
      <c r="E888" t="s">
        <v>74</v>
      </c>
      <c r="F888" t="s">
        <v>17240</v>
      </c>
      <c r="G888" t="s">
        <v>74</v>
      </c>
      <c r="H888" t="s">
        <v>74</v>
      </c>
      <c r="I888" t="s">
        <v>17241</v>
      </c>
      <c r="J888" t="s">
        <v>372</v>
      </c>
      <c r="K888" t="s">
        <v>74</v>
      </c>
      <c r="L888" t="s">
        <v>74</v>
      </c>
      <c r="M888" t="s">
        <v>78</v>
      </c>
      <c r="N888" t="s">
        <v>79</v>
      </c>
      <c r="O888" t="s">
        <v>74</v>
      </c>
      <c r="P888" t="s">
        <v>74</v>
      </c>
      <c r="Q888" t="s">
        <v>74</v>
      </c>
      <c r="R888" t="s">
        <v>74</v>
      </c>
      <c r="S888" t="s">
        <v>74</v>
      </c>
      <c r="T888" t="s">
        <v>17242</v>
      </c>
      <c r="U888" t="s">
        <v>17243</v>
      </c>
      <c r="V888" t="s">
        <v>17244</v>
      </c>
      <c r="W888" t="s">
        <v>17245</v>
      </c>
      <c r="X888" t="s">
        <v>17246</v>
      </c>
      <c r="Y888" t="s">
        <v>17247</v>
      </c>
      <c r="Z888" t="s">
        <v>17248</v>
      </c>
      <c r="AA888" t="s">
        <v>74</v>
      </c>
      <c r="AB888" t="s">
        <v>17249</v>
      </c>
      <c r="AC888" t="s">
        <v>17250</v>
      </c>
      <c r="AD888" t="s">
        <v>17251</v>
      </c>
      <c r="AE888" t="s">
        <v>17252</v>
      </c>
      <c r="AF888" t="s">
        <v>74</v>
      </c>
      <c r="AG888">
        <v>90</v>
      </c>
      <c r="AH888">
        <v>8</v>
      </c>
      <c r="AI888">
        <v>8</v>
      </c>
      <c r="AJ888">
        <v>0</v>
      </c>
      <c r="AK888">
        <v>7</v>
      </c>
      <c r="AL888" t="s">
        <v>383</v>
      </c>
      <c r="AM888" t="s">
        <v>384</v>
      </c>
      <c r="AN888" t="s">
        <v>385</v>
      </c>
      <c r="AO888" t="s">
        <v>74</v>
      </c>
      <c r="AP888" t="s">
        <v>386</v>
      </c>
      <c r="AQ888" t="s">
        <v>74</v>
      </c>
      <c r="AR888" t="s">
        <v>387</v>
      </c>
      <c r="AS888" t="s">
        <v>388</v>
      </c>
      <c r="AT888" t="s">
        <v>17168</v>
      </c>
      <c r="AU888">
        <v>2021</v>
      </c>
      <c r="AV888">
        <v>8</v>
      </c>
      <c r="AW888" t="s">
        <v>74</v>
      </c>
      <c r="AX888" t="s">
        <v>74</v>
      </c>
      <c r="AY888" t="s">
        <v>74</v>
      </c>
      <c r="AZ888" t="s">
        <v>74</v>
      </c>
      <c r="BA888" t="s">
        <v>74</v>
      </c>
      <c r="BB888" t="s">
        <v>74</v>
      </c>
      <c r="BC888" t="s">
        <v>74</v>
      </c>
      <c r="BD888" t="s">
        <v>74</v>
      </c>
      <c r="BE888" t="s">
        <v>17253</v>
      </c>
      <c r="BF888" t="str">
        <f>HYPERLINK("http://dx.doi.org/10.3389/fmars.2021.650241","http://dx.doi.org/10.3389/fmars.2021.650241")</f>
        <v>http://dx.doi.org/10.3389/fmars.2021.650241</v>
      </c>
      <c r="BG888" t="s">
        <v>74</v>
      </c>
      <c r="BH888" t="s">
        <v>74</v>
      </c>
      <c r="BI888">
        <v>21</v>
      </c>
      <c r="BJ888" t="s">
        <v>391</v>
      </c>
      <c r="BK888" t="s">
        <v>101</v>
      </c>
      <c r="BL888" t="s">
        <v>392</v>
      </c>
      <c r="BM888" t="s">
        <v>17254</v>
      </c>
      <c r="BN888" t="s">
        <v>74</v>
      </c>
      <c r="BO888" t="s">
        <v>210</v>
      </c>
      <c r="BP888" t="s">
        <v>74</v>
      </c>
      <c r="BQ888" t="s">
        <v>74</v>
      </c>
      <c r="BR888" t="s">
        <v>105</v>
      </c>
      <c r="BS888" t="s">
        <v>17255</v>
      </c>
      <c r="BT888" t="str">
        <f>HYPERLINK("https%3A%2F%2Fwww.webofscience.com%2Fwos%2Fwoscc%2Ffull-record%2FWOS:000693916500001","View Full Record in Web of Science")</f>
        <v>View Full Record in Web of Science</v>
      </c>
    </row>
    <row r="889" spans="1:72" x14ac:dyDescent="0.15">
      <c r="A889" t="s">
        <v>72</v>
      </c>
      <c r="B889" t="s">
        <v>17256</v>
      </c>
      <c r="C889" t="s">
        <v>74</v>
      </c>
      <c r="D889" t="s">
        <v>74</v>
      </c>
      <c r="E889" t="s">
        <v>74</v>
      </c>
      <c r="F889" t="s">
        <v>17257</v>
      </c>
      <c r="G889" t="s">
        <v>74</v>
      </c>
      <c r="H889" t="s">
        <v>74</v>
      </c>
      <c r="I889" t="s">
        <v>17258</v>
      </c>
      <c r="J889" t="s">
        <v>17259</v>
      </c>
      <c r="K889" t="s">
        <v>74</v>
      </c>
      <c r="L889" t="s">
        <v>74</v>
      </c>
      <c r="M889" t="s">
        <v>78</v>
      </c>
      <c r="N889" t="s">
        <v>79</v>
      </c>
      <c r="O889" t="s">
        <v>74</v>
      </c>
      <c r="P889" t="s">
        <v>74</v>
      </c>
      <c r="Q889" t="s">
        <v>74</v>
      </c>
      <c r="R889" t="s">
        <v>74</v>
      </c>
      <c r="S889" t="s">
        <v>74</v>
      </c>
      <c r="T889" t="s">
        <v>17260</v>
      </c>
      <c r="U889" t="s">
        <v>17261</v>
      </c>
      <c r="V889" t="s">
        <v>17262</v>
      </c>
      <c r="W889" t="s">
        <v>17263</v>
      </c>
      <c r="X889" t="s">
        <v>17264</v>
      </c>
      <c r="Y889" t="s">
        <v>17265</v>
      </c>
      <c r="Z889" t="s">
        <v>17266</v>
      </c>
      <c r="AA889" t="s">
        <v>17267</v>
      </c>
      <c r="AB889" t="s">
        <v>74</v>
      </c>
      <c r="AC889" t="s">
        <v>17268</v>
      </c>
      <c r="AD889" t="s">
        <v>17269</v>
      </c>
      <c r="AE889" t="s">
        <v>17270</v>
      </c>
      <c r="AF889" t="s">
        <v>74</v>
      </c>
      <c r="AG889">
        <v>47</v>
      </c>
      <c r="AH889">
        <v>3</v>
      </c>
      <c r="AI889">
        <v>4</v>
      </c>
      <c r="AJ889">
        <v>1</v>
      </c>
      <c r="AK889">
        <v>21</v>
      </c>
      <c r="AL889" t="s">
        <v>1852</v>
      </c>
      <c r="AM889" t="s">
        <v>333</v>
      </c>
      <c r="AN889" t="s">
        <v>1853</v>
      </c>
      <c r="AO889" t="s">
        <v>17271</v>
      </c>
      <c r="AP889" t="s">
        <v>17272</v>
      </c>
      <c r="AQ889" t="s">
        <v>74</v>
      </c>
      <c r="AR889" t="s">
        <v>17273</v>
      </c>
      <c r="AS889" t="s">
        <v>17274</v>
      </c>
      <c r="AT889" t="s">
        <v>17275</v>
      </c>
      <c r="AU889">
        <v>2021</v>
      </c>
      <c r="AV889">
        <v>261</v>
      </c>
      <c r="AW889" t="s">
        <v>74</v>
      </c>
      <c r="AX889" t="s">
        <v>74</v>
      </c>
      <c r="AY889" t="s">
        <v>74</v>
      </c>
      <c r="AZ889" t="s">
        <v>74</v>
      </c>
      <c r="BA889" t="s">
        <v>74</v>
      </c>
      <c r="BB889" t="s">
        <v>74</v>
      </c>
      <c r="BC889" t="s">
        <v>74</v>
      </c>
      <c r="BD889">
        <v>107561</v>
      </c>
      <c r="BE889" t="s">
        <v>17276</v>
      </c>
      <c r="BF889" t="str">
        <f>HYPERLINK("http://dx.doi.org/10.1016/j.ecss.2021.107561","http://dx.doi.org/10.1016/j.ecss.2021.107561")</f>
        <v>http://dx.doi.org/10.1016/j.ecss.2021.107561</v>
      </c>
      <c r="BG889" t="s">
        <v>74</v>
      </c>
      <c r="BH889" t="s">
        <v>16043</v>
      </c>
      <c r="BI889">
        <v>12</v>
      </c>
      <c r="BJ889" t="s">
        <v>3136</v>
      </c>
      <c r="BK889" t="s">
        <v>101</v>
      </c>
      <c r="BL889" t="s">
        <v>3136</v>
      </c>
      <c r="BM889" t="s">
        <v>17277</v>
      </c>
      <c r="BN889" t="s">
        <v>74</v>
      </c>
      <c r="BO889" t="s">
        <v>1471</v>
      </c>
      <c r="BP889" t="s">
        <v>74</v>
      </c>
      <c r="BQ889" t="s">
        <v>74</v>
      </c>
      <c r="BR889" t="s">
        <v>105</v>
      </c>
      <c r="BS889" t="s">
        <v>17278</v>
      </c>
      <c r="BT889" t="str">
        <f>HYPERLINK("https%3A%2F%2Fwww.webofscience.com%2Fwos%2Fwoscc%2Ffull-record%2FWOS:000704738300003","View Full Record in Web of Science")</f>
        <v>View Full Record in Web of Science</v>
      </c>
    </row>
    <row r="890" spans="1:72" x14ac:dyDescent="0.15">
      <c r="A890" t="s">
        <v>72</v>
      </c>
      <c r="B890" t="s">
        <v>17279</v>
      </c>
      <c r="C890" t="s">
        <v>74</v>
      </c>
      <c r="D890" t="s">
        <v>74</v>
      </c>
      <c r="E890" t="s">
        <v>74</v>
      </c>
      <c r="F890" t="s">
        <v>17280</v>
      </c>
      <c r="G890" t="s">
        <v>74</v>
      </c>
      <c r="H890" t="s">
        <v>74</v>
      </c>
      <c r="I890" t="s">
        <v>17281</v>
      </c>
      <c r="J890" t="s">
        <v>12145</v>
      </c>
      <c r="K890" t="s">
        <v>74</v>
      </c>
      <c r="L890" t="s">
        <v>74</v>
      </c>
      <c r="M890" t="s">
        <v>78</v>
      </c>
      <c r="N890" t="s">
        <v>79</v>
      </c>
      <c r="O890" t="s">
        <v>74</v>
      </c>
      <c r="P890" t="s">
        <v>74</v>
      </c>
      <c r="Q890" t="s">
        <v>74</v>
      </c>
      <c r="R890" t="s">
        <v>74</v>
      </c>
      <c r="S890" t="s">
        <v>74</v>
      </c>
      <c r="T890" t="s">
        <v>17282</v>
      </c>
      <c r="U890" t="s">
        <v>17283</v>
      </c>
      <c r="V890" t="s">
        <v>17284</v>
      </c>
      <c r="W890" t="s">
        <v>17285</v>
      </c>
      <c r="X890" t="s">
        <v>17286</v>
      </c>
      <c r="Y890" t="s">
        <v>17287</v>
      </c>
      <c r="Z890" t="s">
        <v>17288</v>
      </c>
      <c r="AA890" t="s">
        <v>17289</v>
      </c>
      <c r="AB890" t="s">
        <v>17290</v>
      </c>
      <c r="AC890" t="s">
        <v>17291</v>
      </c>
      <c r="AD890" t="s">
        <v>17291</v>
      </c>
      <c r="AE890" t="s">
        <v>17292</v>
      </c>
      <c r="AF890" t="s">
        <v>74</v>
      </c>
      <c r="AG890">
        <v>49</v>
      </c>
      <c r="AH890">
        <v>3</v>
      </c>
      <c r="AI890">
        <v>3</v>
      </c>
      <c r="AJ890">
        <v>2</v>
      </c>
      <c r="AK890">
        <v>4</v>
      </c>
      <c r="AL890" t="s">
        <v>1326</v>
      </c>
      <c r="AM890" t="s">
        <v>256</v>
      </c>
      <c r="AN890" t="s">
        <v>1327</v>
      </c>
      <c r="AO890" t="s">
        <v>12157</v>
      </c>
      <c r="AP890" t="s">
        <v>12158</v>
      </c>
      <c r="AQ890" t="s">
        <v>74</v>
      </c>
      <c r="AR890" t="s">
        <v>12159</v>
      </c>
      <c r="AS890" t="s">
        <v>12160</v>
      </c>
      <c r="AT890" t="s">
        <v>3636</v>
      </c>
      <c r="AU890">
        <v>2021</v>
      </c>
      <c r="AV890">
        <v>170</v>
      </c>
      <c r="AW890" t="s">
        <v>74</v>
      </c>
      <c r="AX890" t="s">
        <v>74</v>
      </c>
      <c r="AY890" t="s">
        <v>74</v>
      </c>
      <c r="AZ890" t="s">
        <v>74</v>
      </c>
      <c r="BA890" t="s">
        <v>74</v>
      </c>
      <c r="BB890" t="s">
        <v>74</v>
      </c>
      <c r="BC890" t="s">
        <v>74</v>
      </c>
      <c r="BD890">
        <v>105452</v>
      </c>
      <c r="BE890" t="s">
        <v>17293</v>
      </c>
      <c r="BF890" t="str">
        <f>HYPERLINK("http://dx.doi.org/10.1016/j.marenvres.2021.105452","http://dx.doi.org/10.1016/j.marenvres.2021.105452")</f>
        <v>http://dx.doi.org/10.1016/j.marenvres.2021.105452</v>
      </c>
      <c r="BG890" t="s">
        <v>74</v>
      </c>
      <c r="BH890" t="s">
        <v>16043</v>
      </c>
      <c r="BI890">
        <v>12</v>
      </c>
      <c r="BJ890" t="s">
        <v>12162</v>
      </c>
      <c r="BK890" t="s">
        <v>101</v>
      </c>
      <c r="BL890" t="s">
        <v>12163</v>
      </c>
      <c r="BM890" t="s">
        <v>17294</v>
      </c>
      <c r="BN890">
        <v>34433123</v>
      </c>
      <c r="BO890" t="s">
        <v>13853</v>
      </c>
      <c r="BP890" t="s">
        <v>74</v>
      </c>
      <c r="BQ890" t="s">
        <v>74</v>
      </c>
      <c r="BR890" t="s">
        <v>105</v>
      </c>
      <c r="BS890" t="s">
        <v>17295</v>
      </c>
      <c r="BT890" t="str">
        <f>HYPERLINK("https%3A%2F%2Fwww.webofscience.com%2Fwos%2Fwoscc%2Ffull-record%2FWOS:000691558700003","View Full Record in Web of Science")</f>
        <v>View Full Record in Web of Science</v>
      </c>
    </row>
    <row r="891" spans="1:72" x14ac:dyDescent="0.15">
      <c r="A891" t="s">
        <v>72</v>
      </c>
      <c r="B891" t="s">
        <v>17296</v>
      </c>
      <c r="C891" t="s">
        <v>74</v>
      </c>
      <c r="D891" t="s">
        <v>74</v>
      </c>
      <c r="E891" t="s">
        <v>74</v>
      </c>
      <c r="F891" t="s">
        <v>17297</v>
      </c>
      <c r="G891" t="s">
        <v>74</v>
      </c>
      <c r="H891" t="s">
        <v>74</v>
      </c>
      <c r="I891" t="s">
        <v>17298</v>
      </c>
      <c r="J891" t="s">
        <v>17299</v>
      </c>
      <c r="K891" t="s">
        <v>74</v>
      </c>
      <c r="L891" t="s">
        <v>74</v>
      </c>
      <c r="M891" t="s">
        <v>78</v>
      </c>
      <c r="N891" t="s">
        <v>79</v>
      </c>
      <c r="O891" t="s">
        <v>74</v>
      </c>
      <c r="P891" t="s">
        <v>74</v>
      </c>
      <c r="Q891" t="s">
        <v>74</v>
      </c>
      <c r="R891" t="s">
        <v>74</v>
      </c>
      <c r="S891" t="s">
        <v>74</v>
      </c>
      <c r="T891" t="s">
        <v>17300</v>
      </c>
      <c r="U891" t="s">
        <v>17301</v>
      </c>
      <c r="V891" t="s">
        <v>17302</v>
      </c>
      <c r="W891" t="s">
        <v>17303</v>
      </c>
      <c r="X891" t="s">
        <v>17304</v>
      </c>
      <c r="Y891" t="s">
        <v>17305</v>
      </c>
      <c r="Z891" t="s">
        <v>17306</v>
      </c>
      <c r="AA891" t="s">
        <v>74</v>
      </c>
      <c r="AB891" t="s">
        <v>17307</v>
      </c>
      <c r="AC891" t="s">
        <v>17308</v>
      </c>
      <c r="AD891" t="s">
        <v>15988</v>
      </c>
      <c r="AE891" t="s">
        <v>17309</v>
      </c>
      <c r="AF891" t="s">
        <v>74</v>
      </c>
      <c r="AG891">
        <v>30</v>
      </c>
      <c r="AH891">
        <v>1</v>
      </c>
      <c r="AI891">
        <v>2</v>
      </c>
      <c r="AJ891">
        <v>0</v>
      </c>
      <c r="AK891">
        <v>8</v>
      </c>
      <c r="AL891" t="s">
        <v>169</v>
      </c>
      <c r="AM891" t="s">
        <v>170</v>
      </c>
      <c r="AN891" t="s">
        <v>171</v>
      </c>
      <c r="AO891" t="s">
        <v>17310</v>
      </c>
      <c r="AP891" t="s">
        <v>17311</v>
      </c>
      <c r="AQ891" t="s">
        <v>74</v>
      </c>
      <c r="AR891" t="s">
        <v>17312</v>
      </c>
      <c r="AS891" t="s">
        <v>17313</v>
      </c>
      <c r="AT891" t="s">
        <v>310</v>
      </c>
      <c r="AU891">
        <v>2021</v>
      </c>
      <c r="AV891">
        <v>203</v>
      </c>
      <c r="AW891">
        <v>9</v>
      </c>
      <c r="AX891" t="s">
        <v>74</v>
      </c>
      <c r="AY891" t="s">
        <v>74</v>
      </c>
      <c r="AZ891" t="s">
        <v>74</v>
      </c>
      <c r="BA891" t="s">
        <v>74</v>
      </c>
      <c r="BB891">
        <v>5519</v>
      </c>
      <c r="BC891">
        <v>5524</v>
      </c>
      <c r="BD891" t="s">
        <v>74</v>
      </c>
      <c r="BE891" t="s">
        <v>17314</v>
      </c>
      <c r="BF891" t="str">
        <f>HYPERLINK("http://dx.doi.org/10.1007/s00203-021-02531-z","http://dx.doi.org/10.1007/s00203-021-02531-z")</f>
        <v>http://dx.doi.org/10.1007/s00203-021-02531-z</v>
      </c>
      <c r="BG891" t="s">
        <v>74</v>
      </c>
      <c r="BH891" t="s">
        <v>16043</v>
      </c>
      <c r="BI891">
        <v>6</v>
      </c>
      <c r="BJ891" t="s">
        <v>975</v>
      </c>
      <c r="BK891" t="s">
        <v>101</v>
      </c>
      <c r="BL891" t="s">
        <v>975</v>
      </c>
      <c r="BM891" t="s">
        <v>17315</v>
      </c>
      <c r="BN891">
        <v>34420074</v>
      </c>
      <c r="BO891" t="s">
        <v>74</v>
      </c>
      <c r="BP891" t="s">
        <v>74</v>
      </c>
      <c r="BQ891" t="s">
        <v>74</v>
      </c>
      <c r="BR891" t="s">
        <v>105</v>
      </c>
      <c r="BS891" t="s">
        <v>17316</v>
      </c>
      <c r="BT891" t="str">
        <f>HYPERLINK("https%3A%2F%2Fwww.webofscience.com%2Fwos%2Fwoscc%2Ffull-record%2FWOS:000687094000001","View Full Record in Web of Science")</f>
        <v>View Full Record in Web of Science</v>
      </c>
    </row>
    <row r="892" spans="1:72" x14ac:dyDescent="0.15">
      <c r="A892" t="s">
        <v>72</v>
      </c>
      <c r="B892" t="s">
        <v>17317</v>
      </c>
      <c r="C892" t="s">
        <v>74</v>
      </c>
      <c r="D892" t="s">
        <v>74</v>
      </c>
      <c r="E892" t="s">
        <v>74</v>
      </c>
      <c r="F892" t="s">
        <v>17318</v>
      </c>
      <c r="G892" t="s">
        <v>74</v>
      </c>
      <c r="H892" t="s">
        <v>74</v>
      </c>
      <c r="I892" t="s">
        <v>17319</v>
      </c>
      <c r="J892" t="s">
        <v>17320</v>
      </c>
      <c r="K892" t="s">
        <v>74</v>
      </c>
      <c r="L892" t="s">
        <v>74</v>
      </c>
      <c r="M892" t="s">
        <v>78</v>
      </c>
      <c r="N892" t="s">
        <v>79</v>
      </c>
      <c r="O892" t="s">
        <v>74</v>
      </c>
      <c r="P892" t="s">
        <v>74</v>
      </c>
      <c r="Q892" t="s">
        <v>74</v>
      </c>
      <c r="R892" t="s">
        <v>74</v>
      </c>
      <c r="S892" t="s">
        <v>74</v>
      </c>
      <c r="T892" t="s">
        <v>17321</v>
      </c>
      <c r="U892" t="s">
        <v>17322</v>
      </c>
      <c r="V892" t="s">
        <v>17323</v>
      </c>
      <c r="W892" t="s">
        <v>17324</v>
      </c>
      <c r="X892" t="s">
        <v>17325</v>
      </c>
      <c r="Y892" t="s">
        <v>17326</v>
      </c>
      <c r="Z892" t="s">
        <v>17327</v>
      </c>
      <c r="AA892" t="s">
        <v>74</v>
      </c>
      <c r="AB892" t="s">
        <v>17328</v>
      </c>
      <c r="AC892" t="s">
        <v>17329</v>
      </c>
      <c r="AD892" t="s">
        <v>17330</v>
      </c>
      <c r="AE892" t="s">
        <v>17331</v>
      </c>
      <c r="AF892" t="s">
        <v>74</v>
      </c>
      <c r="AG892">
        <v>43</v>
      </c>
      <c r="AH892">
        <v>1</v>
      </c>
      <c r="AI892">
        <v>1</v>
      </c>
      <c r="AJ892">
        <v>1</v>
      </c>
      <c r="AK892">
        <v>9</v>
      </c>
      <c r="AL892" t="s">
        <v>572</v>
      </c>
      <c r="AM892" t="s">
        <v>573</v>
      </c>
      <c r="AN892" t="s">
        <v>574</v>
      </c>
      <c r="AO892" t="s">
        <v>17332</v>
      </c>
      <c r="AP892" t="s">
        <v>17333</v>
      </c>
      <c r="AQ892" t="s">
        <v>74</v>
      </c>
      <c r="AR892" t="s">
        <v>17334</v>
      </c>
      <c r="AS892" t="s">
        <v>17335</v>
      </c>
      <c r="AT892" t="s">
        <v>416</v>
      </c>
      <c r="AU892">
        <v>2022</v>
      </c>
      <c r="AV892">
        <v>240</v>
      </c>
      <c r="AW892">
        <v>1</v>
      </c>
      <c r="AX892" t="s">
        <v>74</v>
      </c>
      <c r="AY892" t="s">
        <v>74</v>
      </c>
      <c r="AZ892" t="s">
        <v>74</v>
      </c>
      <c r="BA892" t="s">
        <v>74</v>
      </c>
      <c r="BB892">
        <v>34</v>
      </c>
      <c r="BC892">
        <v>49</v>
      </c>
      <c r="BD892" t="s">
        <v>74</v>
      </c>
      <c r="BE892" t="s">
        <v>17336</v>
      </c>
      <c r="BF892" t="str">
        <f>HYPERLINK("http://dx.doi.org/10.1111/joa.13537","http://dx.doi.org/10.1111/joa.13537")</f>
        <v>http://dx.doi.org/10.1111/joa.13537</v>
      </c>
      <c r="BG892" t="s">
        <v>74</v>
      </c>
      <c r="BH892" t="s">
        <v>16043</v>
      </c>
      <c r="BI892">
        <v>16</v>
      </c>
      <c r="BJ892" t="s">
        <v>17337</v>
      </c>
      <c r="BK892" t="s">
        <v>101</v>
      </c>
      <c r="BL892" t="s">
        <v>17337</v>
      </c>
      <c r="BM892" t="s">
        <v>17338</v>
      </c>
      <c r="BN892">
        <v>34423431</v>
      </c>
      <c r="BO892" t="s">
        <v>180</v>
      </c>
      <c r="BP892" t="s">
        <v>74</v>
      </c>
      <c r="BQ892" t="s">
        <v>74</v>
      </c>
      <c r="BR892" t="s">
        <v>105</v>
      </c>
      <c r="BS892" t="s">
        <v>17339</v>
      </c>
      <c r="BT892" t="str">
        <f>HYPERLINK("https%3A%2F%2Fwww.webofscience.com%2Fwos%2Fwoscc%2Ffull-record%2FWOS:000687063000001","View Full Record in Web of Science")</f>
        <v>View Full Record in Web of Science</v>
      </c>
    </row>
    <row r="893" spans="1:72" x14ac:dyDescent="0.15">
      <c r="A893" t="s">
        <v>72</v>
      </c>
      <c r="B893" t="s">
        <v>17340</v>
      </c>
      <c r="C893" t="s">
        <v>74</v>
      </c>
      <c r="D893" t="s">
        <v>74</v>
      </c>
      <c r="E893" t="s">
        <v>74</v>
      </c>
      <c r="F893" t="s">
        <v>17341</v>
      </c>
      <c r="G893" t="s">
        <v>74</v>
      </c>
      <c r="H893" t="s">
        <v>74</v>
      </c>
      <c r="I893" t="s">
        <v>17342</v>
      </c>
      <c r="J893" t="s">
        <v>2451</v>
      </c>
      <c r="K893" t="s">
        <v>74</v>
      </c>
      <c r="L893" t="s">
        <v>74</v>
      </c>
      <c r="M893" t="s">
        <v>78</v>
      </c>
      <c r="N893" t="s">
        <v>79</v>
      </c>
      <c r="O893" t="s">
        <v>74</v>
      </c>
      <c r="P893" t="s">
        <v>74</v>
      </c>
      <c r="Q893" t="s">
        <v>74</v>
      </c>
      <c r="R893" t="s">
        <v>74</v>
      </c>
      <c r="S893" t="s">
        <v>74</v>
      </c>
      <c r="T893" t="s">
        <v>17343</v>
      </c>
      <c r="U893" t="s">
        <v>17344</v>
      </c>
      <c r="V893" t="s">
        <v>17345</v>
      </c>
      <c r="W893" t="s">
        <v>17346</v>
      </c>
      <c r="X893" t="s">
        <v>17347</v>
      </c>
      <c r="Y893" t="s">
        <v>17348</v>
      </c>
      <c r="Z893" t="s">
        <v>17349</v>
      </c>
      <c r="AA893" t="s">
        <v>17350</v>
      </c>
      <c r="AB893" t="s">
        <v>17351</v>
      </c>
      <c r="AC893" t="s">
        <v>17352</v>
      </c>
      <c r="AD893" t="s">
        <v>17353</v>
      </c>
      <c r="AE893" t="s">
        <v>17354</v>
      </c>
      <c r="AF893" t="s">
        <v>74</v>
      </c>
      <c r="AG893">
        <v>108</v>
      </c>
      <c r="AH893">
        <v>7</v>
      </c>
      <c r="AI893">
        <v>7</v>
      </c>
      <c r="AJ893">
        <v>0</v>
      </c>
      <c r="AK893">
        <v>12</v>
      </c>
      <c r="AL893" t="s">
        <v>847</v>
      </c>
      <c r="AM893" t="s">
        <v>848</v>
      </c>
      <c r="AN893" t="s">
        <v>849</v>
      </c>
      <c r="AO893" t="s">
        <v>2464</v>
      </c>
      <c r="AP893" t="s">
        <v>2465</v>
      </c>
      <c r="AQ893" t="s">
        <v>74</v>
      </c>
      <c r="AR893" t="s">
        <v>2466</v>
      </c>
      <c r="AS893" t="s">
        <v>2467</v>
      </c>
      <c r="AT893" t="s">
        <v>7760</v>
      </c>
      <c r="AU893">
        <v>2021</v>
      </c>
      <c r="AV893">
        <v>205</v>
      </c>
      <c r="AW893" t="s">
        <v>74</v>
      </c>
      <c r="AX893" t="s">
        <v>74</v>
      </c>
      <c r="AY893" t="s">
        <v>74</v>
      </c>
      <c r="AZ893" t="s">
        <v>74</v>
      </c>
      <c r="BA893" t="s">
        <v>74</v>
      </c>
      <c r="BB893" t="s">
        <v>74</v>
      </c>
      <c r="BC893" t="s">
        <v>74</v>
      </c>
      <c r="BD893">
        <v>103617</v>
      </c>
      <c r="BE893" t="s">
        <v>17355</v>
      </c>
      <c r="BF893" t="str">
        <f>HYPERLINK("http://dx.doi.org/10.1016/j.gloplacha.2021.103617","http://dx.doi.org/10.1016/j.gloplacha.2021.103617")</f>
        <v>http://dx.doi.org/10.1016/j.gloplacha.2021.103617</v>
      </c>
      <c r="BG893" t="s">
        <v>74</v>
      </c>
      <c r="BH893" t="s">
        <v>16043</v>
      </c>
      <c r="BI893">
        <v>17</v>
      </c>
      <c r="BJ893" t="s">
        <v>340</v>
      </c>
      <c r="BK893" t="s">
        <v>101</v>
      </c>
      <c r="BL893" t="s">
        <v>341</v>
      </c>
      <c r="BM893" t="s">
        <v>17356</v>
      </c>
      <c r="BN893" t="s">
        <v>74</v>
      </c>
      <c r="BO893" t="s">
        <v>1471</v>
      </c>
      <c r="BP893" t="s">
        <v>74</v>
      </c>
      <c r="BQ893" t="s">
        <v>74</v>
      </c>
      <c r="BR893" t="s">
        <v>105</v>
      </c>
      <c r="BS893" t="s">
        <v>17357</v>
      </c>
      <c r="BT893" t="str">
        <f>HYPERLINK("https%3A%2F%2Fwww.webofscience.com%2Fwos%2Fwoscc%2Ffull-record%2FWOS:000692556900001","View Full Record in Web of Science")</f>
        <v>View Full Record in Web of Science</v>
      </c>
    </row>
    <row r="894" spans="1:72" x14ac:dyDescent="0.15">
      <c r="A894" t="s">
        <v>72</v>
      </c>
      <c r="B894" t="s">
        <v>17358</v>
      </c>
      <c r="C894" t="s">
        <v>74</v>
      </c>
      <c r="D894" t="s">
        <v>74</v>
      </c>
      <c r="E894" t="s">
        <v>74</v>
      </c>
      <c r="F894" t="s">
        <v>17359</v>
      </c>
      <c r="G894" t="s">
        <v>74</v>
      </c>
      <c r="H894" t="s">
        <v>74</v>
      </c>
      <c r="I894" t="s">
        <v>17360</v>
      </c>
      <c r="J894" t="s">
        <v>17361</v>
      </c>
      <c r="K894" t="s">
        <v>74</v>
      </c>
      <c r="L894" t="s">
        <v>74</v>
      </c>
      <c r="M894" t="s">
        <v>78</v>
      </c>
      <c r="N894" t="s">
        <v>79</v>
      </c>
      <c r="O894" t="s">
        <v>74</v>
      </c>
      <c r="P894" t="s">
        <v>74</v>
      </c>
      <c r="Q894" t="s">
        <v>74</v>
      </c>
      <c r="R894" t="s">
        <v>74</v>
      </c>
      <c r="S894" t="s">
        <v>74</v>
      </c>
      <c r="T894" t="s">
        <v>17362</v>
      </c>
      <c r="U894" t="s">
        <v>17363</v>
      </c>
      <c r="V894" t="s">
        <v>17364</v>
      </c>
      <c r="W894" t="s">
        <v>17365</v>
      </c>
      <c r="X894" t="s">
        <v>17366</v>
      </c>
      <c r="Y894" t="s">
        <v>17367</v>
      </c>
      <c r="Z894" t="s">
        <v>17368</v>
      </c>
      <c r="AA894" t="s">
        <v>74</v>
      </c>
      <c r="AB894" t="s">
        <v>17369</v>
      </c>
      <c r="AC894" t="s">
        <v>17370</v>
      </c>
      <c r="AD894" t="s">
        <v>17371</v>
      </c>
      <c r="AE894" t="s">
        <v>17372</v>
      </c>
      <c r="AF894" t="s">
        <v>74</v>
      </c>
      <c r="AG894">
        <v>88</v>
      </c>
      <c r="AH894">
        <v>1</v>
      </c>
      <c r="AI894">
        <v>1</v>
      </c>
      <c r="AJ894">
        <v>0</v>
      </c>
      <c r="AK894">
        <v>3</v>
      </c>
      <c r="AL894" t="s">
        <v>572</v>
      </c>
      <c r="AM894" t="s">
        <v>573</v>
      </c>
      <c r="AN894" t="s">
        <v>574</v>
      </c>
      <c r="AO894" t="s">
        <v>17373</v>
      </c>
      <c r="AP894" t="s">
        <v>17374</v>
      </c>
      <c r="AQ894" t="s">
        <v>74</v>
      </c>
      <c r="AR894" t="s">
        <v>17375</v>
      </c>
      <c r="AS894" t="s">
        <v>17376</v>
      </c>
      <c r="AT894" t="s">
        <v>3636</v>
      </c>
      <c r="AU894">
        <v>2021</v>
      </c>
      <c r="AV894">
        <v>108</v>
      </c>
      <c r="AW894">
        <v>8</v>
      </c>
      <c r="AX894" t="s">
        <v>74</v>
      </c>
      <c r="AY894" t="s">
        <v>74</v>
      </c>
      <c r="AZ894" t="s">
        <v>74</v>
      </c>
      <c r="BA894" t="s">
        <v>74</v>
      </c>
      <c r="BB894">
        <v>1464</v>
      </c>
      <c r="BC894">
        <v>1482</v>
      </c>
      <c r="BD894" t="s">
        <v>74</v>
      </c>
      <c r="BE894" t="s">
        <v>17377</v>
      </c>
      <c r="BF894" t="str">
        <f>HYPERLINK("http://dx.doi.org/10.1002/ajb2.1712","http://dx.doi.org/10.1002/ajb2.1712")</f>
        <v>http://dx.doi.org/10.1002/ajb2.1712</v>
      </c>
      <c r="BG894" t="s">
        <v>74</v>
      </c>
      <c r="BH894" t="s">
        <v>16043</v>
      </c>
      <c r="BI894">
        <v>19</v>
      </c>
      <c r="BJ894" t="s">
        <v>4148</v>
      </c>
      <c r="BK894" t="s">
        <v>101</v>
      </c>
      <c r="BL894" t="s">
        <v>4148</v>
      </c>
      <c r="BM894" t="s">
        <v>17378</v>
      </c>
      <c r="BN894">
        <v>34418074</v>
      </c>
      <c r="BO894" t="s">
        <v>2217</v>
      </c>
      <c r="BP894" t="s">
        <v>74</v>
      </c>
      <c r="BQ894" t="s">
        <v>74</v>
      </c>
      <c r="BR894" t="s">
        <v>105</v>
      </c>
      <c r="BS894" t="s">
        <v>17379</v>
      </c>
      <c r="BT894" t="str">
        <f>HYPERLINK("https%3A%2F%2Fwww.webofscience.com%2Fwos%2Fwoscc%2Ffull-record%2FWOS:000686933000001","View Full Record in Web of Science")</f>
        <v>View Full Record in Web of Science</v>
      </c>
    </row>
    <row r="895" spans="1:72" x14ac:dyDescent="0.15">
      <c r="A895" t="s">
        <v>72</v>
      </c>
      <c r="B895" t="s">
        <v>17380</v>
      </c>
      <c r="C895" t="s">
        <v>74</v>
      </c>
      <c r="D895" t="s">
        <v>74</v>
      </c>
      <c r="E895" t="s">
        <v>74</v>
      </c>
      <c r="F895" t="s">
        <v>17381</v>
      </c>
      <c r="G895" t="s">
        <v>74</v>
      </c>
      <c r="H895" t="s">
        <v>74</v>
      </c>
      <c r="I895" t="s">
        <v>17382</v>
      </c>
      <c r="J895" t="s">
        <v>935</v>
      </c>
      <c r="K895" t="s">
        <v>74</v>
      </c>
      <c r="L895" t="s">
        <v>74</v>
      </c>
      <c r="M895" t="s">
        <v>78</v>
      </c>
      <c r="N895" t="s">
        <v>79</v>
      </c>
      <c r="O895" t="s">
        <v>74</v>
      </c>
      <c r="P895" t="s">
        <v>74</v>
      </c>
      <c r="Q895" t="s">
        <v>74</v>
      </c>
      <c r="R895" t="s">
        <v>74</v>
      </c>
      <c r="S895" t="s">
        <v>74</v>
      </c>
      <c r="T895" t="s">
        <v>17383</v>
      </c>
      <c r="U895" t="s">
        <v>17384</v>
      </c>
      <c r="V895" t="s">
        <v>17385</v>
      </c>
      <c r="W895" t="s">
        <v>17386</v>
      </c>
      <c r="X895" t="s">
        <v>17387</v>
      </c>
      <c r="Y895" t="s">
        <v>17388</v>
      </c>
      <c r="Z895" t="s">
        <v>17389</v>
      </c>
      <c r="AA895" t="s">
        <v>17390</v>
      </c>
      <c r="AB895" t="s">
        <v>17391</v>
      </c>
      <c r="AC895" t="s">
        <v>17392</v>
      </c>
      <c r="AD895" t="s">
        <v>17393</v>
      </c>
      <c r="AE895" t="s">
        <v>17394</v>
      </c>
      <c r="AF895" t="s">
        <v>74</v>
      </c>
      <c r="AG895">
        <v>83</v>
      </c>
      <c r="AH895">
        <v>4</v>
      </c>
      <c r="AI895">
        <v>5</v>
      </c>
      <c r="AJ895">
        <v>2</v>
      </c>
      <c r="AK895">
        <v>13</v>
      </c>
      <c r="AL895" t="s">
        <v>169</v>
      </c>
      <c r="AM895" t="s">
        <v>170</v>
      </c>
      <c r="AN895" t="s">
        <v>171</v>
      </c>
      <c r="AO895" t="s">
        <v>948</v>
      </c>
      <c r="AP895" t="s">
        <v>949</v>
      </c>
      <c r="AQ895" t="s">
        <v>74</v>
      </c>
      <c r="AR895" t="s">
        <v>950</v>
      </c>
      <c r="AS895" t="s">
        <v>951</v>
      </c>
      <c r="AT895" t="s">
        <v>7760</v>
      </c>
      <c r="AU895">
        <v>2021</v>
      </c>
      <c r="AV895">
        <v>44</v>
      </c>
      <c r="AW895">
        <v>10</v>
      </c>
      <c r="AX895" t="s">
        <v>74</v>
      </c>
      <c r="AY895" t="s">
        <v>74</v>
      </c>
      <c r="AZ895" t="s">
        <v>74</v>
      </c>
      <c r="BA895" t="s">
        <v>74</v>
      </c>
      <c r="BB895">
        <v>1993</v>
      </c>
      <c r="BC895">
        <v>2010</v>
      </c>
      <c r="BD895" t="s">
        <v>74</v>
      </c>
      <c r="BE895" t="s">
        <v>17395</v>
      </c>
      <c r="BF895" t="str">
        <f>HYPERLINK("http://dx.doi.org/10.1007/s00300-021-02933-1","http://dx.doi.org/10.1007/s00300-021-02933-1")</f>
        <v>http://dx.doi.org/10.1007/s00300-021-02933-1</v>
      </c>
      <c r="BG895" t="s">
        <v>74</v>
      </c>
      <c r="BH895" t="s">
        <v>16043</v>
      </c>
      <c r="BI895">
        <v>18</v>
      </c>
      <c r="BJ895" t="s">
        <v>605</v>
      </c>
      <c r="BK895" t="s">
        <v>101</v>
      </c>
      <c r="BL895" t="s">
        <v>606</v>
      </c>
      <c r="BM895" t="s">
        <v>16250</v>
      </c>
      <c r="BN895" t="s">
        <v>74</v>
      </c>
      <c r="BO895" t="s">
        <v>74</v>
      </c>
      <c r="BP895" t="s">
        <v>74</v>
      </c>
      <c r="BQ895" t="s">
        <v>74</v>
      </c>
      <c r="BR895" t="s">
        <v>105</v>
      </c>
      <c r="BS895" t="s">
        <v>17396</v>
      </c>
      <c r="BT895" t="str">
        <f>HYPERLINK("https%3A%2F%2Fwww.webofscience.com%2Fwos%2Fwoscc%2Ffull-record%2FWOS:000687014000001","View Full Record in Web of Science")</f>
        <v>View Full Record in Web of Science</v>
      </c>
    </row>
    <row r="896" spans="1:72" x14ac:dyDescent="0.15">
      <c r="A896" t="s">
        <v>72</v>
      </c>
      <c r="B896" t="s">
        <v>17397</v>
      </c>
      <c r="C896" t="s">
        <v>74</v>
      </c>
      <c r="D896" t="s">
        <v>74</v>
      </c>
      <c r="E896" t="s">
        <v>74</v>
      </c>
      <c r="F896" t="s">
        <v>17398</v>
      </c>
      <c r="G896" t="s">
        <v>74</v>
      </c>
      <c r="H896" t="s">
        <v>74</v>
      </c>
      <c r="I896" t="s">
        <v>17399</v>
      </c>
      <c r="J896" t="s">
        <v>11818</v>
      </c>
      <c r="K896" t="s">
        <v>74</v>
      </c>
      <c r="L896" t="s">
        <v>74</v>
      </c>
      <c r="M896" t="s">
        <v>78</v>
      </c>
      <c r="N896" t="s">
        <v>79</v>
      </c>
      <c r="O896" t="s">
        <v>74</v>
      </c>
      <c r="P896" t="s">
        <v>74</v>
      </c>
      <c r="Q896" t="s">
        <v>74</v>
      </c>
      <c r="R896" t="s">
        <v>74</v>
      </c>
      <c r="S896" t="s">
        <v>74</v>
      </c>
      <c r="T896" t="s">
        <v>17400</v>
      </c>
      <c r="U896" t="s">
        <v>17401</v>
      </c>
      <c r="V896" t="s">
        <v>17402</v>
      </c>
      <c r="W896" t="s">
        <v>17403</v>
      </c>
      <c r="X896" t="s">
        <v>4463</v>
      </c>
      <c r="Y896" t="s">
        <v>17404</v>
      </c>
      <c r="Z896" t="s">
        <v>17405</v>
      </c>
      <c r="AA896" t="s">
        <v>17406</v>
      </c>
      <c r="AB896" t="s">
        <v>74</v>
      </c>
      <c r="AC896" t="s">
        <v>17407</v>
      </c>
      <c r="AD896" t="s">
        <v>17408</v>
      </c>
      <c r="AE896" t="s">
        <v>17409</v>
      </c>
      <c r="AF896" t="s">
        <v>74</v>
      </c>
      <c r="AG896">
        <v>134</v>
      </c>
      <c r="AH896">
        <v>8</v>
      </c>
      <c r="AI896">
        <v>8</v>
      </c>
      <c r="AJ896">
        <v>0</v>
      </c>
      <c r="AK896">
        <v>6</v>
      </c>
      <c r="AL896" t="s">
        <v>1714</v>
      </c>
      <c r="AM896" t="s">
        <v>256</v>
      </c>
      <c r="AN896" t="s">
        <v>1715</v>
      </c>
      <c r="AO896" t="s">
        <v>11830</v>
      </c>
      <c r="AP896" t="s">
        <v>11831</v>
      </c>
      <c r="AQ896" t="s">
        <v>74</v>
      </c>
      <c r="AR896" t="s">
        <v>11832</v>
      </c>
      <c r="AS896" t="s">
        <v>11833</v>
      </c>
      <c r="AT896" t="s">
        <v>416</v>
      </c>
      <c r="AU896">
        <v>2022</v>
      </c>
      <c r="AV896">
        <v>194</v>
      </c>
      <c r="AW896">
        <v>1</v>
      </c>
      <c r="AX896" t="s">
        <v>74</v>
      </c>
      <c r="AY896" t="s">
        <v>74</v>
      </c>
      <c r="AZ896" t="s">
        <v>74</v>
      </c>
      <c r="BA896" t="s">
        <v>74</v>
      </c>
      <c r="BB896">
        <v>297</v>
      </c>
      <c r="BC896">
        <v>322</v>
      </c>
      <c r="BD896" t="s">
        <v>74</v>
      </c>
      <c r="BE896" t="s">
        <v>17410</v>
      </c>
      <c r="BF896" t="str">
        <f>HYPERLINK("http://dx.doi.org/10.1093/zoolinnean/zlab021","http://dx.doi.org/10.1093/zoolinnean/zlab021")</f>
        <v>http://dx.doi.org/10.1093/zoolinnean/zlab021</v>
      </c>
      <c r="BG896" t="s">
        <v>74</v>
      </c>
      <c r="BH896" t="s">
        <v>16043</v>
      </c>
      <c r="BI896">
        <v>26</v>
      </c>
      <c r="BJ896" t="s">
        <v>1612</v>
      </c>
      <c r="BK896" t="s">
        <v>101</v>
      </c>
      <c r="BL896" t="s">
        <v>1612</v>
      </c>
      <c r="BM896" t="s">
        <v>17411</v>
      </c>
      <c r="BN896" t="s">
        <v>74</v>
      </c>
      <c r="BO896" t="s">
        <v>74</v>
      </c>
      <c r="BP896" t="s">
        <v>74</v>
      </c>
      <c r="BQ896" t="s">
        <v>74</v>
      </c>
      <c r="BR896" t="s">
        <v>105</v>
      </c>
      <c r="BS896" t="s">
        <v>17412</v>
      </c>
      <c r="BT896" t="str">
        <f>HYPERLINK("https%3A%2F%2Fwww.webofscience.com%2Fwos%2Fwoscc%2Ffull-record%2FWOS:000736105600012","View Full Record in Web of Science")</f>
        <v>View Full Record in Web of Science</v>
      </c>
    </row>
    <row r="897" spans="1:72" x14ac:dyDescent="0.15">
      <c r="A897" t="s">
        <v>72</v>
      </c>
      <c r="B897" t="s">
        <v>17413</v>
      </c>
      <c r="C897" t="s">
        <v>74</v>
      </c>
      <c r="D897" t="s">
        <v>74</v>
      </c>
      <c r="E897" t="s">
        <v>74</v>
      </c>
      <c r="F897" t="s">
        <v>17414</v>
      </c>
      <c r="G897" t="s">
        <v>74</v>
      </c>
      <c r="H897" t="s">
        <v>74</v>
      </c>
      <c r="I897" t="s">
        <v>17415</v>
      </c>
      <c r="J897" t="s">
        <v>835</v>
      </c>
      <c r="K897" t="s">
        <v>74</v>
      </c>
      <c r="L897" t="s">
        <v>74</v>
      </c>
      <c r="M897" t="s">
        <v>78</v>
      </c>
      <c r="N897" t="s">
        <v>79</v>
      </c>
      <c r="O897" t="s">
        <v>74</v>
      </c>
      <c r="P897" t="s">
        <v>74</v>
      </c>
      <c r="Q897" t="s">
        <v>74</v>
      </c>
      <c r="R897" t="s">
        <v>74</v>
      </c>
      <c r="S897" t="s">
        <v>74</v>
      </c>
      <c r="T897" t="s">
        <v>17416</v>
      </c>
      <c r="U897" t="s">
        <v>17417</v>
      </c>
      <c r="V897" t="s">
        <v>17418</v>
      </c>
      <c r="W897" t="s">
        <v>17419</v>
      </c>
      <c r="X897" t="s">
        <v>17420</v>
      </c>
      <c r="Y897" t="s">
        <v>17421</v>
      </c>
      <c r="Z897" t="s">
        <v>17422</v>
      </c>
      <c r="AA897" t="s">
        <v>15460</v>
      </c>
      <c r="AB897" t="s">
        <v>15461</v>
      </c>
      <c r="AC897" t="s">
        <v>15462</v>
      </c>
      <c r="AD897" t="s">
        <v>15463</v>
      </c>
      <c r="AE897" t="s">
        <v>17423</v>
      </c>
      <c r="AF897" t="s">
        <v>74</v>
      </c>
      <c r="AG897">
        <v>53</v>
      </c>
      <c r="AH897">
        <v>11</v>
      </c>
      <c r="AI897">
        <v>11</v>
      </c>
      <c r="AJ897">
        <v>9</v>
      </c>
      <c r="AK897">
        <v>52</v>
      </c>
      <c r="AL897" t="s">
        <v>847</v>
      </c>
      <c r="AM897" t="s">
        <v>848</v>
      </c>
      <c r="AN897" t="s">
        <v>849</v>
      </c>
      <c r="AO897" t="s">
        <v>850</v>
      </c>
      <c r="AP897" t="s">
        <v>851</v>
      </c>
      <c r="AQ897" t="s">
        <v>74</v>
      </c>
      <c r="AR897" t="s">
        <v>852</v>
      </c>
      <c r="AS897" t="s">
        <v>853</v>
      </c>
      <c r="AT897" t="s">
        <v>7724</v>
      </c>
      <c r="AU897">
        <v>2021</v>
      </c>
      <c r="AV897">
        <v>801</v>
      </c>
      <c r="AW897" t="s">
        <v>74</v>
      </c>
      <c r="AX897" t="s">
        <v>74</v>
      </c>
      <c r="AY897" t="s">
        <v>74</v>
      </c>
      <c r="AZ897" t="s">
        <v>74</v>
      </c>
      <c r="BA897" t="s">
        <v>74</v>
      </c>
      <c r="BB897" t="s">
        <v>74</v>
      </c>
      <c r="BC897" t="s">
        <v>74</v>
      </c>
      <c r="BD897">
        <v>149784</v>
      </c>
      <c r="BE897" t="s">
        <v>17424</v>
      </c>
      <c r="BF897" t="str">
        <f>HYPERLINK("http://dx.doi.org/10.1016/j.scitotenv.2021.149784","http://dx.doi.org/10.1016/j.scitotenv.2021.149784")</f>
        <v>http://dx.doi.org/10.1016/j.scitotenv.2021.149784</v>
      </c>
      <c r="BG897" t="s">
        <v>74</v>
      </c>
      <c r="BH897" t="s">
        <v>16043</v>
      </c>
      <c r="BI897">
        <v>9</v>
      </c>
      <c r="BJ897" t="s">
        <v>856</v>
      </c>
      <c r="BK897" t="s">
        <v>101</v>
      </c>
      <c r="BL897" t="s">
        <v>630</v>
      </c>
      <c r="BM897" t="s">
        <v>17425</v>
      </c>
      <c r="BN897">
        <v>34428654</v>
      </c>
      <c r="BO897" t="s">
        <v>74</v>
      </c>
      <c r="BP897" t="s">
        <v>74</v>
      </c>
      <c r="BQ897" t="s">
        <v>74</v>
      </c>
      <c r="BR897" t="s">
        <v>105</v>
      </c>
      <c r="BS897" t="s">
        <v>17426</v>
      </c>
      <c r="BT897" t="str">
        <f>HYPERLINK("https%3A%2F%2Fwww.webofscience.com%2Fwos%2Fwoscc%2Ffull-record%2FWOS:000704393400008","View Full Record in Web of Science")</f>
        <v>View Full Record in Web of Science</v>
      </c>
    </row>
    <row r="898" spans="1:72" x14ac:dyDescent="0.15">
      <c r="A898" t="s">
        <v>72</v>
      </c>
      <c r="B898" t="s">
        <v>17427</v>
      </c>
      <c r="C898" t="s">
        <v>74</v>
      </c>
      <c r="D898" t="s">
        <v>74</v>
      </c>
      <c r="E898" t="s">
        <v>74</v>
      </c>
      <c r="F898" t="s">
        <v>17428</v>
      </c>
      <c r="G898" t="s">
        <v>74</v>
      </c>
      <c r="H898" t="s">
        <v>74</v>
      </c>
      <c r="I898" t="s">
        <v>17429</v>
      </c>
      <c r="J898" t="s">
        <v>2047</v>
      </c>
      <c r="K898" t="s">
        <v>74</v>
      </c>
      <c r="L898" t="s">
        <v>74</v>
      </c>
      <c r="M898" t="s">
        <v>78</v>
      </c>
      <c r="N898" t="s">
        <v>79</v>
      </c>
      <c r="O898" t="s">
        <v>74</v>
      </c>
      <c r="P898" t="s">
        <v>74</v>
      </c>
      <c r="Q898" t="s">
        <v>74</v>
      </c>
      <c r="R898" t="s">
        <v>74</v>
      </c>
      <c r="S898" t="s">
        <v>74</v>
      </c>
      <c r="T898" t="s">
        <v>17430</v>
      </c>
      <c r="U898" t="s">
        <v>17431</v>
      </c>
      <c r="V898" t="s">
        <v>17432</v>
      </c>
      <c r="W898" t="s">
        <v>17433</v>
      </c>
      <c r="X898" t="s">
        <v>17434</v>
      </c>
      <c r="Y898" t="s">
        <v>17435</v>
      </c>
      <c r="Z898" t="s">
        <v>17436</v>
      </c>
      <c r="AA898" t="s">
        <v>74</v>
      </c>
      <c r="AB898" t="s">
        <v>17437</v>
      </c>
      <c r="AC898" t="s">
        <v>17438</v>
      </c>
      <c r="AD898" t="s">
        <v>17439</v>
      </c>
      <c r="AE898" t="s">
        <v>17440</v>
      </c>
      <c r="AF898" t="s">
        <v>74</v>
      </c>
      <c r="AG898">
        <v>101</v>
      </c>
      <c r="AH898">
        <v>6</v>
      </c>
      <c r="AI898">
        <v>6</v>
      </c>
      <c r="AJ898">
        <v>3</v>
      </c>
      <c r="AK898">
        <v>12</v>
      </c>
      <c r="AL898" t="s">
        <v>847</v>
      </c>
      <c r="AM898" t="s">
        <v>848</v>
      </c>
      <c r="AN898" t="s">
        <v>849</v>
      </c>
      <c r="AO898" t="s">
        <v>2059</v>
      </c>
      <c r="AP898" t="s">
        <v>2060</v>
      </c>
      <c r="AQ898" t="s">
        <v>74</v>
      </c>
      <c r="AR898" t="s">
        <v>2061</v>
      </c>
      <c r="AS898" t="s">
        <v>2062</v>
      </c>
      <c r="AT898" t="s">
        <v>98</v>
      </c>
      <c r="AU898">
        <v>2021</v>
      </c>
      <c r="AV898">
        <v>224</v>
      </c>
      <c r="AW898" t="s">
        <v>74</v>
      </c>
      <c r="AX898" t="s">
        <v>74</v>
      </c>
      <c r="AY898" t="s">
        <v>74</v>
      </c>
      <c r="AZ898" t="s">
        <v>74</v>
      </c>
      <c r="BA898" t="s">
        <v>74</v>
      </c>
      <c r="BB898" t="s">
        <v>74</v>
      </c>
      <c r="BC898" t="s">
        <v>74</v>
      </c>
      <c r="BD898">
        <v>103624</v>
      </c>
      <c r="BE898" t="s">
        <v>17441</v>
      </c>
      <c r="BF898" t="str">
        <f>HYPERLINK("http://dx.doi.org/10.1016/j.jmarsys.2021.103624","http://dx.doi.org/10.1016/j.jmarsys.2021.103624")</f>
        <v>http://dx.doi.org/10.1016/j.jmarsys.2021.103624</v>
      </c>
      <c r="BG898" t="s">
        <v>74</v>
      </c>
      <c r="BH898" t="s">
        <v>16043</v>
      </c>
      <c r="BI898">
        <v>17</v>
      </c>
      <c r="BJ898" t="s">
        <v>2064</v>
      </c>
      <c r="BK898" t="s">
        <v>101</v>
      </c>
      <c r="BL898" t="s">
        <v>2065</v>
      </c>
      <c r="BM898" t="s">
        <v>17442</v>
      </c>
      <c r="BN898" t="s">
        <v>74</v>
      </c>
      <c r="BO898" t="s">
        <v>1471</v>
      </c>
      <c r="BP898" t="s">
        <v>74</v>
      </c>
      <c r="BQ898" t="s">
        <v>74</v>
      </c>
      <c r="BR898" t="s">
        <v>105</v>
      </c>
      <c r="BS898" t="s">
        <v>17443</v>
      </c>
      <c r="BT898" t="str">
        <f>HYPERLINK("https%3A%2F%2Fwww.webofscience.com%2Fwos%2Fwoscc%2Ffull-record%2FWOS:000697031300001","View Full Record in Web of Science")</f>
        <v>View Full Record in Web of Science</v>
      </c>
    </row>
    <row r="899" spans="1:72" x14ac:dyDescent="0.15">
      <c r="A899" t="s">
        <v>72</v>
      </c>
      <c r="B899" t="s">
        <v>17444</v>
      </c>
      <c r="C899" t="s">
        <v>74</v>
      </c>
      <c r="D899" t="s">
        <v>74</v>
      </c>
      <c r="E899" t="s">
        <v>74</v>
      </c>
      <c r="F899" t="s">
        <v>17445</v>
      </c>
      <c r="G899" t="s">
        <v>74</v>
      </c>
      <c r="H899" t="s">
        <v>74</v>
      </c>
      <c r="I899" t="s">
        <v>17446</v>
      </c>
      <c r="J899" t="s">
        <v>1377</v>
      </c>
      <c r="K899" t="s">
        <v>74</v>
      </c>
      <c r="L899" t="s">
        <v>74</v>
      </c>
      <c r="M899" t="s">
        <v>78</v>
      </c>
      <c r="N899" t="s">
        <v>373</v>
      </c>
      <c r="O899" t="s">
        <v>74</v>
      </c>
      <c r="P899" t="s">
        <v>74</v>
      </c>
      <c r="Q899" t="s">
        <v>74</v>
      </c>
      <c r="R899" t="s">
        <v>74</v>
      </c>
      <c r="S899" t="s">
        <v>74</v>
      </c>
      <c r="T899" t="s">
        <v>17447</v>
      </c>
      <c r="U899" t="s">
        <v>17448</v>
      </c>
      <c r="V899" t="s">
        <v>17449</v>
      </c>
      <c r="W899" t="s">
        <v>17450</v>
      </c>
      <c r="X899" t="s">
        <v>17451</v>
      </c>
      <c r="Y899" t="s">
        <v>17452</v>
      </c>
      <c r="Z899" t="s">
        <v>17453</v>
      </c>
      <c r="AA899" t="s">
        <v>17454</v>
      </c>
      <c r="AB899" t="s">
        <v>17455</v>
      </c>
      <c r="AC899" t="s">
        <v>17456</v>
      </c>
      <c r="AD899" t="s">
        <v>17457</v>
      </c>
      <c r="AE899" t="s">
        <v>17458</v>
      </c>
      <c r="AF899" t="s">
        <v>74</v>
      </c>
      <c r="AG899">
        <v>153</v>
      </c>
      <c r="AH899">
        <v>11</v>
      </c>
      <c r="AI899">
        <v>11</v>
      </c>
      <c r="AJ899">
        <v>10</v>
      </c>
      <c r="AK899">
        <v>52</v>
      </c>
      <c r="AL899" t="s">
        <v>255</v>
      </c>
      <c r="AM899" t="s">
        <v>256</v>
      </c>
      <c r="AN899" t="s">
        <v>257</v>
      </c>
      <c r="AO899" t="s">
        <v>1390</v>
      </c>
      <c r="AP899" t="s">
        <v>1391</v>
      </c>
      <c r="AQ899" t="s">
        <v>74</v>
      </c>
      <c r="AR899" t="s">
        <v>1392</v>
      </c>
      <c r="AS899" t="s">
        <v>1393</v>
      </c>
      <c r="AT899" t="s">
        <v>10375</v>
      </c>
      <c r="AU899">
        <v>2021</v>
      </c>
      <c r="AV899">
        <v>269</v>
      </c>
      <c r="AW899" t="s">
        <v>74</v>
      </c>
      <c r="AX899" t="s">
        <v>74</v>
      </c>
      <c r="AY899" t="s">
        <v>74</v>
      </c>
      <c r="AZ899" t="s">
        <v>74</v>
      </c>
      <c r="BA899" t="s">
        <v>74</v>
      </c>
      <c r="BB899" t="s">
        <v>74</v>
      </c>
      <c r="BC899" t="s">
        <v>74</v>
      </c>
      <c r="BD899">
        <v>107133</v>
      </c>
      <c r="BE899" t="s">
        <v>17459</v>
      </c>
      <c r="BF899" t="str">
        <f>HYPERLINK("http://dx.doi.org/10.1016/j.quascirev.2021.107133","http://dx.doi.org/10.1016/j.quascirev.2021.107133")</f>
        <v>http://dx.doi.org/10.1016/j.quascirev.2021.107133</v>
      </c>
      <c r="BG899" t="s">
        <v>74</v>
      </c>
      <c r="BH899" t="s">
        <v>16043</v>
      </c>
      <c r="BI899">
        <v>41</v>
      </c>
      <c r="BJ899" t="s">
        <v>340</v>
      </c>
      <c r="BK899" t="s">
        <v>101</v>
      </c>
      <c r="BL899" t="s">
        <v>341</v>
      </c>
      <c r="BM899" t="s">
        <v>17460</v>
      </c>
      <c r="BN899" t="s">
        <v>74</v>
      </c>
      <c r="BO899" t="s">
        <v>180</v>
      </c>
      <c r="BP899" t="s">
        <v>74</v>
      </c>
      <c r="BQ899" t="s">
        <v>74</v>
      </c>
      <c r="BR899" t="s">
        <v>105</v>
      </c>
      <c r="BS899" t="s">
        <v>17461</v>
      </c>
      <c r="BT899" t="str">
        <f>HYPERLINK("https%3A%2F%2Fwww.webofscience.com%2Fwos%2Fwoscc%2Ffull-record%2FWOS:000694971400006","View Full Record in Web of Science")</f>
        <v>View Full Record in Web of Science</v>
      </c>
    </row>
    <row r="900" spans="1:72" x14ac:dyDescent="0.15">
      <c r="A900" t="s">
        <v>72</v>
      </c>
      <c r="B900" t="s">
        <v>17462</v>
      </c>
      <c r="C900" t="s">
        <v>74</v>
      </c>
      <c r="D900" t="s">
        <v>74</v>
      </c>
      <c r="E900" t="s">
        <v>74</v>
      </c>
      <c r="F900" t="s">
        <v>17463</v>
      </c>
      <c r="G900" t="s">
        <v>74</v>
      </c>
      <c r="H900" t="s">
        <v>74</v>
      </c>
      <c r="I900" t="s">
        <v>17464</v>
      </c>
      <c r="J900" t="s">
        <v>12380</v>
      </c>
      <c r="K900" t="s">
        <v>74</v>
      </c>
      <c r="L900" t="s">
        <v>74</v>
      </c>
      <c r="M900" t="s">
        <v>78</v>
      </c>
      <c r="N900" t="s">
        <v>79</v>
      </c>
      <c r="O900" t="s">
        <v>74</v>
      </c>
      <c r="P900" t="s">
        <v>74</v>
      </c>
      <c r="Q900" t="s">
        <v>74</v>
      </c>
      <c r="R900" t="s">
        <v>74</v>
      </c>
      <c r="S900" t="s">
        <v>74</v>
      </c>
      <c r="T900" t="s">
        <v>17465</v>
      </c>
      <c r="U900" t="s">
        <v>17466</v>
      </c>
      <c r="V900" t="s">
        <v>17467</v>
      </c>
      <c r="W900" t="s">
        <v>17468</v>
      </c>
      <c r="X900" t="s">
        <v>17469</v>
      </c>
      <c r="Y900" t="s">
        <v>17470</v>
      </c>
      <c r="Z900" t="s">
        <v>17471</v>
      </c>
      <c r="AA900" t="s">
        <v>17472</v>
      </c>
      <c r="AB900" t="s">
        <v>17473</v>
      </c>
      <c r="AC900" t="s">
        <v>17474</v>
      </c>
      <c r="AD900" t="s">
        <v>17475</v>
      </c>
      <c r="AE900" t="s">
        <v>17476</v>
      </c>
      <c r="AF900" t="s">
        <v>74</v>
      </c>
      <c r="AG900">
        <v>143</v>
      </c>
      <c r="AH900">
        <v>6</v>
      </c>
      <c r="AI900">
        <v>6</v>
      </c>
      <c r="AJ900">
        <v>1</v>
      </c>
      <c r="AK900">
        <v>7</v>
      </c>
      <c r="AL900" t="s">
        <v>1088</v>
      </c>
      <c r="AM900" t="s">
        <v>333</v>
      </c>
      <c r="AN900" t="s">
        <v>1089</v>
      </c>
      <c r="AO900" t="s">
        <v>12392</v>
      </c>
      <c r="AP900" t="s">
        <v>74</v>
      </c>
      <c r="AQ900" t="s">
        <v>74</v>
      </c>
      <c r="AR900" t="s">
        <v>12380</v>
      </c>
      <c r="AS900" t="s">
        <v>12393</v>
      </c>
      <c r="AT900" t="s">
        <v>17477</v>
      </c>
      <c r="AU900">
        <v>2021</v>
      </c>
      <c r="AV900">
        <v>22</v>
      </c>
      <c r="AW900">
        <v>1</v>
      </c>
      <c r="AX900" t="s">
        <v>74</v>
      </c>
      <c r="AY900" t="s">
        <v>74</v>
      </c>
      <c r="AZ900" t="s">
        <v>74</v>
      </c>
      <c r="BA900" t="s">
        <v>74</v>
      </c>
      <c r="BB900" t="s">
        <v>74</v>
      </c>
      <c r="BC900" t="s">
        <v>74</v>
      </c>
      <c r="BD900">
        <v>625</v>
      </c>
      <c r="BE900" t="s">
        <v>17478</v>
      </c>
      <c r="BF900" t="str">
        <f>HYPERLINK("http://dx.doi.org/10.1186/s12864-021-07917-3","http://dx.doi.org/10.1186/s12864-021-07917-3")</f>
        <v>http://dx.doi.org/10.1186/s12864-021-07917-3</v>
      </c>
      <c r="BG900" t="s">
        <v>74</v>
      </c>
      <c r="BH900" t="s">
        <v>74</v>
      </c>
      <c r="BI900">
        <v>20</v>
      </c>
      <c r="BJ900" t="s">
        <v>12396</v>
      </c>
      <c r="BK900" t="s">
        <v>101</v>
      </c>
      <c r="BL900" t="s">
        <v>12396</v>
      </c>
      <c r="BM900" t="s">
        <v>17479</v>
      </c>
      <c r="BN900">
        <v>34418978</v>
      </c>
      <c r="BO900" t="s">
        <v>17480</v>
      </c>
      <c r="BP900" t="s">
        <v>74</v>
      </c>
      <c r="BQ900" t="s">
        <v>74</v>
      </c>
      <c r="BR900" t="s">
        <v>105</v>
      </c>
      <c r="BS900" t="s">
        <v>17481</v>
      </c>
      <c r="BT900" t="str">
        <f>HYPERLINK("https%3A%2F%2Fwww.webofscience.com%2Fwos%2Fwoscc%2Ffull-record%2FWOS:000687149000001","View Full Record in Web of Science")</f>
        <v>View Full Record in Web of Science</v>
      </c>
    </row>
    <row r="901" spans="1:72" x14ac:dyDescent="0.15">
      <c r="A901" t="s">
        <v>72</v>
      </c>
      <c r="B901" t="s">
        <v>17482</v>
      </c>
      <c r="C901" t="s">
        <v>74</v>
      </c>
      <c r="D901" t="s">
        <v>74</v>
      </c>
      <c r="E901" t="s">
        <v>74</v>
      </c>
      <c r="F901" t="s">
        <v>17483</v>
      </c>
      <c r="G901" t="s">
        <v>74</v>
      </c>
      <c r="H901" t="s">
        <v>74</v>
      </c>
      <c r="I901" t="s">
        <v>17484</v>
      </c>
      <c r="J901" t="s">
        <v>7516</v>
      </c>
      <c r="K901" t="s">
        <v>74</v>
      </c>
      <c r="L901" t="s">
        <v>74</v>
      </c>
      <c r="M901" t="s">
        <v>78</v>
      </c>
      <c r="N901" t="s">
        <v>79</v>
      </c>
      <c r="O901" t="s">
        <v>74</v>
      </c>
      <c r="P901" t="s">
        <v>74</v>
      </c>
      <c r="Q901" t="s">
        <v>74</v>
      </c>
      <c r="R901" t="s">
        <v>74</v>
      </c>
      <c r="S901" t="s">
        <v>74</v>
      </c>
      <c r="T901" t="s">
        <v>17485</v>
      </c>
      <c r="U901" t="s">
        <v>17486</v>
      </c>
      <c r="V901" t="s">
        <v>17487</v>
      </c>
      <c r="W901" t="s">
        <v>17488</v>
      </c>
      <c r="X901" t="s">
        <v>17489</v>
      </c>
      <c r="Y901" t="s">
        <v>17490</v>
      </c>
      <c r="Z901" t="s">
        <v>17491</v>
      </c>
      <c r="AA901" t="s">
        <v>17492</v>
      </c>
      <c r="AB901" t="s">
        <v>17493</v>
      </c>
      <c r="AC901" t="s">
        <v>17494</v>
      </c>
      <c r="AD901" t="s">
        <v>17495</v>
      </c>
      <c r="AE901" t="s">
        <v>17496</v>
      </c>
      <c r="AF901" t="s">
        <v>74</v>
      </c>
      <c r="AG901">
        <v>78</v>
      </c>
      <c r="AH901">
        <v>14</v>
      </c>
      <c r="AI901">
        <v>17</v>
      </c>
      <c r="AJ901">
        <v>2</v>
      </c>
      <c r="AK901">
        <v>30</v>
      </c>
      <c r="AL901" t="s">
        <v>255</v>
      </c>
      <c r="AM901" t="s">
        <v>256</v>
      </c>
      <c r="AN901" t="s">
        <v>257</v>
      </c>
      <c r="AO901" t="s">
        <v>7529</v>
      </c>
      <c r="AP901" t="s">
        <v>7530</v>
      </c>
      <c r="AQ901" t="s">
        <v>74</v>
      </c>
      <c r="AR901" t="s">
        <v>7516</v>
      </c>
      <c r="AS901" t="s">
        <v>7531</v>
      </c>
      <c r="AT901" t="s">
        <v>416</v>
      </c>
      <c r="AU901">
        <v>2022</v>
      </c>
      <c r="AV901">
        <v>286</v>
      </c>
      <c r="AW901" t="s">
        <v>74</v>
      </c>
      <c r="AX901">
        <v>3</v>
      </c>
      <c r="AY901" t="s">
        <v>74</v>
      </c>
      <c r="AZ901" t="s">
        <v>74</v>
      </c>
      <c r="BA901" t="s">
        <v>74</v>
      </c>
      <c r="BB901" t="s">
        <v>74</v>
      </c>
      <c r="BC901" t="s">
        <v>74</v>
      </c>
      <c r="BD901">
        <v>131871</v>
      </c>
      <c r="BE901" t="s">
        <v>17497</v>
      </c>
      <c r="BF901" t="str">
        <f>HYPERLINK("http://dx.doi.org/10.1016/j.chemosphere.2021.131871","http://dx.doi.org/10.1016/j.chemosphere.2021.131871")</f>
        <v>http://dx.doi.org/10.1016/j.chemosphere.2021.131871</v>
      </c>
      <c r="BG901" t="s">
        <v>74</v>
      </c>
      <c r="BH901" t="s">
        <v>16043</v>
      </c>
      <c r="BI901">
        <v>9</v>
      </c>
      <c r="BJ901" t="s">
        <v>856</v>
      </c>
      <c r="BK901" t="s">
        <v>101</v>
      </c>
      <c r="BL901" t="s">
        <v>630</v>
      </c>
      <c r="BM901" t="s">
        <v>17498</v>
      </c>
      <c r="BN901">
        <v>34426291</v>
      </c>
      <c r="BO901" t="s">
        <v>180</v>
      </c>
      <c r="BP901" t="s">
        <v>74</v>
      </c>
      <c r="BQ901" t="s">
        <v>74</v>
      </c>
      <c r="BR901" t="s">
        <v>105</v>
      </c>
      <c r="BS901" t="s">
        <v>17499</v>
      </c>
      <c r="BT901" t="str">
        <f>HYPERLINK("https%3A%2F%2Fwww.webofscience.com%2Fwos%2Fwoscc%2Ffull-record%2FWOS:000704746200003","View Full Record in Web of Science")</f>
        <v>View Full Record in Web of Science</v>
      </c>
    </row>
    <row r="902" spans="1:72" x14ac:dyDescent="0.15">
      <c r="A902" t="s">
        <v>72</v>
      </c>
      <c r="B902" t="s">
        <v>17500</v>
      </c>
      <c r="C902" t="s">
        <v>74</v>
      </c>
      <c r="D902" t="s">
        <v>74</v>
      </c>
      <c r="E902" t="s">
        <v>74</v>
      </c>
      <c r="F902" t="s">
        <v>17501</v>
      </c>
      <c r="G902" t="s">
        <v>74</v>
      </c>
      <c r="H902" t="s">
        <v>74</v>
      </c>
      <c r="I902" t="s">
        <v>17502</v>
      </c>
      <c r="J902" t="s">
        <v>372</v>
      </c>
      <c r="K902" t="s">
        <v>74</v>
      </c>
      <c r="L902" t="s">
        <v>74</v>
      </c>
      <c r="M902" t="s">
        <v>78</v>
      </c>
      <c r="N902" t="s">
        <v>79</v>
      </c>
      <c r="O902" t="s">
        <v>74</v>
      </c>
      <c r="P902" t="s">
        <v>74</v>
      </c>
      <c r="Q902" t="s">
        <v>74</v>
      </c>
      <c r="R902" t="s">
        <v>74</v>
      </c>
      <c r="S902" t="s">
        <v>74</v>
      </c>
      <c r="T902" t="s">
        <v>17503</v>
      </c>
      <c r="U902" t="s">
        <v>17504</v>
      </c>
      <c r="V902" t="s">
        <v>17505</v>
      </c>
      <c r="W902" t="s">
        <v>17506</v>
      </c>
      <c r="X902" t="s">
        <v>17507</v>
      </c>
      <c r="Y902" t="s">
        <v>17508</v>
      </c>
      <c r="Z902" t="s">
        <v>17509</v>
      </c>
      <c r="AA902" t="s">
        <v>17510</v>
      </c>
      <c r="AB902" t="s">
        <v>17511</v>
      </c>
      <c r="AC902" t="s">
        <v>17512</v>
      </c>
      <c r="AD902" t="s">
        <v>17513</v>
      </c>
      <c r="AE902" t="s">
        <v>17514</v>
      </c>
      <c r="AF902" t="s">
        <v>74</v>
      </c>
      <c r="AG902">
        <v>36</v>
      </c>
      <c r="AH902">
        <v>9</v>
      </c>
      <c r="AI902">
        <v>9</v>
      </c>
      <c r="AJ902">
        <v>0</v>
      </c>
      <c r="AK902">
        <v>9</v>
      </c>
      <c r="AL902" t="s">
        <v>383</v>
      </c>
      <c r="AM902" t="s">
        <v>384</v>
      </c>
      <c r="AN902" t="s">
        <v>385</v>
      </c>
      <c r="AO902" t="s">
        <v>74</v>
      </c>
      <c r="AP902" t="s">
        <v>386</v>
      </c>
      <c r="AQ902" t="s">
        <v>74</v>
      </c>
      <c r="AR902" t="s">
        <v>387</v>
      </c>
      <c r="AS902" t="s">
        <v>388</v>
      </c>
      <c r="AT902" t="s">
        <v>17515</v>
      </c>
      <c r="AU902">
        <v>2021</v>
      </c>
      <c r="AV902">
        <v>8</v>
      </c>
      <c r="AW902" t="s">
        <v>74</v>
      </c>
      <c r="AX902" t="s">
        <v>74</v>
      </c>
      <c r="AY902" t="s">
        <v>74</v>
      </c>
      <c r="AZ902" t="s">
        <v>74</v>
      </c>
      <c r="BA902" t="s">
        <v>74</v>
      </c>
      <c r="BB902" t="s">
        <v>74</v>
      </c>
      <c r="BC902" t="s">
        <v>74</v>
      </c>
      <c r="BD902" t="s">
        <v>74</v>
      </c>
      <c r="BE902" t="s">
        <v>17516</v>
      </c>
      <c r="BF902" t="str">
        <f>HYPERLINK("http://dx.doi.org/10.3389/fmars.2021.705608","http://dx.doi.org/10.3389/fmars.2021.705608")</f>
        <v>http://dx.doi.org/10.3389/fmars.2021.705608</v>
      </c>
      <c r="BG902" t="s">
        <v>74</v>
      </c>
      <c r="BH902" t="s">
        <v>74</v>
      </c>
      <c r="BI902">
        <v>13</v>
      </c>
      <c r="BJ902" t="s">
        <v>391</v>
      </c>
      <c r="BK902" t="s">
        <v>101</v>
      </c>
      <c r="BL902" t="s">
        <v>392</v>
      </c>
      <c r="BM902" t="s">
        <v>17517</v>
      </c>
      <c r="BN902" t="s">
        <v>74</v>
      </c>
      <c r="BO902" t="s">
        <v>210</v>
      </c>
      <c r="BP902" t="s">
        <v>74</v>
      </c>
      <c r="BQ902" t="s">
        <v>74</v>
      </c>
      <c r="BR902" t="s">
        <v>105</v>
      </c>
      <c r="BS902" t="s">
        <v>17518</v>
      </c>
      <c r="BT902" t="str">
        <f>HYPERLINK("https%3A%2F%2Fwww.webofscience.com%2Fwos%2Fwoscc%2Ffull-record%2FWOS:000696576700001","View Full Record in Web of Science")</f>
        <v>View Full Record in Web of Science</v>
      </c>
    </row>
    <row r="903" spans="1:72" x14ac:dyDescent="0.15">
      <c r="A903" t="s">
        <v>72</v>
      </c>
      <c r="B903" t="s">
        <v>17519</v>
      </c>
      <c r="C903" t="s">
        <v>74</v>
      </c>
      <c r="D903" t="s">
        <v>74</v>
      </c>
      <c r="E903" t="s">
        <v>74</v>
      </c>
      <c r="F903" t="s">
        <v>17520</v>
      </c>
      <c r="G903" t="s">
        <v>74</v>
      </c>
      <c r="H903" t="s">
        <v>74</v>
      </c>
      <c r="I903" t="s">
        <v>17521</v>
      </c>
      <c r="J903" t="s">
        <v>1099</v>
      </c>
      <c r="K903" t="s">
        <v>74</v>
      </c>
      <c r="L903" t="s">
        <v>74</v>
      </c>
      <c r="M903" t="s">
        <v>78</v>
      </c>
      <c r="N903" t="s">
        <v>79</v>
      </c>
      <c r="O903" t="s">
        <v>74</v>
      </c>
      <c r="P903" t="s">
        <v>74</v>
      </c>
      <c r="Q903" t="s">
        <v>74</v>
      </c>
      <c r="R903" t="s">
        <v>74</v>
      </c>
      <c r="S903" t="s">
        <v>74</v>
      </c>
      <c r="T903" t="s">
        <v>17522</v>
      </c>
      <c r="U903" t="s">
        <v>17523</v>
      </c>
      <c r="V903" t="s">
        <v>17524</v>
      </c>
      <c r="W903" t="s">
        <v>17525</v>
      </c>
      <c r="X903" t="s">
        <v>17526</v>
      </c>
      <c r="Y903" t="s">
        <v>17527</v>
      </c>
      <c r="Z903" t="s">
        <v>17528</v>
      </c>
      <c r="AA903" t="s">
        <v>17529</v>
      </c>
      <c r="AB903" t="s">
        <v>17530</v>
      </c>
      <c r="AC903" t="s">
        <v>17531</v>
      </c>
      <c r="AD903" t="s">
        <v>17532</v>
      </c>
      <c r="AE903" t="s">
        <v>17533</v>
      </c>
      <c r="AF903" t="s">
        <v>74</v>
      </c>
      <c r="AG903">
        <v>79</v>
      </c>
      <c r="AH903">
        <v>59</v>
      </c>
      <c r="AI903">
        <v>63</v>
      </c>
      <c r="AJ903">
        <v>14</v>
      </c>
      <c r="AK903">
        <v>53</v>
      </c>
      <c r="AL903" t="s">
        <v>383</v>
      </c>
      <c r="AM903" t="s">
        <v>384</v>
      </c>
      <c r="AN903" t="s">
        <v>385</v>
      </c>
      <c r="AO903" t="s">
        <v>74</v>
      </c>
      <c r="AP903" t="s">
        <v>1112</v>
      </c>
      <c r="AQ903" t="s">
        <v>74</v>
      </c>
      <c r="AR903" t="s">
        <v>1113</v>
      </c>
      <c r="AS903" t="s">
        <v>1114</v>
      </c>
      <c r="AT903" t="s">
        <v>17515</v>
      </c>
      <c r="AU903">
        <v>2021</v>
      </c>
      <c r="AV903">
        <v>9</v>
      </c>
      <c r="AW903" t="s">
        <v>74</v>
      </c>
      <c r="AX903" t="s">
        <v>74</v>
      </c>
      <c r="AY903" t="s">
        <v>74</v>
      </c>
      <c r="AZ903" t="s">
        <v>74</v>
      </c>
      <c r="BA903" t="s">
        <v>74</v>
      </c>
      <c r="BB903" t="s">
        <v>74</v>
      </c>
      <c r="BC903" t="s">
        <v>74</v>
      </c>
      <c r="BD903" t="s">
        <v>74</v>
      </c>
      <c r="BE903" t="s">
        <v>17534</v>
      </c>
      <c r="BF903" t="str">
        <f>HYPERLINK("http://dx.doi.org/10.3389/feart.2021.710036","http://dx.doi.org/10.3389/feart.2021.710036")</f>
        <v>http://dx.doi.org/10.3389/feart.2021.710036</v>
      </c>
      <c r="BG903" t="s">
        <v>74</v>
      </c>
      <c r="BH903" t="s">
        <v>74</v>
      </c>
      <c r="BI903">
        <v>17</v>
      </c>
      <c r="BJ903" t="s">
        <v>236</v>
      </c>
      <c r="BK903" t="s">
        <v>101</v>
      </c>
      <c r="BL903" t="s">
        <v>237</v>
      </c>
      <c r="BM903" t="s">
        <v>17535</v>
      </c>
      <c r="BN903" t="s">
        <v>74</v>
      </c>
      <c r="BO903" t="s">
        <v>554</v>
      </c>
      <c r="BP903" t="s">
        <v>74</v>
      </c>
      <c r="BQ903" t="s">
        <v>74</v>
      </c>
      <c r="BR903" t="s">
        <v>105</v>
      </c>
      <c r="BS903" t="s">
        <v>17536</v>
      </c>
      <c r="BT903" t="str">
        <f>HYPERLINK("https%3A%2F%2Fwww.webofscience.com%2Fwos%2Fwoscc%2Ffull-record%2FWOS:000693663400001","View Full Record in Web of Science")</f>
        <v>View Full Record in Web of Science</v>
      </c>
    </row>
    <row r="904" spans="1:72" x14ac:dyDescent="0.15">
      <c r="A904" t="s">
        <v>72</v>
      </c>
      <c r="B904" t="s">
        <v>17537</v>
      </c>
      <c r="C904" t="s">
        <v>74</v>
      </c>
      <c r="D904" t="s">
        <v>74</v>
      </c>
      <c r="E904" t="s">
        <v>74</v>
      </c>
      <c r="F904" t="s">
        <v>17538</v>
      </c>
      <c r="G904" t="s">
        <v>74</v>
      </c>
      <c r="H904" t="s">
        <v>74</v>
      </c>
      <c r="I904" t="s">
        <v>17539</v>
      </c>
      <c r="J904" t="s">
        <v>2451</v>
      </c>
      <c r="K904" t="s">
        <v>74</v>
      </c>
      <c r="L904" t="s">
        <v>74</v>
      </c>
      <c r="M904" t="s">
        <v>78</v>
      </c>
      <c r="N904" t="s">
        <v>79</v>
      </c>
      <c r="O904" t="s">
        <v>74</v>
      </c>
      <c r="P904" t="s">
        <v>74</v>
      </c>
      <c r="Q904" t="s">
        <v>74</v>
      </c>
      <c r="R904" t="s">
        <v>74</v>
      </c>
      <c r="S904" t="s">
        <v>74</v>
      </c>
      <c r="T904" t="s">
        <v>17540</v>
      </c>
      <c r="U904" t="s">
        <v>17541</v>
      </c>
      <c r="V904" t="s">
        <v>17542</v>
      </c>
      <c r="W904" t="s">
        <v>17543</v>
      </c>
      <c r="X904" t="s">
        <v>17544</v>
      </c>
      <c r="Y904" t="s">
        <v>17545</v>
      </c>
      <c r="Z904" t="s">
        <v>17546</v>
      </c>
      <c r="AA904" t="s">
        <v>74</v>
      </c>
      <c r="AB904" t="s">
        <v>17547</v>
      </c>
      <c r="AC904" t="s">
        <v>17548</v>
      </c>
      <c r="AD904" t="s">
        <v>17549</v>
      </c>
      <c r="AE904" t="s">
        <v>17550</v>
      </c>
      <c r="AF904" t="s">
        <v>74</v>
      </c>
      <c r="AG904">
        <v>44</v>
      </c>
      <c r="AH904">
        <v>4</v>
      </c>
      <c r="AI904">
        <v>4</v>
      </c>
      <c r="AJ904">
        <v>1</v>
      </c>
      <c r="AK904">
        <v>8</v>
      </c>
      <c r="AL904" t="s">
        <v>847</v>
      </c>
      <c r="AM904" t="s">
        <v>848</v>
      </c>
      <c r="AN904" t="s">
        <v>849</v>
      </c>
      <c r="AO904" t="s">
        <v>2464</v>
      </c>
      <c r="AP904" t="s">
        <v>2465</v>
      </c>
      <c r="AQ904" t="s">
        <v>74</v>
      </c>
      <c r="AR904" t="s">
        <v>2466</v>
      </c>
      <c r="AS904" t="s">
        <v>2467</v>
      </c>
      <c r="AT904" t="s">
        <v>7760</v>
      </c>
      <c r="AU904">
        <v>2021</v>
      </c>
      <c r="AV904">
        <v>205</v>
      </c>
      <c r="AW904" t="s">
        <v>74</v>
      </c>
      <c r="AX904" t="s">
        <v>74</v>
      </c>
      <c r="AY904" t="s">
        <v>74</v>
      </c>
      <c r="AZ904" t="s">
        <v>74</v>
      </c>
      <c r="BA904" t="s">
        <v>74</v>
      </c>
      <c r="BB904" t="s">
        <v>74</v>
      </c>
      <c r="BC904" t="s">
        <v>74</v>
      </c>
      <c r="BD904">
        <v>103615</v>
      </c>
      <c r="BE904" t="s">
        <v>17551</v>
      </c>
      <c r="BF904" t="str">
        <f>HYPERLINK("http://dx.doi.org/10.1016/j.gloplacha.2021.103615","http://dx.doi.org/10.1016/j.gloplacha.2021.103615")</f>
        <v>http://dx.doi.org/10.1016/j.gloplacha.2021.103615</v>
      </c>
      <c r="BG904" t="s">
        <v>74</v>
      </c>
      <c r="BH904" t="s">
        <v>16043</v>
      </c>
      <c r="BI904">
        <v>12</v>
      </c>
      <c r="BJ904" t="s">
        <v>340</v>
      </c>
      <c r="BK904" t="s">
        <v>101</v>
      </c>
      <c r="BL904" t="s">
        <v>341</v>
      </c>
      <c r="BM904" t="s">
        <v>17552</v>
      </c>
      <c r="BN904" t="s">
        <v>74</v>
      </c>
      <c r="BO904" t="s">
        <v>74</v>
      </c>
      <c r="BP904" t="s">
        <v>74</v>
      </c>
      <c r="BQ904" t="s">
        <v>74</v>
      </c>
      <c r="BR904" t="s">
        <v>105</v>
      </c>
      <c r="BS904" t="s">
        <v>17553</v>
      </c>
      <c r="BT904" t="str">
        <f>HYPERLINK("https%3A%2F%2Fwww.webofscience.com%2Fwos%2Fwoscc%2Ffull-record%2FWOS:000693258200003","View Full Record in Web of Science")</f>
        <v>View Full Record in Web of Science</v>
      </c>
    </row>
    <row r="905" spans="1:72" x14ac:dyDescent="0.15">
      <c r="A905" t="s">
        <v>72</v>
      </c>
      <c r="B905" t="s">
        <v>17554</v>
      </c>
      <c r="C905" t="s">
        <v>74</v>
      </c>
      <c r="D905" t="s">
        <v>74</v>
      </c>
      <c r="E905" t="s">
        <v>74</v>
      </c>
      <c r="F905" t="s">
        <v>17555</v>
      </c>
      <c r="G905" t="s">
        <v>74</v>
      </c>
      <c r="H905" t="s">
        <v>74</v>
      </c>
      <c r="I905" t="s">
        <v>17556</v>
      </c>
      <c r="J905" t="s">
        <v>1556</v>
      </c>
      <c r="K905" t="s">
        <v>74</v>
      </c>
      <c r="L905" t="s">
        <v>74</v>
      </c>
      <c r="M905" t="s">
        <v>78</v>
      </c>
      <c r="N905" t="s">
        <v>79</v>
      </c>
      <c r="O905" t="s">
        <v>74</v>
      </c>
      <c r="P905" t="s">
        <v>74</v>
      </c>
      <c r="Q905" t="s">
        <v>74</v>
      </c>
      <c r="R905" t="s">
        <v>74</v>
      </c>
      <c r="S905" t="s">
        <v>74</v>
      </c>
      <c r="T905" t="s">
        <v>74</v>
      </c>
      <c r="U905" t="s">
        <v>17557</v>
      </c>
      <c r="V905" t="s">
        <v>17558</v>
      </c>
      <c r="W905" t="s">
        <v>17559</v>
      </c>
      <c r="X905" t="s">
        <v>17560</v>
      </c>
      <c r="Y905" t="s">
        <v>17561</v>
      </c>
      <c r="Z905" t="s">
        <v>17562</v>
      </c>
      <c r="AA905" t="s">
        <v>17563</v>
      </c>
      <c r="AB905" t="s">
        <v>17564</v>
      </c>
      <c r="AC905" t="s">
        <v>17565</v>
      </c>
      <c r="AD905" t="s">
        <v>17566</v>
      </c>
      <c r="AE905" t="s">
        <v>17567</v>
      </c>
      <c r="AF905" t="s">
        <v>74</v>
      </c>
      <c r="AG905">
        <v>120</v>
      </c>
      <c r="AH905">
        <v>2</v>
      </c>
      <c r="AI905">
        <v>2</v>
      </c>
      <c r="AJ905">
        <v>0</v>
      </c>
      <c r="AK905">
        <v>6</v>
      </c>
      <c r="AL905" t="s">
        <v>227</v>
      </c>
      <c r="AM905" t="s">
        <v>228</v>
      </c>
      <c r="AN905" t="s">
        <v>229</v>
      </c>
      <c r="AO905" t="s">
        <v>1568</v>
      </c>
      <c r="AP905" t="s">
        <v>1569</v>
      </c>
      <c r="AQ905" t="s">
        <v>74</v>
      </c>
      <c r="AR905" t="s">
        <v>1556</v>
      </c>
      <c r="AS905" t="s">
        <v>1570</v>
      </c>
      <c r="AT905" t="s">
        <v>17515</v>
      </c>
      <c r="AU905">
        <v>2021</v>
      </c>
      <c r="AV905">
        <v>18</v>
      </c>
      <c r="AW905">
        <v>16</v>
      </c>
      <c r="AX905" t="s">
        <v>74</v>
      </c>
      <c r="AY905" t="s">
        <v>74</v>
      </c>
      <c r="AZ905" t="s">
        <v>74</v>
      </c>
      <c r="BA905" t="s">
        <v>74</v>
      </c>
      <c r="BB905">
        <v>4733</v>
      </c>
      <c r="BC905">
        <v>4753</v>
      </c>
      <c r="BD905" t="s">
        <v>74</v>
      </c>
      <c r="BE905" t="s">
        <v>17568</v>
      </c>
      <c r="BF905" t="str">
        <f>HYPERLINK("http://dx.doi.org/10.5194/bg-18-4733-2021","http://dx.doi.org/10.5194/bg-18-4733-2021")</f>
        <v>http://dx.doi.org/10.5194/bg-18-4733-2021</v>
      </c>
      <c r="BG905" t="s">
        <v>74</v>
      </c>
      <c r="BH905" t="s">
        <v>74</v>
      </c>
      <c r="BI905">
        <v>21</v>
      </c>
      <c r="BJ905" t="s">
        <v>1572</v>
      </c>
      <c r="BK905" t="s">
        <v>101</v>
      </c>
      <c r="BL905" t="s">
        <v>1573</v>
      </c>
      <c r="BM905" t="s">
        <v>17569</v>
      </c>
      <c r="BN905" t="s">
        <v>74</v>
      </c>
      <c r="BO905" t="s">
        <v>5518</v>
      </c>
      <c r="BP905" t="s">
        <v>74</v>
      </c>
      <c r="BQ905" t="s">
        <v>74</v>
      </c>
      <c r="BR905" t="s">
        <v>105</v>
      </c>
      <c r="BS905" t="s">
        <v>17570</v>
      </c>
      <c r="BT905" t="str">
        <f>HYPERLINK("https%3A%2F%2Fwww.webofscience.com%2Fwos%2Fwoscc%2Ffull-record%2FWOS:000687649400001","View Full Record in Web of Science")</f>
        <v>View Full Record in Web of Science</v>
      </c>
    </row>
    <row r="906" spans="1:72" x14ac:dyDescent="0.15">
      <c r="A906" t="s">
        <v>72</v>
      </c>
      <c r="B906" t="s">
        <v>17571</v>
      </c>
      <c r="C906" t="s">
        <v>74</v>
      </c>
      <c r="D906" t="s">
        <v>74</v>
      </c>
      <c r="E906" t="s">
        <v>74</v>
      </c>
      <c r="F906" t="s">
        <v>17572</v>
      </c>
      <c r="G906" t="s">
        <v>74</v>
      </c>
      <c r="H906" t="s">
        <v>74</v>
      </c>
      <c r="I906" t="s">
        <v>17573</v>
      </c>
      <c r="J906" t="s">
        <v>1058</v>
      </c>
      <c r="K906" t="s">
        <v>74</v>
      </c>
      <c r="L906" t="s">
        <v>74</v>
      </c>
      <c r="M906" t="s">
        <v>78</v>
      </c>
      <c r="N906" t="s">
        <v>79</v>
      </c>
      <c r="O906" t="s">
        <v>74</v>
      </c>
      <c r="P906" t="s">
        <v>74</v>
      </c>
      <c r="Q906" t="s">
        <v>74</v>
      </c>
      <c r="R906" t="s">
        <v>74</v>
      </c>
      <c r="S906" t="s">
        <v>74</v>
      </c>
      <c r="T906" t="s">
        <v>74</v>
      </c>
      <c r="U906" t="s">
        <v>17574</v>
      </c>
      <c r="V906" t="s">
        <v>17575</v>
      </c>
      <c r="W906" t="s">
        <v>17576</v>
      </c>
      <c r="X906" t="s">
        <v>17577</v>
      </c>
      <c r="Y906" t="s">
        <v>17578</v>
      </c>
      <c r="Z906" t="s">
        <v>17579</v>
      </c>
      <c r="AA906" t="s">
        <v>17580</v>
      </c>
      <c r="AB906" t="s">
        <v>17581</v>
      </c>
      <c r="AC906" t="s">
        <v>17582</v>
      </c>
      <c r="AD906" t="s">
        <v>17583</v>
      </c>
      <c r="AE906" t="s">
        <v>17584</v>
      </c>
      <c r="AF906" t="s">
        <v>74</v>
      </c>
      <c r="AG906">
        <v>60</v>
      </c>
      <c r="AH906">
        <v>45</v>
      </c>
      <c r="AI906">
        <v>48</v>
      </c>
      <c r="AJ906">
        <v>3</v>
      </c>
      <c r="AK906">
        <v>14</v>
      </c>
      <c r="AL906" t="s">
        <v>227</v>
      </c>
      <c r="AM906" t="s">
        <v>228</v>
      </c>
      <c r="AN906" t="s">
        <v>229</v>
      </c>
      <c r="AO906" t="s">
        <v>1065</v>
      </c>
      <c r="AP906" t="s">
        <v>1066</v>
      </c>
      <c r="AQ906" t="s">
        <v>74</v>
      </c>
      <c r="AR906" t="s">
        <v>1058</v>
      </c>
      <c r="AS906" t="s">
        <v>1067</v>
      </c>
      <c r="AT906" t="s">
        <v>17515</v>
      </c>
      <c r="AU906">
        <v>2021</v>
      </c>
      <c r="AV906">
        <v>15</v>
      </c>
      <c r="AW906">
        <v>8</v>
      </c>
      <c r="AX906" t="s">
        <v>74</v>
      </c>
      <c r="AY906" t="s">
        <v>74</v>
      </c>
      <c r="AZ906" t="s">
        <v>74</v>
      </c>
      <c r="BA906" t="s">
        <v>74</v>
      </c>
      <c r="BB906">
        <v>3897</v>
      </c>
      <c r="BC906">
        <v>3920</v>
      </c>
      <c r="BD906" t="s">
        <v>74</v>
      </c>
      <c r="BE906" t="s">
        <v>17585</v>
      </c>
      <c r="BF906" t="str">
        <f>HYPERLINK("http://dx.doi.org/10.5194/tc-15-3897-2021","http://dx.doi.org/10.5194/tc-15-3897-2021")</f>
        <v>http://dx.doi.org/10.5194/tc-15-3897-2021</v>
      </c>
      <c r="BG906" t="s">
        <v>74</v>
      </c>
      <c r="BH906" t="s">
        <v>74</v>
      </c>
      <c r="BI906">
        <v>24</v>
      </c>
      <c r="BJ906" t="s">
        <v>340</v>
      </c>
      <c r="BK906" t="s">
        <v>101</v>
      </c>
      <c r="BL906" t="s">
        <v>341</v>
      </c>
      <c r="BM906" t="s">
        <v>17586</v>
      </c>
      <c r="BN906" t="s">
        <v>74</v>
      </c>
      <c r="BO906" t="s">
        <v>1004</v>
      </c>
      <c r="BP906" t="s">
        <v>74</v>
      </c>
      <c r="BQ906" t="s">
        <v>74</v>
      </c>
      <c r="BR906" t="s">
        <v>105</v>
      </c>
      <c r="BS906" t="s">
        <v>17587</v>
      </c>
      <c r="BT906" t="str">
        <f>HYPERLINK("https%3A%2F%2Fwww.webofscience.com%2Fwos%2Fwoscc%2Ffull-record%2FWOS:000687656100002","View Full Record in Web of Science")</f>
        <v>View Full Record in Web of Science</v>
      </c>
    </row>
    <row r="907" spans="1:72" x14ac:dyDescent="0.15">
      <c r="A907" t="s">
        <v>72</v>
      </c>
      <c r="B907" t="s">
        <v>17588</v>
      </c>
      <c r="C907" t="s">
        <v>74</v>
      </c>
      <c r="D907" t="s">
        <v>74</v>
      </c>
      <c r="E907" t="s">
        <v>74</v>
      </c>
      <c r="F907" t="s">
        <v>17589</v>
      </c>
      <c r="G907" t="s">
        <v>74</v>
      </c>
      <c r="H907" t="s">
        <v>74</v>
      </c>
      <c r="I907" t="s">
        <v>17590</v>
      </c>
      <c r="J907" t="s">
        <v>587</v>
      </c>
      <c r="K907" t="s">
        <v>74</v>
      </c>
      <c r="L907" t="s">
        <v>74</v>
      </c>
      <c r="M907" t="s">
        <v>78</v>
      </c>
      <c r="N907" t="s">
        <v>79</v>
      </c>
      <c r="O907" t="s">
        <v>74</v>
      </c>
      <c r="P907" t="s">
        <v>74</v>
      </c>
      <c r="Q907" t="s">
        <v>74</v>
      </c>
      <c r="R907" t="s">
        <v>74</v>
      </c>
      <c r="S907" t="s">
        <v>74</v>
      </c>
      <c r="T907" t="s">
        <v>17591</v>
      </c>
      <c r="U907" t="s">
        <v>17592</v>
      </c>
      <c r="V907" t="s">
        <v>17593</v>
      </c>
      <c r="W907" t="s">
        <v>17594</v>
      </c>
      <c r="X907" t="s">
        <v>17595</v>
      </c>
      <c r="Y907" t="s">
        <v>17596</v>
      </c>
      <c r="Z907" t="s">
        <v>17597</v>
      </c>
      <c r="AA907" t="s">
        <v>17598</v>
      </c>
      <c r="AB907" t="s">
        <v>17599</v>
      </c>
      <c r="AC907" t="s">
        <v>17600</v>
      </c>
      <c r="AD907" t="s">
        <v>17601</v>
      </c>
      <c r="AE907" t="s">
        <v>17602</v>
      </c>
      <c r="AF907" t="s">
        <v>74</v>
      </c>
      <c r="AG907">
        <v>42</v>
      </c>
      <c r="AH907">
        <v>4</v>
      </c>
      <c r="AI907">
        <v>4</v>
      </c>
      <c r="AJ907">
        <v>0</v>
      </c>
      <c r="AK907">
        <v>7</v>
      </c>
      <c r="AL907" t="s">
        <v>572</v>
      </c>
      <c r="AM907" t="s">
        <v>573</v>
      </c>
      <c r="AN907" t="s">
        <v>574</v>
      </c>
      <c r="AO907" t="s">
        <v>600</v>
      </c>
      <c r="AP907" t="s">
        <v>601</v>
      </c>
      <c r="AQ907" t="s">
        <v>74</v>
      </c>
      <c r="AR907" t="s">
        <v>602</v>
      </c>
      <c r="AS907" t="s">
        <v>603</v>
      </c>
      <c r="AT907" t="s">
        <v>310</v>
      </c>
      <c r="AU907">
        <v>2021</v>
      </c>
      <c r="AV907">
        <v>27</v>
      </c>
      <c r="AW907">
        <v>11</v>
      </c>
      <c r="AX907" t="s">
        <v>74</v>
      </c>
      <c r="AY907" t="s">
        <v>74</v>
      </c>
      <c r="AZ907" t="s">
        <v>74</v>
      </c>
      <c r="BA907" t="s">
        <v>74</v>
      </c>
      <c r="BB907">
        <v>2093</v>
      </c>
      <c r="BC907">
        <v>2103</v>
      </c>
      <c r="BD907" t="s">
        <v>74</v>
      </c>
      <c r="BE907" t="s">
        <v>17603</v>
      </c>
      <c r="BF907" t="str">
        <f>HYPERLINK("http://dx.doi.org/10.1111/ddi.13398","http://dx.doi.org/10.1111/ddi.13398")</f>
        <v>http://dx.doi.org/10.1111/ddi.13398</v>
      </c>
      <c r="BG907" t="s">
        <v>74</v>
      </c>
      <c r="BH907" t="s">
        <v>16043</v>
      </c>
      <c r="BI907">
        <v>11</v>
      </c>
      <c r="BJ907" t="s">
        <v>605</v>
      </c>
      <c r="BK907" t="s">
        <v>101</v>
      </c>
      <c r="BL907" t="s">
        <v>606</v>
      </c>
      <c r="BM907" t="s">
        <v>12116</v>
      </c>
      <c r="BN907" t="s">
        <v>74</v>
      </c>
      <c r="BO907" t="s">
        <v>394</v>
      </c>
      <c r="BP907" t="s">
        <v>74</v>
      </c>
      <c r="BQ907" t="s">
        <v>74</v>
      </c>
      <c r="BR907" t="s">
        <v>105</v>
      </c>
      <c r="BS907" t="s">
        <v>17604</v>
      </c>
      <c r="BT907" t="str">
        <f>HYPERLINK("https%3A%2F%2Fwww.webofscience.com%2Fwos%2Fwoscc%2Ffull-record%2FWOS:000686498500001","View Full Record in Web of Science")</f>
        <v>View Full Record in Web of Science</v>
      </c>
    </row>
    <row r="908" spans="1:72" x14ac:dyDescent="0.15">
      <c r="A908" t="s">
        <v>72</v>
      </c>
      <c r="B908" t="s">
        <v>17605</v>
      </c>
      <c r="C908" t="s">
        <v>74</v>
      </c>
      <c r="D908" t="s">
        <v>74</v>
      </c>
      <c r="E908" t="s">
        <v>74</v>
      </c>
      <c r="F908" t="s">
        <v>17606</v>
      </c>
      <c r="G908" t="s">
        <v>74</v>
      </c>
      <c r="H908" t="s">
        <v>74</v>
      </c>
      <c r="I908" t="s">
        <v>17607</v>
      </c>
      <c r="J908" t="s">
        <v>1009</v>
      </c>
      <c r="K908" t="s">
        <v>74</v>
      </c>
      <c r="L908" t="s">
        <v>74</v>
      </c>
      <c r="M908" t="s">
        <v>78</v>
      </c>
      <c r="N908" t="s">
        <v>79</v>
      </c>
      <c r="O908" t="s">
        <v>74</v>
      </c>
      <c r="P908" t="s">
        <v>74</v>
      </c>
      <c r="Q908" t="s">
        <v>74</v>
      </c>
      <c r="R908" t="s">
        <v>74</v>
      </c>
      <c r="S908" t="s">
        <v>74</v>
      </c>
      <c r="T908" t="s">
        <v>17608</v>
      </c>
      <c r="U908" t="s">
        <v>17609</v>
      </c>
      <c r="V908" t="s">
        <v>17610</v>
      </c>
      <c r="W908" t="s">
        <v>17611</v>
      </c>
      <c r="X908" t="s">
        <v>17612</v>
      </c>
      <c r="Y908" t="s">
        <v>17613</v>
      </c>
      <c r="Z908" t="s">
        <v>17614</v>
      </c>
      <c r="AA908" t="s">
        <v>17615</v>
      </c>
      <c r="AB908" t="s">
        <v>17616</v>
      </c>
      <c r="AC908" t="s">
        <v>74</v>
      </c>
      <c r="AD908" t="s">
        <v>74</v>
      </c>
      <c r="AE908" t="s">
        <v>74</v>
      </c>
      <c r="AF908" t="s">
        <v>74</v>
      </c>
      <c r="AG908">
        <v>111</v>
      </c>
      <c r="AH908">
        <v>9</v>
      </c>
      <c r="AI908">
        <v>9</v>
      </c>
      <c r="AJ908">
        <v>5</v>
      </c>
      <c r="AK908">
        <v>18</v>
      </c>
      <c r="AL908" t="s">
        <v>383</v>
      </c>
      <c r="AM908" t="s">
        <v>384</v>
      </c>
      <c r="AN908" t="s">
        <v>385</v>
      </c>
      <c r="AO908" t="s">
        <v>1021</v>
      </c>
      <c r="AP908" t="s">
        <v>74</v>
      </c>
      <c r="AQ908" t="s">
        <v>74</v>
      </c>
      <c r="AR908" t="s">
        <v>1022</v>
      </c>
      <c r="AS908" t="s">
        <v>1023</v>
      </c>
      <c r="AT908" t="s">
        <v>17515</v>
      </c>
      <c r="AU908">
        <v>2021</v>
      </c>
      <c r="AV908">
        <v>9</v>
      </c>
      <c r="AW908" t="s">
        <v>74</v>
      </c>
      <c r="AX908" t="s">
        <v>74</v>
      </c>
      <c r="AY908" t="s">
        <v>74</v>
      </c>
      <c r="AZ908" t="s">
        <v>74</v>
      </c>
      <c r="BA908" t="s">
        <v>74</v>
      </c>
      <c r="BB908" t="s">
        <v>74</v>
      </c>
      <c r="BC908" t="s">
        <v>74</v>
      </c>
      <c r="BD908">
        <v>690413</v>
      </c>
      <c r="BE908" t="s">
        <v>17617</v>
      </c>
      <c r="BF908" t="str">
        <f>HYPERLINK("http://dx.doi.org/10.3389/fevo.2021.690413","http://dx.doi.org/10.3389/fevo.2021.690413")</f>
        <v>http://dx.doi.org/10.3389/fevo.2021.690413</v>
      </c>
      <c r="BG908" t="s">
        <v>74</v>
      </c>
      <c r="BH908" t="s">
        <v>74</v>
      </c>
      <c r="BI908">
        <v>14</v>
      </c>
      <c r="BJ908" t="s">
        <v>629</v>
      </c>
      <c r="BK908" t="s">
        <v>101</v>
      </c>
      <c r="BL908" t="s">
        <v>630</v>
      </c>
      <c r="BM908" t="s">
        <v>17618</v>
      </c>
      <c r="BN908" t="s">
        <v>74</v>
      </c>
      <c r="BO908" t="s">
        <v>1094</v>
      </c>
      <c r="BP908" t="s">
        <v>74</v>
      </c>
      <c r="BQ908" t="s">
        <v>74</v>
      </c>
      <c r="BR908" t="s">
        <v>105</v>
      </c>
      <c r="BS908" t="s">
        <v>17619</v>
      </c>
      <c r="BT908" t="str">
        <f>HYPERLINK("https%3A%2F%2Fwww.webofscience.com%2Fwos%2Fwoscc%2Ffull-record%2FWOS:000728849000001","View Full Record in Web of Science")</f>
        <v>View Full Record in Web of Science</v>
      </c>
    </row>
    <row r="909" spans="1:72" x14ac:dyDescent="0.15">
      <c r="A909" t="s">
        <v>72</v>
      </c>
      <c r="B909" t="s">
        <v>17620</v>
      </c>
      <c r="C909" t="s">
        <v>74</v>
      </c>
      <c r="D909" t="s">
        <v>74</v>
      </c>
      <c r="E909" t="s">
        <v>74</v>
      </c>
      <c r="F909" t="s">
        <v>17621</v>
      </c>
      <c r="G909" t="s">
        <v>74</v>
      </c>
      <c r="H909" t="s">
        <v>74</v>
      </c>
      <c r="I909" t="s">
        <v>17622</v>
      </c>
      <c r="J909" t="s">
        <v>17623</v>
      </c>
      <c r="K909" t="s">
        <v>74</v>
      </c>
      <c r="L909" t="s">
        <v>74</v>
      </c>
      <c r="M909" t="s">
        <v>78</v>
      </c>
      <c r="N909" t="s">
        <v>79</v>
      </c>
      <c r="O909" t="s">
        <v>74</v>
      </c>
      <c r="P909" t="s">
        <v>74</v>
      </c>
      <c r="Q909" t="s">
        <v>74</v>
      </c>
      <c r="R909" t="s">
        <v>74</v>
      </c>
      <c r="S909" t="s">
        <v>74</v>
      </c>
      <c r="T909" t="s">
        <v>17624</v>
      </c>
      <c r="U909" t="s">
        <v>17625</v>
      </c>
      <c r="V909" t="s">
        <v>17626</v>
      </c>
      <c r="W909" t="s">
        <v>17627</v>
      </c>
      <c r="X909" t="s">
        <v>17628</v>
      </c>
      <c r="Y909" t="s">
        <v>17629</v>
      </c>
      <c r="Z909" t="s">
        <v>17630</v>
      </c>
      <c r="AA909" t="s">
        <v>17631</v>
      </c>
      <c r="AB909" t="s">
        <v>17632</v>
      </c>
      <c r="AC909" t="s">
        <v>17633</v>
      </c>
      <c r="AD909" t="s">
        <v>17634</v>
      </c>
      <c r="AE909" t="s">
        <v>17635</v>
      </c>
      <c r="AF909" t="s">
        <v>74</v>
      </c>
      <c r="AG909">
        <v>111</v>
      </c>
      <c r="AH909">
        <v>9</v>
      </c>
      <c r="AI909">
        <v>9</v>
      </c>
      <c r="AJ909">
        <v>4</v>
      </c>
      <c r="AK909">
        <v>33</v>
      </c>
      <c r="AL909" t="s">
        <v>847</v>
      </c>
      <c r="AM909" t="s">
        <v>848</v>
      </c>
      <c r="AN909" t="s">
        <v>849</v>
      </c>
      <c r="AO909" t="s">
        <v>17636</v>
      </c>
      <c r="AP909" t="s">
        <v>74</v>
      </c>
      <c r="AQ909" t="s">
        <v>74</v>
      </c>
      <c r="AR909" t="s">
        <v>17637</v>
      </c>
      <c r="AS909" t="s">
        <v>17638</v>
      </c>
      <c r="AT909" t="s">
        <v>98</v>
      </c>
      <c r="AU909">
        <v>2021</v>
      </c>
      <c r="AV909">
        <v>27</v>
      </c>
      <c r="AW909" t="s">
        <v>74</v>
      </c>
      <c r="AX909" t="s">
        <v>74</v>
      </c>
      <c r="AY909" t="s">
        <v>74</v>
      </c>
      <c r="AZ909" t="s">
        <v>74</v>
      </c>
      <c r="BA909" t="s">
        <v>74</v>
      </c>
      <c r="BB909" t="s">
        <v>74</v>
      </c>
      <c r="BC909" t="s">
        <v>74</v>
      </c>
      <c r="BD909" t="s">
        <v>17639</v>
      </c>
      <c r="BE909" t="s">
        <v>17640</v>
      </c>
      <c r="BF909" t="str">
        <f>HYPERLINK("http://dx.doi.org/10.1016/j.geodrs.2021.e00429","http://dx.doi.org/10.1016/j.geodrs.2021.e00429")</f>
        <v>http://dx.doi.org/10.1016/j.geodrs.2021.e00429</v>
      </c>
      <c r="BG909" t="s">
        <v>74</v>
      </c>
      <c r="BH909" t="s">
        <v>16043</v>
      </c>
      <c r="BI909">
        <v>16</v>
      </c>
      <c r="BJ909" t="s">
        <v>2153</v>
      </c>
      <c r="BK909" t="s">
        <v>101</v>
      </c>
      <c r="BL909" t="s">
        <v>2154</v>
      </c>
      <c r="BM909" t="s">
        <v>17641</v>
      </c>
      <c r="BN909" t="s">
        <v>74</v>
      </c>
      <c r="BO909" t="s">
        <v>74</v>
      </c>
      <c r="BP909" t="s">
        <v>74</v>
      </c>
      <c r="BQ909" t="s">
        <v>74</v>
      </c>
      <c r="BR909" t="s">
        <v>105</v>
      </c>
      <c r="BS909" t="s">
        <v>17642</v>
      </c>
      <c r="BT909" t="str">
        <f>HYPERLINK("https%3A%2F%2Fwww.webofscience.com%2Fwos%2Fwoscc%2Ffull-record%2FWOS:000701943100002","View Full Record in Web of Science")</f>
        <v>View Full Record in Web of Science</v>
      </c>
    </row>
    <row r="910" spans="1:72" x14ac:dyDescent="0.15">
      <c r="A910" t="s">
        <v>72</v>
      </c>
      <c r="B910" t="s">
        <v>17643</v>
      </c>
      <c r="C910" t="s">
        <v>74</v>
      </c>
      <c r="D910" t="s">
        <v>74</v>
      </c>
      <c r="E910" t="s">
        <v>74</v>
      </c>
      <c r="F910" t="s">
        <v>17644</v>
      </c>
      <c r="G910" t="s">
        <v>74</v>
      </c>
      <c r="H910" t="s">
        <v>74</v>
      </c>
      <c r="I910" t="s">
        <v>17645</v>
      </c>
      <c r="J910" t="s">
        <v>935</v>
      </c>
      <c r="K910" t="s">
        <v>74</v>
      </c>
      <c r="L910" t="s">
        <v>74</v>
      </c>
      <c r="M910" t="s">
        <v>78</v>
      </c>
      <c r="N910" t="s">
        <v>79</v>
      </c>
      <c r="O910" t="s">
        <v>74</v>
      </c>
      <c r="P910" t="s">
        <v>74</v>
      </c>
      <c r="Q910" t="s">
        <v>74</v>
      </c>
      <c r="R910" t="s">
        <v>74</v>
      </c>
      <c r="S910" t="s">
        <v>74</v>
      </c>
      <c r="T910" t="s">
        <v>17646</v>
      </c>
      <c r="U910" t="s">
        <v>17647</v>
      </c>
      <c r="V910" t="s">
        <v>17648</v>
      </c>
      <c r="W910" t="s">
        <v>17649</v>
      </c>
      <c r="X910" t="s">
        <v>17650</v>
      </c>
      <c r="Y910" t="s">
        <v>17651</v>
      </c>
      <c r="Z910" t="s">
        <v>17652</v>
      </c>
      <c r="AA910" t="s">
        <v>17653</v>
      </c>
      <c r="AB910" t="s">
        <v>17654</v>
      </c>
      <c r="AC910" t="s">
        <v>17655</v>
      </c>
      <c r="AD910" t="s">
        <v>17656</v>
      </c>
      <c r="AE910" t="s">
        <v>17657</v>
      </c>
      <c r="AF910" t="s">
        <v>74</v>
      </c>
      <c r="AG910">
        <v>55</v>
      </c>
      <c r="AH910">
        <v>0</v>
      </c>
      <c r="AI910">
        <v>0</v>
      </c>
      <c r="AJ910">
        <v>1</v>
      </c>
      <c r="AK910">
        <v>5</v>
      </c>
      <c r="AL910" t="s">
        <v>169</v>
      </c>
      <c r="AM910" t="s">
        <v>170</v>
      </c>
      <c r="AN910" t="s">
        <v>171</v>
      </c>
      <c r="AO910" t="s">
        <v>948</v>
      </c>
      <c r="AP910" t="s">
        <v>949</v>
      </c>
      <c r="AQ910" t="s">
        <v>74</v>
      </c>
      <c r="AR910" t="s">
        <v>950</v>
      </c>
      <c r="AS910" t="s">
        <v>951</v>
      </c>
      <c r="AT910" t="s">
        <v>7760</v>
      </c>
      <c r="AU910">
        <v>2021</v>
      </c>
      <c r="AV910">
        <v>44</v>
      </c>
      <c r="AW910">
        <v>10</v>
      </c>
      <c r="AX910" t="s">
        <v>74</v>
      </c>
      <c r="AY910" t="s">
        <v>74</v>
      </c>
      <c r="AZ910" t="s">
        <v>74</v>
      </c>
      <c r="BA910" t="s">
        <v>74</v>
      </c>
      <c r="BB910">
        <v>1979</v>
      </c>
      <c r="BC910">
        <v>1991</v>
      </c>
      <c r="BD910" t="s">
        <v>74</v>
      </c>
      <c r="BE910" t="s">
        <v>17658</v>
      </c>
      <c r="BF910" t="str">
        <f>HYPERLINK("http://dx.doi.org/10.1007/s00300-021-02932-2","http://dx.doi.org/10.1007/s00300-021-02932-2")</f>
        <v>http://dx.doi.org/10.1007/s00300-021-02932-2</v>
      </c>
      <c r="BG910" t="s">
        <v>74</v>
      </c>
      <c r="BH910" t="s">
        <v>16043</v>
      </c>
      <c r="BI910">
        <v>13</v>
      </c>
      <c r="BJ910" t="s">
        <v>605</v>
      </c>
      <c r="BK910" t="s">
        <v>101</v>
      </c>
      <c r="BL910" t="s">
        <v>606</v>
      </c>
      <c r="BM910" t="s">
        <v>16250</v>
      </c>
      <c r="BN910" t="s">
        <v>74</v>
      </c>
      <c r="BO910" t="s">
        <v>419</v>
      </c>
      <c r="BP910" t="s">
        <v>74</v>
      </c>
      <c r="BQ910" t="s">
        <v>74</v>
      </c>
      <c r="BR910" t="s">
        <v>105</v>
      </c>
      <c r="BS910" t="s">
        <v>17659</v>
      </c>
      <c r="BT910" t="str">
        <f>HYPERLINK("https%3A%2F%2Fwww.webofscience.com%2Fwos%2Fwoscc%2Ffull-record%2FWOS:000686509300001","View Full Record in Web of Science")</f>
        <v>View Full Record in Web of Science</v>
      </c>
    </row>
    <row r="911" spans="1:72" x14ac:dyDescent="0.15">
      <c r="A911" t="s">
        <v>72</v>
      </c>
      <c r="B911" t="s">
        <v>17660</v>
      </c>
      <c r="C911" t="s">
        <v>74</v>
      </c>
      <c r="D911" t="s">
        <v>74</v>
      </c>
      <c r="E911" t="s">
        <v>74</v>
      </c>
      <c r="F911" t="s">
        <v>17661</v>
      </c>
      <c r="G911" t="s">
        <v>74</v>
      </c>
      <c r="H911" t="s">
        <v>74</v>
      </c>
      <c r="I911" t="s">
        <v>17662</v>
      </c>
      <c r="J911" t="s">
        <v>17663</v>
      </c>
      <c r="K911" t="s">
        <v>74</v>
      </c>
      <c r="L911" t="s">
        <v>74</v>
      </c>
      <c r="M911" t="s">
        <v>78</v>
      </c>
      <c r="N911" t="s">
        <v>79</v>
      </c>
      <c r="O911" t="s">
        <v>74</v>
      </c>
      <c r="P911" t="s">
        <v>74</v>
      </c>
      <c r="Q911" t="s">
        <v>74</v>
      </c>
      <c r="R911" t="s">
        <v>74</v>
      </c>
      <c r="S911" t="s">
        <v>74</v>
      </c>
      <c r="T911" t="s">
        <v>17664</v>
      </c>
      <c r="U911" t="s">
        <v>17665</v>
      </c>
      <c r="V911" t="s">
        <v>17666</v>
      </c>
      <c r="W911" t="s">
        <v>17667</v>
      </c>
      <c r="X911" t="s">
        <v>17668</v>
      </c>
      <c r="Y911" t="s">
        <v>17669</v>
      </c>
      <c r="Z911" t="s">
        <v>17670</v>
      </c>
      <c r="AA911" t="s">
        <v>17671</v>
      </c>
      <c r="AB911" t="s">
        <v>17672</v>
      </c>
      <c r="AC911" t="s">
        <v>17673</v>
      </c>
      <c r="AD911" t="s">
        <v>17674</v>
      </c>
      <c r="AE911" t="s">
        <v>17675</v>
      </c>
      <c r="AF911" t="s">
        <v>74</v>
      </c>
      <c r="AG911">
        <v>87</v>
      </c>
      <c r="AH911">
        <v>2</v>
      </c>
      <c r="AI911">
        <v>2</v>
      </c>
      <c r="AJ911">
        <v>3</v>
      </c>
      <c r="AK911">
        <v>10</v>
      </c>
      <c r="AL911" t="s">
        <v>17676</v>
      </c>
      <c r="AM911" t="s">
        <v>17677</v>
      </c>
      <c r="AN911" t="s">
        <v>17678</v>
      </c>
      <c r="AO911" t="s">
        <v>17679</v>
      </c>
      <c r="AP911" t="s">
        <v>17680</v>
      </c>
      <c r="AQ911" t="s">
        <v>74</v>
      </c>
      <c r="AR911" t="s">
        <v>17663</v>
      </c>
      <c r="AS911" t="s">
        <v>17681</v>
      </c>
      <c r="AT911" t="s">
        <v>7760</v>
      </c>
      <c r="AU911">
        <v>2021</v>
      </c>
      <c r="AV911">
        <v>37</v>
      </c>
      <c r="AW911">
        <v>2</v>
      </c>
      <c r="AX911" t="s">
        <v>74</v>
      </c>
      <c r="AY911" t="s">
        <v>74</v>
      </c>
      <c r="AZ911" t="s">
        <v>74</v>
      </c>
      <c r="BA911" t="s">
        <v>74</v>
      </c>
      <c r="BB911">
        <v>531</v>
      </c>
      <c r="BC911">
        <v>548</v>
      </c>
      <c r="BD911" t="s">
        <v>74</v>
      </c>
      <c r="BE911" t="s">
        <v>17682</v>
      </c>
      <c r="BF911" t="str">
        <f>HYPERLINK("http://dx.doi.org/10.1007/s41208-021-00323-2","http://dx.doi.org/10.1007/s41208-021-00323-2")</f>
        <v>http://dx.doi.org/10.1007/s41208-021-00323-2</v>
      </c>
      <c r="BG911" t="s">
        <v>74</v>
      </c>
      <c r="BH911" t="s">
        <v>16043</v>
      </c>
      <c r="BI911">
        <v>18</v>
      </c>
      <c r="BJ911" t="s">
        <v>3136</v>
      </c>
      <c r="BK911" t="s">
        <v>101</v>
      </c>
      <c r="BL911" t="s">
        <v>3136</v>
      </c>
      <c r="BM911" t="s">
        <v>17683</v>
      </c>
      <c r="BN911" t="s">
        <v>74</v>
      </c>
      <c r="BO911" t="s">
        <v>74</v>
      </c>
      <c r="BP911" t="s">
        <v>74</v>
      </c>
      <c r="BQ911" t="s">
        <v>74</v>
      </c>
      <c r="BR911" t="s">
        <v>105</v>
      </c>
      <c r="BS911" t="s">
        <v>17684</v>
      </c>
      <c r="BT911" t="str">
        <f>HYPERLINK("https%3A%2F%2Fwww.webofscience.com%2Fwos%2Fwoscc%2Ffull-record%2FWOS:000686502400002","View Full Record in Web of Science")</f>
        <v>View Full Record in Web of Science</v>
      </c>
    </row>
    <row r="912" spans="1:72" x14ac:dyDescent="0.15">
      <c r="A912" t="s">
        <v>72</v>
      </c>
      <c r="B912" t="s">
        <v>17685</v>
      </c>
      <c r="C912" t="s">
        <v>74</v>
      </c>
      <c r="D912" t="s">
        <v>74</v>
      </c>
      <c r="E912" t="s">
        <v>74</v>
      </c>
      <c r="F912" t="s">
        <v>17686</v>
      </c>
      <c r="G912" t="s">
        <v>74</v>
      </c>
      <c r="H912" t="s">
        <v>74</v>
      </c>
      <c r="I912" t="s">
        <v>17687</v>
      </c>
      <c r="J912" t="s">
        <v>17688</v>
      </c>
      <c r="K912" t="s">
        <v>74</v>
      </c>
      <c r="L912" t="s">
        <v>74</v>
      </c>
      <c r="M912" t="s">
        <v>78</v>
      </c>
      <c r="N912" t="s">
        <v>79</v>
      </c>
      <c r="O912" t="s">
        <v>74</v>
      </c>
      <c r="P912" t="s">
        <v>74</v>
      </c>
      <c r="Q912" t="s">
        <v>74</v>
      </c>
      <c r="R912" t="s">
        <v>74</v>
      </c>
      <c r="S912" t="s">
        <v>74</v>
      </c>
      <c r="T912" t="s">
        <v>17689</v>
      </c>
      <c r="U912" t="s">
        <v>17690</v>
      </c>
      <c r="V912" t="s">
        <v>17691</v>
      </c>
      <c r="W912" t="s">
        <v>17692</v>
      </c>
      <c r="X912" t="s">
        <v>17693</v>
      </c>
      <c r="Y912" t="s">
        <v>17694</v>
      </c>
      <c r="Z912" t="s">
        <v>17695</v>
      </c>
      <c r="AA912" t="s">
        <v>17696</v>
      </c>
      <c r="AB912" t="s">
        <v>17697</v>
      </c>
      <c r="AC912" t="s">
        <v>74</v>
      </c>
      <c r="AD912" t="s">
        <v>74</v>
      </c>
      <c r="AE912" t="s">
        <v>74</v>
      </c>
      <c r="AF912" t="s">
        <v>74</v>
      </c>
      <c r="AG912">
        <v>270</v>
      </c>
      <c r="AH912">
        <v>15</v>
      </c>
      <c r="AI912">
        <v>15</v>
      </c>
      <c r="AJ912">
        <v>0</v>
      </c>
      <c r="AK912">
        <v>9</v>
      </c>
      <c r="AL912" t="s">
        <v>847</v>
      </c>
      <c r="AM912" t="s">
        <v>848</v>
      </c>
      <c r="AN912" t="s">
        <v>849</v>
      </c>
      <c r="AO912" t="s">
        <v>17698</v>
      </c>
      <c r="AP912" t="s">
        <v>17699</v>
      </c>
      <c r="AQ912" t="s">
        <v>74</v>
      </c>
      <c r="AR912" t="s">
        <v>17700</v>
      </c>
      <c r="AS912" t="s">
        <v>17701</v>
      </c>
      <c r="AT912" t="s">
        <v>7760</v>
      </c>
      <c r="AU912">
        <v>2021</v>
      </c>
      <c r="AV912">
        <v>221</v>
      </c>
      <c r="AW912" t="s">
        <v>74</v>
      </c>
      <c r="AX912" t="s">
        <v>74</v>
      </c>
      <c r="AY912" t="s">
        <v>74</v>
      </c>
      <c r="AZ912" t="s">
        <v>74</v>
      </c>
      <c r="BA912" t="s">
        <v>74</v>
      </c>
      <c r="BB912" t="s">
        <v>74</v>
      </c>
      <c r="BC912" t="s">
        <v>74</v>
      </c>
      <c r="BD912">
        <v>103770</v>
      </c>
      <c r="BE912" t="s">
        <v>17702</v>
      </c>
      <c r="BF912" t="str">
        <f>HYPERLINK("http://dx.doi.org/10.1016/j.earscirev.2021.103770","http://dx.doi.org/10.1016/j.earscirev.2021.103770")</f>
        <v>http://dx.doi.org/10.1016/j.earscirev.2021.103770</v>
      </c>
      <c r="BG912" t="s">
        <v>74</v>
      </c>
      <c r="BH912" t="s">
        <v>16043</v>
      </c>
      <c r="BI912">
        <v>26</v>
      </c>
      <c r="BJ912" t="s">
        <v>236</v>
      </c>
      <c r="BK912" t="s">
        <v>101</v>
      </c>
      <c r="BL912" t="s">
        <v>237</v>
      </c>
      <c r="BM912" t="s">
        <v>17703</v>
      </c>
      <c r="BN912" t="s">
        <v>74</v>
      </c>
      <c r="BO912" t="s">
        <v>74</v>
      </c>
      <c r="BP912" t="s">
        <v>74</v>
      </c>
      <c r="BQ912" t="s">
        <v>74</v>
      </c>
      <c r="BR912" t="s">
        <v>105</v>
      </c>
      <c r="BS912" t="s">
        <v>17704</v>
      </c>
      <c r="BT912" t="str">
        <f>HYPERLINK("https%3A%2F%2Fwww.webofscience.com%2Fwos%2Fwoscc%2Ffull-record%2FWOS:000704513400001","View Full Record in Web of Science")</f>
        <v>View Full Record in Web of Science</v>
      </c>
    </row>
    <row r="913" spans="1:72" x14ac:dyDescent="0.15">
      <c r="A913" t="s">
        <v>72</v>
      </c>
      <c r="B913" t="s">
        <v>17705</v>
      </c>
      <c r="C913" t="s">
        <v>74</v>
      </c>
      <c r="D913" t="s">
        <v>74</v>
      </c>
      <c r="E913" t="s">
        <v>74</v>
      </c>
      <c r="F913" t="s">
        <v>17706</v>
      </c>
      <c r="G913" t="s">
        <v>74</v>
      </c>
      <c r="H913" t="s">
        <v>74</v>
      </c>
      <c r="I913" t="s">
        <v>17707</v>
      </c>
      <c r="J913" t="s">
        <v>6339</v>
      </c>
      <c r="K913" t="s">
        <v>74</v>
      </c>
      <c r="L913" t="s">
        <v>74</v>
      </c>
      <c r="M913" t="s">
        <v>78</v>
      </c>
      <c r="N913" t="s">
        <v>79</v>
      </c>
      <c r="O913" t="s">
        <v>74</v>
      </c>
      <c r="P913" t="s">
        <v>74</v>
      </c>
      <c r="Q913" t="s">
        <v>74</v>
      </c>
      <c r="R913" t="s">
        <v>74</v>
      </c>
      <c r="S913" t="s">
        <v>74</v>
      </c>
      <c r="T913" t="s">
        <v>17708</v>
      </c>
      <c r="U913" t="s">
        <v>17709</v>
      </c>
      <c r="V913" t="s">
        <v>17710</v>
      </c>
      <c r="W913" t="s">
        <v>17711</v>
      </c>
      <c r="X913" t="s">
        <v>1768</v>
      </c>
      <c r="Y913" t="s">
        <v>13896</v>
      </c>
      <c r="Z913" t="s">
        <v>13897</v>
      </c>
      <c r="AA913" t="s">
        <v>17712</v>
      </c>
      <c r="AB913" t="s">
        <v>17713</v>
      </c>
      <c r="AC913" t="s">
        <v>17714</v>
      </c>
      <c r="AD913" t="s">
        <v>17714</v>
      </c>
      <c r="AE913" t="s">
        <v>17715</v>
      </c>
      <c r="AF913" t="s">
        <v>74</v>
      </c>
      <c r="AG913">
        <v>62</v>
      </c>
      <c r="AH913">
        <v>5</v>
      </c>
      <c r="AI913">
        <v>5</v>
      </c>
      <c r="AJ913">
        <v>1</v>
      </c>
      <c r="AK913">
        <v>22</v>
      </c>
      <c r="AL913" t="s">
        <v>6350</v>
      </c>
      <c r="AM913" t="s">
        <v>6351</v>
      </c>
      <c r="AN913" t="s">
        <v>6352</v>
      </c>
      <c r="AO913" t="s">
        <v>6353</v>
      </c>
      <c r="AP913" t="s">
        <v>6354</v>
      </c>
      <c r="AQ913" t="s">
        <v>74</v>
      </c>
      <c r="AR913" t="s">
        <v>6355</v>
      </c>
      <c r="AS913" t="s">
        <v>6356</v>
      </c>
      <c r="AT913" t="s">
        <v>17716</v>
      </c>
      <c r="AU913">
        <v>2021</v>
      </c>
      <c r="AV913">
        <v>672</v>
      </c>
      <c r="AW913" t="s">
        <v>74</v>
      </c>
      <c r="AX913" t="s">
        <v>74</v>
      </c>
      <c r="AY913" t="s">
        <v>74</v>
      </c>
      <c r="AZ913" t="s">
        <v>74</v>
      </c>
      <c r="BA913" t="s">
        <v>74</v>
      </c>
      <c r="BB913">
        <v>193</v>
      </c>
      <c r="BC913">
        <v>203</v>
      </c>
      <c r="BD913" t="s">
        <v>74</v>
      </c>
      <c r="BE913" t="s">
        <v>17717</v>
      </c>
      <c r="BF913" t="str">
        <f>HYPERLINK("http://dx.doi.org/10.3354/meps13791","http://dx.doi.org/10.3354/meps13791")</f>
        <v>http://dx.doi.org/10.3354/meps13791</v>
      </c>
      <c r="BG913" t="s">
        <v>74</v>
      </c>
      <c r="BH913" t="s">
        <v>74</v>
      </c>
      <c r="BI913">
        <v>11</v>
      </c>
      <c r="BJ913" t="s">
        <v>6358</v>
      </c>
      <c r="BK913" t="s">
        <v>101</v>
      </c>
      <c r="BL913" t="s">
        <v>6359</v>
      </c>
      <c r="BM913" t="s">
        <v>17718</v>
      </c>
      <c r="BN913" t="s">
        <v>74</v>
      </c>
      <c r="BO913" t="s">
        <v>419</v>
      </c>
      <c r="BP913" t="s">
        <v>74</v>
      </c>
      <c r="BQ913" t="s">
        <v>74</v>
      </c>
      <c r="BR913" t="s">
        <v>105</v>
      </c>
      <c r="BS913" t="s">
        <v>17719</v>
      </c>
      <c r="BT913" t="str">
        <f>HYPERLINK("https%3A%2F%2Fwww.webofscience.com%2Fwos%2Fwoscc%2Ffull-record%2FWOS:000691315800014","View Full Record in Web of Science")</f>
        <v>View Full Record in Web of Science</v>
      </c>
    </row>
    <row r="914" spans="1:72" x14ac:dyDescent="0.15">
      <c r="A914" t="s">
        <v>72</v>
      </c>
      <c r="B914" t="s">
        <v>17720</v>
      </c>
      <c r="C914" t="s">
        <v>74</v>
      </c>
      <c r="D914" t="s">
        <v>74</v>
      </c>
      <c r="E914" t="s">
        <v>74</v>
      </c>
      <c r="F914" t="s">
        <v>17721</v>
      </c>
      <c r="G914" t="s">
        <v>74</v>
      </c>
      <c r="H914" t="s">
        <v>74</v>
      </c>
      <c r="I914" t="s">
        <v>17722</v>
      </c>
      <c r="J914" t="s">
        <v>17723</v>
      </c>
      <c r="K914" t="s">
        <v>74</v>
      </c>
      <c r="L914" t="s">
        <v>74</v>
      </c>
      <c r="M914" t="s">
        <v>78</v>
      </c>
      <c r="N914" t="s">
        <v>79</v>
      </c>
      <c r="O914" t="s">
        <v>74</v>
      </c>
      <c r="P914" t="s">
        <v>74</v>
      </c>
      <c r="Q914" t="s">
        <v>74</v>
      </c>
      <c r="R914" t="s">
        <v>74</v>
      </c>
      <c r="S914" t="s">
        <v>74</v>
      </c>
      <c r="T914" t="s">
        <v>17724</v>
      </c>
      <c r="U914" t="s">
        <v>17725</v>
      </c>
      <c r="V914" t="s">
        <v>17726</v>
      </c>
      <c r="W914" t="s">
        <v>17727</v>
      </c>
      <c r="X914" t="s">
        <v>17728</v>
      </c>
      <c r="Y914" t="s">
        <v>17729</v>
      </c>
      <c r="Z914" t="s">
        <v>17730</v>
      </c>
      <c r="AA914" t="s">
        <v>17731</v>
      </c>
      <c r="AB914" t="s">
        <v>17732</v>
      </c>
      <c r="AC914" t="s">
        <v>17733</v>
      </c>
      <c r="AD914" t="s">
        <v>5341</v>
      </c>
      <c r="AE914" t="s">
        <v>17734</v>
      </c>
      <c r="AF914" t="s">
        <v>74</v>
      </c>
      <c r="AG914">
        <v>83</v>
      </c>
      <c r="AH914">
        <v>10</v>
      </c>
      <c r="AI914">
        <v>10</v>
      </c>
      <c r="AJ914">
        <v>3</v>
      </c>
      <c r="AK914">
        <v>13</v>
      </c>
      <c r="AL914" t="s">
        <v>572</v>
      </c>
      <c r="AM914" t="s">
        <v>573</v>
      </c>
      <c r="AN914" t="s">
        <v>574</v>
      </c>
      <c r="AO914" t="s">
        <v>17735</v>
      </c>
      <c r="AP914" t="s">
        <v>17736</v>
      </c>
      <c r="AQ914" t="s">
        <v>74</v>
      </c>
      <c r="AR914" t="s">
        <v>17737</v>
      </c>
      <c r="AS914" t="s">
        <v>17738</v>
      </c>
      <c r="AT914" t="s">
        <v>652</v>
      </c>
      <c r="AU914">
        <v>2021</v>
      </c>
      <c r="AV914">
        <v>147</v>
      </c>
      <c r="AW914">
        <v>739</v>
      </c>
      <c r="AX914" t="s">
        <v>74</v>
      </c>
      <c r="AY914" t="s">
        <v>74</v>
      </c>
      <c r="AZ914" t="s">
        <v>74</v>
      </c>
      <c r="BA914" t="s">
        <v>74</v>
      </c>
      <c r="BB914">
        <v>3472</v>
      </c>
      <c r="BC914">
        <v>3492</v>
      </c>
      <c r="BD914" t="s">
        <v>74</v>
      </c>
      <c r="BE914" t="s">
        <v>17739</v>
      </c>
      <c r="BF914" t="str">
        <f>HYPERLINK("http://dx.doi.org/10.1002/qj.4138","http://dx.doi.org/10.1002/qj.4138")</f>
        <v>http://dx.doi.org/10.1002/qj.4138</v>
      </c>
      <c r="BG914" t="s">
        <v>74</v>
      </c>
      <c r="BH914" t="s">
        <v>16043</v>
      </c>
      <c r="BI914">
        <v>21</v>
      </c>
      <c r="BJ914" t="s">
        <v>829</v>
      </c>
      <c r="BK914" t="s">
        <v>101</v>
      </c>
      <c r="BL914" t="s">
        <v>829</v>
      </c>
      <c r="BM914" t="s">
        <v>17740</v>
      </c>
      <c r="BN914" t="s">
        <v>74</v>
      </c>
      <c r="BO914" t="s">
        <v>1511</v>
      </c>
      <c r="BP914" t="s">
        <v>74</v>
      </c>
      <c r="BQ914" t="s">
        <v>74</v>
      </c>
      <c r="BR914" t="s">
        <v>105</v>
      </c>
      <c r="BS914" t="s">
        <v>17741</v>
      </c>
      <c r="BT914" t="str">
        <f>HYPERLINK("https%3A%2F%2Fwww.webofscience.com%2Fwos%2Fwoscc%2Ffull-record%2FWOS:000687053300001","View Full Record in Web of Science")</f>
        <v>View Full Record in Web of Science</v>
      </c>
    </row>
    <row r="915" spans="1:72" x14ac:dyDescent="0.15">
      <c r="A915" t="s">
        <v>72</v>
      </c>
      <c r="B915" t="s">
        <v>17742</v>
      </c>
      <c r="C915" t="s">
        <v>74</v>
      </c>
      <c r="D915" t="s">
        <v>74</v>
      </c>
      <c r="E915" t="s">
        <v>74</v>
      </c>
      <c r="F915" t="s">
        <v>17743</v>
      </c>
      <c r="G915" t="s">
        <v>74</v>
      </c>
      <c r="H915" t="s">
        <v>74</v>
      </c>
      <c r="I915" t="s">
        <v>17744</v>
      </c>
      <c r="J915" t="s">
        <v>17745</v>
      </c>
      <c r="K915" t="s">
        <v>74</v>
      </c>
      <c r="L915" t="s">
        <v>74</v>
      </c>
      <c r="M915" t="s">
        <v>78</v>
      </c>
      <c r="N915" t="s">
        <v>79</v>
      </c>
      <c r="O915" t="s">
        <v>74</v>
      </c>
      <c r="P915" t="s">
        <v>74</v>
      </c>
      <c r="Q915" t="s">
        <v>74</v>
      </c>
      <c r="R915" t="s">
        <v>74</v>
      </c>
      <c r="S915" t="s">
        <v>74</v>
      </c>
      <c r="T915" t="s">
        <v>17746</v>
      </c>
      <c r="U915" t="s">
        <v>17747</v>
      </c>
      <c r="V915" t="s">
        <v>17748</v>
      </c>
      <c r="W915" t="s">
        <v>17749</v>
      </c>
      <c r="X915" t="s">
        <v>17750</v>
      </c>
      <c r="Y915" t="s">
        <v>17751</v>
      </c>
      <c r="Z915" t="s">
        <v>17752</v>
      </c>
      <c r="AA915" t="s">
        <v>17753</v>
      </c>
      <c r="AB915" t="s">
        <v>17754</v>
      </c>
      <c r="AC915" t="s">
        <v>17755</v>
      </c>
      <c r="AD915" t="s">
        <v>17756</v>
      </c>
      <c r="AE915" t="s">
        <v>17757</v>
      </c>
      <c r="AF915" t="s">
        <v>74</v>
      </c>
      <c r="AG915">
        <v>73</v>
      </c>
      <c r="AH915">
        <v>3</v>
      </c>
      <c r="AI915">
        <v>3</v>
      </c>
      <c r="AJ915">
        <v>1</v>
      </c>
      <c r="AK915">
        <v>11</v>
      </c>
      <c r="AL915" t="s">
        <v>572</v>
      </c>
      <c r="AM915" t="s">
        <v>573</v>
      </c>
      <c r="AN915" t="s">
        <v>574</v>
      </c>
      <c r="AO915" t="s">
        <v>17758</v>
      </c>
      <c r="AP915" t="s">
        <v>17759</v>
      </c>
      <c r="AQ915" t="s">
        <v>74</v>
      </c>
      <c r="AR915" t="s">
        <v>17760</v>
      </c>
      <c r="AS915" t="s">
        <v>17761</v>
      </c>
      <c r="AT915" t="s">
        <v>7760</v>
      </c>
      <c r="AU915">
        <v>2021</v>
      </c>
      <c r="AV915">
        <v>31</v>
      </c>
      <c r="AW915">
        <v>10</v>
      </c>
      <c r="AX915" t="s">
        <v>74</v>
      </c>
      <c r="AY915" t="s">
        <v>74</v>
      </c>
      <c r="AZ915" t="s">
        <v>74</v>
      </c>
      <c r="BA915" t="s">
        <v>74</v>
      </c>
      <c r="BB915">
        <v>2967</v>
      </c>
      <c r="BC915">
        <v>2978</v>
      </c>
      <c r="BD915" t="s">
        <v>74</v>
      </c>
      <c r="BE915" t="s">
        <v>17762</v>
      </c>
      <c r="BF915" t="str">
        <f>HYPERLINK("http://dx.doi.org/10.1002/aqc.3685","http://dx.doi.org/10.1002/aqc.3685")</f>
        <v>http://dx.doi.org/10.1002/aqc.3685</v>
      </c>
      <c r="BG915" t="s">
        <v>74</v>
      </c>
      <c r="BH915" t="s">
        <v>16043</v>
      </c>
      <c r="BI915">
        <v>12</v>
      </c>
      <c r="BJ915" t="s">
        <v>17763</v>
      </c>
      <c r="BK915" t="s">
        <v>101</v>
      </c>
      <c r="BL915" t="s">
        <v>17764</v>
      </c>
      <c r="BM915" t="s">
        <v>17765</v>
      </c>
      <c r="BN915" t="s">
        <v>74</v>
      </c>
      <c r="BO915" t="s">
        <v>74</v>
      </c>
      <c r="BP915" t="s">
        <v>74</v>
      </c>
      <c r="BQ915" t="s">
        <v>74</v>
      </c>
      <c r="BR915" t="s">
        <v>105</v>
      </c>
      <c r="BS915" t="s">
        <v>17766</v>
      </c>
      <c r="BT915" t="str">
        <f>HYPERLINK("https%3A%2F%2Fwww.webofscience.com%2Fwos%2Fwoscc%2Ffull-record%2FWOS:000686324500001","View Full Record in Web of Science")</f>
        <v>View Full Record in Web of Science</v>
      </c>
    </row>
    <row r="916" spans="1:72" x14ac:dyDescent="0.15">
      <c r="A916" t="s">
        <v>72</v>
      </c>
      <c r="B916" t="s">
        <v>17767</v>
      </c>
      <c r="C916" t="s">
        <v>74</v>
      </c>
      <c r="D916" t="s">
        <v>74</v>
      </c>
      <c r="E916" t="s">
        <v>74</v>
      </c>
      <c r="F916" t="s">
        <v>17768</v>
      </c>
      <c r="G916" t="s">
        <v>74</v>
      </c>
      <c r="H916" t="s">
        <v>74</v>
      </c>
      <c r="I916" t="s">
        <v>17769</v>
      </c>
      <c r="J916" t="s">
        <v>17770</v>
      </c>
      <c r="K916" t="s">
        <v>74</v>
      </c>
      <c r="L916" t="s">
        <v>74</v>
      </c>
      <c r="M916" t="s">
        <v>78</v>
      </c>
      <c r="N916" t="s">
        <v>79</v>
      </c>
      <c r="O916" t="s">
        <v>74</v>
      </c>
      <c r="P916" t="s">
        <v>74</v>
      </c>
      <c r="Q916" t="s">
        <v>74</v>
      </c>
      <c r="R916" t="s">
        <v>74</v>
      </c>
      <c r="S916" t="s">
        <v>74</v>
      </c>
      <c r="T916" t="s">
        <v>17771</v>
      </c>
      <c r="U916" t="s">
        <v>17772</v>
      </c>
      <c r="V916" t="s">
        <v>17773</v>
      </c>
      <c r="W916" t="s">
        <v>17774</v>
      </c>
      <c r="X916" t="s">
        <v>16096</v>
      </c>
      <c r="Y916" t="s">
        <v>17775</v>
      </c>
      <c r="Z916" t="s">
        <v>17776</v>
      </c>
      <c r="AA916" t="s">
        <v>17777</v>
      </c>
      <c r="AB916" t="s">
        <v>17778</v>
      </c>
      <c r="AC916" t="s">
        <v>74</v>
      </c>
      <c r="AD916" t="s">
        <v>74</v>
      </c>
      <c r="AE916" t="s">
        <v>74</v>
      </c>
      <c r="AF916" t="s">
        <v>74</v>
      </c>
      <c r="AG916">
        <v>72</v>
      </c>
      <c r="AH916">
        <v>0</v>
      </c>
      <c r="AI916">
        <v>0</v>
      </c>
      <c r="AJ916">
        <v>0</v>
      </c>
      <c r="AK916">
        <v>3</v>
      </c>
      <c r="AL916" t="s">
        <v>198</v>
      </c>
      <c r="AM916" t="s">
        <v>199</v>
      </c>
      <c r="AN916" t="s">
        <v>200</v>
      </c>
      <c r="AO916" t="s">
        <v>17779</v>
      </c>
      <c r="AP916" t="s">
        <v>17780</v>
      </c>
      <c r="AQ916" t="s">
        <v>74</v>
      </c>
      <c r="AR916" t="s">
        <v>17781</v>
      </c>
      <c r="AS916" t="s">
        <v>17782</v>
      </c>
      <c r="AT916" t="s">
        <v>7608</v>
      </c>
      <c r="AU916">
        <v>2021</v>
      </c>
      <c r="AV916">
        <v>41</v>
      </c>
      <c r="AW916">
        <v>3</v>
      </c>
      <c r="AX916" t="s">
        <v>74</v>
      </c>
      <c r="AY916" t="s">
        <v>74</v>
      </c>
      <c r="AZ916" t="s">
        <v>74</v>
      </c>
      <c r="BA916" t="s">
        <v>74</v>
      </c>
      <c r="BB916">
        <v>191</v>
      </c>
      <c r="BC916">
        <v>203</v>
      </c>
      <c r="BD916" t="s">
        <v>74</v>
      </c>
      <c r="BE916" t="s">
        <v>17783</v>
      </c>
      <c r="BF916" t="str">
        <f>HYPERLINK("http://dx.doi.org/10.1080/13235818.2021.1966163","http://dx.doi.org/10.1080/13235818.2021.1966163")</f>
        <v>http://dx.doi.org/10.1080/13235818.2021.1966163</v>
      </c>
      <c r="BG916" t="s">
        <v>74</v>
      </c>
      <c r="BH916" t="s">
        <v>16043</v>
      </c>
      <c r="BI916">
        <v>13</v>
      </c>
      <c r="BJ916" t="s">
        <v>10594</v>
      </c>
      <c r="BK916" t="s">
        <v>101</v>
      </c>
      <c r="BL916" t="s">
        <v>10594</v>
      </c>
      <c r="BM916" t="s">
        <v>17784</v>
      </c>
      <c r="BN916" t="s">
        <v>74</v>
      </c>
      <c r="BO916" t="s">
        <v>74</v>
      </c>
      <c r="BP916" t="s">
        <v>74</v>
      </c>
      <c r="BQ916" t="s">
        <v>74</v>
      </c>
      <c r="BR916" t="s">
        <v>105</v>
      </c>
      <c r="BS916" t="s">
        <v>17785</v>
      </c>
      <c r="BT916" t="str">
        <f>HYPERLINK("https%3A%2F%2Fwww.webofscience.com%2Fwos%2Fwoscc%2Ffull-record%2FWOS:000685788300001","View Full Record in Web of Science")</f>
        <v>View Full Record in Web of Science</v>
      </c>
    </row>
    <row r="917" spans="1:72" x14ac:dyDescent="0.15">
      <c r="A917" t="s">
        <v>72</v>
      </c>
      <c r="B917" t="s">
        <v>17786</v>
      </c>
      <c r="C917" t="s">
        <v>74</v>
      </c>
      <c r="D917" t="s">
        <v>74</v>
      </c>
      <c r="E917" t="s">
        <v>74</v>
      </c>
      <c r="F917" t="s">
        <v>17787</v>
      </c>
      <c r="G917" t="s">
        <v>74</v>
      </c>
      <c r="H917" t="s">
        <v>74</v>
      </c>
      <c r="I917" t="s">
        <v>17788</v>
      </c>
      <c r="J917" t="s">
        <v>17789</v>
      </c>
      <c r="K917" t="s">
        <v>74</v>
      </c>
      <c r="L917" t="s">
        <v>74</v>
      </c>
      <c r="M917" t="s">
        <v>78</v>
      </c>
      <c r="N917" t="s">
        <v>14572</v>
      </c>
      <c r="O917" t="s">
        <v>74</v>
      </c>
      <c r="P917" t="s">
        <v>74</v>
      </c>
      <c r="Q917" t="s">
        <v>74</v>
      </c>
      <c r="R917" t="s">
        <v>74</v>
      </c>
      <c r="S917" t="s">
        <v>74</v>
      </c>
      <c r="T917" t="s">
        <v>74</v>
      </c>
      <c r="U917" t="s">
        <v>74</v>
      </c>
      <c r="V917" t="s">
        <v>74</v>
      </c>
      <c r="W917" t="s">
        <v>74</v>
      </c>
      <c r="X917" t="s">
        <v>74</v>
      </c>
      <c r="Y917" t="s">
        <v>74</v>
      </c>
      <c r="Z917" t="s">
        <v>74</v>
      </c>
      <c r="AA917" t="s">
        <v>74</v>
      </c>
      <c r="AB917" t="s">
        <v>74</v>
      </c>
      <c r="AC917" t="s">
        <v>74</v>
      </c>
      <c r="AD917" t="s">
        <v>74</v>
      </c>
      <c r="AE917" t="s">
        <v>74</v>
      </c>
      <c r="AF917" t="s">
        <v>74</v>
      </c>
      <c r="AG917">
        <v>1</v>
      </c>
      <c r="AH917">
        <v>0</v>
      </c>
      <c r="AI917">
        <v>0</v>
      </c>
      <c r="AJ917">
        <v>0</v>
      </c>
      <c r="AK917">
        <v>0</v>
      </c>
      <c r="AL917" t="s">
        <v>17790</v>
      </c>
      <c r="AM917" t="s">
        <v>170</v>
      </c>
      <c r="AN917" t="s">
        <v>17791</v>
      </c>
      <c r="AO917" t="s">
        <v>17792</v>
      </c>
      <c r="AP917" t="s">
        <v>17793</v>
      </c>
      <c r="AQ917" t="s">
        <v>74</v>
      </c>
      <c r="AR917" t="s">
        <v>17794</v>
      </c>
      <c r="AS917" t="s">
        <v>17795</v>
      </c>
      <c r="AT917" t="s">
        <v>17716</v>
      </c>
      <c r="AU917">
        <v>2021</v>
      </c>
      <c r="AV917">
        <v>68</v>
      </c>
      <c r="AW917">
        <v>13</v>
      </c>
      <c r="AX917" t="s">
        <v>74</v>
      </c>
      <c r="AY917" t="s">
        <v>74</v>
      </c>
      <c r="AZ917" t="s">
        <v>74</v>
      </c>
      <c r="BA917" t="s">
        <v>74</v>
      </c>
      <c r="BB917" t="s">
        <v>74</v>
      </c>
      <c r="BC917" t="s">
        <v>74</v>
      </c>
      <c r="BD917" t="s">
        <v>74</v>
      </c>
      <c r="BE917" t="s">
        <v>74</v>
      </c>
      <c r="BF917" t="s">
        <v>74</v>
      </c>
      <c r="BG917" t="s">
        <v>74</v>
      </c>
      <c r="BH917" t="s">
        <v>74</v>
      </c>
      <c r="BI917">
        <v>3</v>
      </c>
      <c r="BJ917" t="s">
        <v>17796</v>
      </c>
      <c r="BK917" t="s">
        <v>8541</v>
      </c>
      <c r="BL917" t="s">
        <v>17797</v>
      </c>
      <c r="BM917" t="s">
        <v>17798</v>
      </c>
      <c r="BN917" t="s">
        <v>74</v>
      </c>
      <c r="BO917" t="s">
        <v>74</v>
      </c>
      <c r="BP917" t="s">
        <v>74</v>
      </c>
      <c r="BQ917" t="s">
        <v>74</v>
      </c>
      <c r="BR917" t="s">
        <v>105</v>
      </c>
      <c r="BS917" t="s">
        <v>17799</v>
      </c>
      <c r="BT917" t="str">
        <f>HYPERLINK("https%3A%2F%2Fwww.webofscience.com%2Fwos%2Fwoscc%2Ffull-record%2FWOS:001171683100016","View Full Record in Web of Science")</f>
        <v>View Full Record in Web of Science</v>
      </c>
    </row>
    <row r="918" spans="1:72" x14ac:dyDescent="0.15">
      <c r="A918" t="s">
        <v>72</v>
      </c>
      <c r="B918" t="s">
        <v>17800</v>
      </c>
      <c r="C918" t="s">
        <v>74</v>
      </c>
      <c r="D918" t="s">
        <v>74</v>
      </c>
      <c r="E918" t="s">
        <v>74</v>
      </c>
      <c r="F918" t="s">
        <v>17801</v>
      </c>
      <c r="G918" t="s">
        <v>74</v>
      </c>
      <c r="H918" t="s">
        <v>74</v>
      </c>
      <c r="I918" t="s">
        <v>17802</v>
      </c>
      <c r="J918" t="s">
        <v>1701</v>
      </c>
      <c r="K918" t="s">
        <v>74</v>
      </c>
      <c r="L918" t="s">
        <v>74</v>
      </c>
      <c r="M918" t="s">
        <v>78</v>
      </c>
      <c r="N918" t="s">
        <v>79</v>
      </c>
      <c r="O918" t="s">
        <v>74</v>
      </c>
      <c r="P918" t="s">
        <v>74</v>
      </c>
      <c r="Q918" t="s">
        <v>74</v>
      </c>
      <c r="R918" t="s">
        <v>74</v>
      </c>
      <c r="S918" t="s">
        <v>74</v>
      </c>
      <c r="T918" t="s">
        <v>17803</v>
      </c>
      <c r="U918" t="s">
        <v>17804</v>
      </c>
      <c r="V918" t="s">
        <v>17805</v>
      </c>
      <c r="W918" t="s">
        <v>17806</v>
      </c>
      <c r="X918" t="s">
        <v>17807</v>
      </c>
      <c r="Y918" t="s">
        <v>17808</v>
      </c>
      <c r="Z918" t="s">
        <v>17809</v>
      </c>
      <c r="AA918" t="s">
        <v>17810</v>
      </c>
      <c r="AB918" t="s">
        <v>17811</v>
      </c>
      <c r="AC918" t="s">
        <v>17812</v>
      </c>
      <c r="AD918" t="s">
        <v>17813</v>
      </c>
      <c r="AE918" t="s">
        <v>17814</v>
      </c>
      <c r="AF918" t="s">
        <v>74</v>
      </c>
      <c r="AG918">
        <v>87</v>
      </c>
      <c r="AH918">
        <v>1</v>
      </c>
      <c r="AI918">
        <v>1</v>
      </c>
      <c r="AJ918">
        <v>0</v>
      </c>
      <c r="AK918">
        <v>2</v>
      </c>
      <c r="AL918" t="s">
        <v>1714</v>
      </c>
      <c r="AM918" t="s">
        <v>256</v>
      </c>
      <c r="AN918" t="s">
        <v>1715</v>
      </c>
      <c r="AO918" t="s">
        <v>1716</v>
      </c>
      <c r="AP918" t="s">
        <v>1717</v>
      </c>
      <c r="AQ918" t="s">
        <v>74</v>
      </c>
      <c r="AR918" t="s">
        <v>1718</v>
      </c>
      <c r="AS918" t="s">
        <v>1719</v>
      </c>
      <c r="AT918" t="s">
        <v>7760</v>
      </c>
      <c r="AU918">
        <v>2021</v>
      </c>
      <c r="AV918">
        <v>507</v>
      </c>
      <c r="AW918">
        <v>1</v>
      </c>
      <c r="AX918" t="s">
        <v>74</v>
      </c>
      <c r="AY918" t="s">
        <v>74</v>
      </c>
      <c r="AZ918" t="s">
        <v>74</v>
      </c>
      <c r="BA918" t="s">
        <v>74</v>
      </c>
      <c r="BB918">
        <v>651</v>
      </c>
      <c r="BC918">
        <v>662</v>
      </c>
      <c r="BD918" t="s">
        <v>74</v>
      </c>
      <c r="BE918" t="s">
        <v>17815</v>
      </c>
      <c r="BF918" t="str">
        <f>HYPERLINK("http://dx.doi.org/10.1093/mnras/stab2146","http://dx.doi.org/10.1093/mnras/stab2146")</f>
        <v>http://dx.doi.org/10.1093/mnras/stab2146</v>
      </c>
      <c r="BG918" t="s">
        <v>74</v>
      </c>
      <c r="BH918" t="s">
        <v>16043</v>
      </c>
      <c r="BI918">
        <v>12</v>
      </c>
      <c r="BJ918" t="s">
        <v>1721</v>
      </c>
      <c r="BK918" t="s">
        <v>101</v>
      </c>
      <c r="BL918" t="s">
        <v>1721</v>
      </c>
      <c r="BM918" t="s">
        <v>17816</v>
      </c>
      <c r="BN918" t="s">
        <v>74</v>
      </c>
      <c r="BO918" t="s">
        <v>3779</v>
      </c>
      <c r="BP918" t="s">
        <v>74</v>
      </c>
      <c r="BQ918" t="s">
        <v>74</v>
      </c>
      <c r="BR918" t="s">
        <v>105</v>
      </c>
      <c r="BS918" t="s">
        <v>17817</v>
      </c>
      <c r="BT918" t="str">
        <f>HYPERLINK("https%3A%2F%2Fwww.webofscience.com%2Fwos%2Fwoscc%2Ffull-record%2FWOS:000696261000047","View Full Record in Web of Science")</f>
        <v>View Full Record in Web of Science</v>
      </c>
    </row>
    <row r="919" spans="1:72" x14ac:dyDescent="0.15">
      <c r="A919" t="s">
        <v>72</v>
      </c>
      <c r="B919" t="s">
        <v>17818</v>
      </c>
      <c r="C919" t="s">
        <v>74</v>
      </c>
      <c r="D919" t="s">
        <v>74</v>
      </c>
      <c r="E919" t="s">
        <v>74</v>
      </c>
      <c r="F919" t="s">
        <v>17819</v>
      </c>
      <c r="G919" t="s">
        <v>74</v>
      </c>
      <c r="H919" t="s">
        <v>74</v>
      </c>
      <c r="I919" t="s">
        <v>17820</v>
      </c>
      <c r="J919" t="s">
        <v>1212</v>
      </c>
      <c r="K919" t="s">
        <v>74</v>
      </c>
      <c r="L919" t="s">
        <v>74</v>
      </c>
      <c r="M919" t="s">
        <v>78</v>
      </c>
      <c r="N919" t="s">
        <v>79</v>
      </c>
      <c r="O919" t="s">
        <v>74</v>
      </c>
      <c r="P919" t="s">
        <v>74</v>
      </c>
      <c r="Q919" t="s">
        <v>74</v>
      </c>
      <c r="R919" t="s">
        <v>74</v>
      </c>
      <c r="S919" t="s">
        <v>74</v>
      </c>
      <c r="T919" t="s">
        <v>74</v>
      </c>
      <c r="U919" t="s">
        <v>17821</v>
      </c>
      <c r="V919" t="s">
        <v>17822</v>
      </c>
      <c r="W919" t="s">
        <v>17823</v>
      </c>
      <c r="X919" t="s">
        <v>12208</v>
      </c>
      <c r="Y919" t="s">
        <v>17824</v>
      </c>
      <c r="Z919" t="s">
        <v>17825</v>
      </c>
      <c r="AA919" t="s">
        <v>74</v>
      </c>
      <c r="AB919" t="s">
        <v>17826</v>
      </c>
      <c r="AC919" t="s">
        <v>17827</v>
      </c>
      <c r="AD919" t="s">
        <v>17828</v>
      </c>
      <c r="AE919" t="s">
        <v>17829</v>
      </c>
      <c r="AF919" t="s">
        <v>74</v>
      </c>
      <c r="AG919">
        <v>71</v>
      </c>
      <c r="AH919">
        <v>10</v>
      </c>
      <c r="AI919">
        <v>10</v>
      </c>
      <c r="AJ919">
        <v>0</v>
      </c>
      <c r="AK919">
        <v>8</v>
      </c>
      <c r="AL919" t="s">
        <v>492</v>
      </c>
      <c r="AM919" t="s">
        <v>493</v>
      </c>
      <c r="AN919" t="s">
        <v>494</v>
      </c>
      <c r="AO919" t="s">
        <v>1224</v>
      </c>
      <c r="AP919" t="s">
        <v>74</v>
      </c>
      <c r="AQ919" t="s">
        <v>74</v>
      </c>
      <c r="AR919" t="s">
        <v>1225</v>
      </c>
      <c r="AS919" t="s">
        <v>1226</v>
      </c>
      <c r="AT919" t="s">
        <v>17830</v>
      </c>
      <c r="AU919">
        <v>2021</v>
      </c>
      <c r="AV919">
        <v>11</v>
      </c>
      <c r="AW919">
        <v>1</v>
      </c>
      <c r="AX919" t="s">
        <v>74</v>
      </c>
      <c r="AY919" t="s">
        <v>74</v>
      </c>
      <c r="AZ919" t="s">
        <v>74</v>
      </c>
      <c r="BA919" t="s">
        <v>74</v>
      </c>
      <c r="BB919" t="s">
        <v>74</v>
      </c>
      <c r="BC919" t="s">
        <v>74</v>
      </c>
      <c r="BD919">
        <v>16712</v>
      </c>
      <c r="BE919" t="s">
        <v>17831</v>
      </c>
      <c r="BF919" t="str">
        <f>HYPERLINK("http://dx.doi.org/10.1038/s41598-021-96269-9","http://dx.doi.org/10.1038/s41598-021-96269-9")</f>
        <v>http://dx.doi.org/10.1038/s41598-021-96269-9</v>
      </c>
      <c r="BG919" t="s">
        <v>74</v>
      </c>
      <c r="BH919" t="s">
        <v>74</v>
      </c>
      <c r="BI919">
        <v>8</v>
      </c>
      <c r="BJ919" t="s">
        <v>126</v>
      </c>
      <c r="BK919" t="s">
        <v>101</v>
      </c>
      <c r="BL919" t="s">
        <v>127</v>
      </c>
      <c r="BM919" t="s">
        <v>17832</v>
      </c>
      <c r="BN919">
        <v>34408210</v>
      </c>
      <c r="BO919" t="s">
        <v>17833</v>
      </c>
      <c r="BP919" t="s">
        <v>74</v>
      </c>
      <c r="BQ919" t="s">
        <v>74</v>
      </c>
      <c r="BR919" t="s">
        <v>105</v>
      </c>
      <c r="BS919" t="s">
        <v>17834</v>
      </c>
      <c r="BT919" t="str">
        <f>HYPERLINK("https%3A%2F%2Fwww.webofscience.com%2Fwos%2Fwoscc%2Ffull-record%2FWOS:000686708000020","View Full Record in Web of Science")</f>
        <v>View Full Record in Web of Science</v>
      </c>
    </row>
    <row r="920" spans="1:72" x14ac:dyDescent="0.15">
      <c r="A920" t="s">
        <v>72</v>
      </c>
      <c r="B920" t="s">
        <v>17835</v>
      </c>
      <c r="C920" t="s">
        <v>74</v>
      </c>
      <c r="D920" t="s">
        <v>74</v>
      </c>
      <c r="E920" t="s">
        <v>74</v>
      </c>
      <c r="F920" t="s">
        <v>17836</v>
      </c>
      <c r="G920" t="s">
        <v>74</v>
      </c>
      <c r="H920" t="s">
        <v>74</v>
      </c>
      <c r="I920" t="s">
        <v>17837</v>
      </c>
      <c r="J920" t="s">
        <v>2719</v>
      </c>
      <c r="K920" t="s">
        <v>74</v>
      </c>
      <c r="L920" t="s">
        <v>74</v>
      </c>
      <c r="M920" t="s">
        <v>78</v>
      </c>
      <c r="N920" t="s">
        <v>79</v>
      </c>
      <c r="O920" t="s">
        <v>74</v>
      </c>
      <c r="P920" t="s">
        <v>74</v>
      </c>
      <c r="Q920" t="s">
        <v>74</v>
      </c>
      <c r="R920" t="s">
        <v>74</v>
      </c>
      <c r="S920" t="s">
        <v>74</v>
      </c>
      <c r="T920" t="s">
        <v>17838</v>
      </c>
      <c r="U920" t="s">
        <v>17839</v>
      </c>
      <c r="V920" t="s">
        <v>17840</v>
      </c>
      <c r="W920" t="s">
        <v>17841</v>
      </c>
      <c r="X920" t="s">
        <v>17842</v>
      </c>
      <c r="Y920" t="s">
        <v>17843</v>
      </c>
      <c r="Z920" t="s">
        <v>17844</v>
      </c>
      <c r="AA920" t="s">
        <v>17845</v>
      </c>
      <c r="AB920" t="s">
        <v>17846</v>
      </c>
      <c r="AC920" t="s">
        <v>1019</v>
      </c>
      <c r="AD920" t="s">
        <v>1020</v>
      </c>
      <c r="AE920" t="s">
        <v>74</v>
      </c>
      <c r="AF920" t="s">
        <v>74</v>
      </c>
      <c r="AG920">
        <v>94</v>
      </c>
      <c r="AH920">
        <v>9</v>
      </c>
      <c r="AI920">
        <v>9</v>
      </c>
      <c r="AJ920">
        <v>0</v>
      </c>
      <c r="AK920">
        <v>7</v>
      </c>
      <c r="AL920" t="s">
        <v>1714</v>
      </c>
      <c r="AM920" t="s">
        <v>256</v>
      </c>
      <c r="AN920" t="s">
        <v>1715</v>
      </c>
      <c r="AO920" t="s">
        <v>2732</v>
      </c>
      <c r="AP920" t="s">
        <v>2733</v>
      </c>
      <c r="AQ920" t="s">
        <v>74</v>
      </c>
      <c r="AR920" t="s">
        <v>2734</v>
      </c>
      <c r="AS920" t="s">
        <v>2735</v>
      </c>
      <c r="AT920" t="s">
        <v>310</v>
      </c>
      <c r="AU920">
        <v>2021</v>
      </c>
      <c r="AV920">
        <v>78</v>
      </c>
      <c r="AW920">
        <v>8</v>
      </c>
      <c r="AX920" t="s">
        <v>74</v>
      </c>
      <c r="AY920" t="s">
        <v>74</v>
      </c>
      <c r="AZ920" t="s">
        <v>74</v>
      </c>
      <c r="BA920" t="s">
        <v>74</v>
      </c>
      <c r="BB920">
        <v>2745</v>
      </c>
      <c r="BC920">
        <v>2756</v>
      </c>
      <c r="BD920" t="s">
        <v>74</v>
      </c>
      <c r="BE920" t="s">
        <v>17847</v>
      </c>
      <c r="BF920" t="str">
        <f>HYPERLINK("http://dx.doi.org/10.1093/icesjms/fsab150","http://dx.doi.org/10.1093/icesjms/fsab150")</f>
        <v>http://dx.doi.org/10.1093/icesjms/fsab150</v>
      </c>
      <c r="BG920" t="s">
        <v>74</v>
      </c>
      <c r="BH920" t="s">
        <v>16043</v>
      </c>
      <c r="BI920">
        <v>12</v>
      </c>
      <c r="BJ920" t="s">
        <v>2737</v>
      </c>
      <c r="BK920" t="s">
        <v>101</v>
      </c>
      <c r="BL920" t="s">
        <v>2737</v>
      </c>
      <c r="BM920" t="s">
        <v>17848</v>
      </c>
      <c r="BN920" t="s">
        <v>74</v>
      </c>
      <c r="BO920" t="s">
        <v>858</v>
      </c>
      <c r="BP920" t="s">
        <v>74</v>
      </c>
      <c r="BQ920" t="s">
        <v>74</v>
      </c>
      <c r="BR920" t="s">
        <v>105</v>
      </c>
      <c r="BS920" t="s">
        <v>17849</v>
      </c>
      <c r="BT920" t="str">
        <f>HYPERLINK("https%3A%2F%2Fwww.webofscience.com%2Fwos%2Fwoscc%2Ffull-record%2FWOS:000715387200008","View Full Record in Web of Science")</f>
        <v>View Full Record in Web of Science</v>
      </c>
    </row>
    <row r="921" spans="1:72" x14ac:dyDescent="0.15">
      <c r="A921" t="s">
        <v>72</v>
      </c>
      <c r="B921" t="s">
        <v>17850</v>
      </c>
      <c r="C921" t="s">
        <v>74</v>
      </c>
      <c r="D921" t="s">
        <v>74</v>
      </c>
      <c r="E921" t="s">
        <v>74</v>
      </c>
      <c r="F921" t="s">
        <v>17851</v>
      </c>
      <c r="G921" t="s">
        <v>74</v>
      </c>
      <c r="H921" t="s">
        <v>74</v>
      </c>
      <c r="I921" t="s">
        <v>17852</v>
      </c>
      <c r="J921" t="s">
        <v>11346</v>
      </c>
      <c r="K921" t="s">
        <v>74</v>
      </c>
      <c r="L921" t="s">
        <v>74</v>
      </c>
      <c r="M921" t="s">
        <v>78</v>
      </c>
      <c r="N921" t="s">
        <v>373</v>
      </c>
      <c r="O921" t="s">
        <v>74</v>
      </c>
      <c r="P921" t="s">
        <v>74</v>
      </c>
      <c r="Q921" t="s">
        <v>74</v>
      </c>
      <c r="R921" t="s">
        <v>74</v>
      </c>
      <c r="S921" t="s">
        <v>74</v>
      </c>
      <c r="T921" t="s">
        <v>74</v>
      </c>
      <c r="U921" t="s">
        <v>17853</v>
      </c>
      <c r="V921" t="s">
        <v>17854</v>
      </c>
      <c r="W921" t="s">
        <v>17855</v>
      </c>
      <c r="X921" t="s">
        <v>17856</v>
      </c>
      <c r="Y921" t="s">
        <v>17857</v>
      </c>
      <c r="Z921" t="s">
        <v>17858</v>
      </c>
      <c r="AA921" t="s">
        <v>17859</v>
      </c>
      <c r="AB921" t="s">
        <v>17860</v>
      </c>
      <c r="AC921" t="s">
        <v>17861</v>
      </c>
      <c r="AD921" t="s">
        <v>17862</v>
      </c>
      <c r="AE921" t="s">
        <v>17863</v>
      </c>
      <c r="AF921" t="s">
        <v>74</v>
      </c>
      <c r="AG921">
        <v>61</v>
      </c>
      <c r="AH921">
        <v>14</v>
      </c>
      <c r="AI921">
        <v>14</v>
      </c>
      <c r="AJ921">
        <v>1</v>
      </c>
      <c r="AK921">
        <v>13</v>
      </c>
      <c r="AL921" t="s">
        <v>255</v>
      </c>
      <c r="AM921" t="s">
        <v>256</v>
      </c>
      <c r="AN921" t="s">
        <v>257</v>
      </c>
      <c r="AO921" t="s">
        <v>11356</v>
      </c>
      <c r="AP921" t="s">
        <v>11357</v>
      </c>
      <c r="AQ921" t="s">
        <v>74</v>
      </c>
      <c r="AR921" t="s">
        <v>11358</v>
      </c>
      <c r="AS921" t="s">
        <v>11359</v>
      </c>
      <c r="AT921" t="s">
        <v>14463</v>
      </c>
      <c r="AU921">
        <v>2021</v>
      </c>
      <c r="AV921">
        <v>197</v>
      </c>
      <c r="AW921" t="s">
        <v>74</v>
      </c>
      <c r="AX921" t="s">
        <v>74</v>
      </c>
      <c r="AY921" t="s">
        <v>74</v>
      </c>
      <c r="AZ921" t="s">
        <v>74</v>
      </c>
      <c r="BA921" t="s">
        <v>74</v>
      </c>
      <c r="BB921" t="s">
        <v>74</v>
      </c>
      <c r="BC921" t="s">
        <v>74</v>
      </c>
      <c r="BD921">
        <v>102639</v>
      </c>
      <c r="BE921" t="s">
        <v>17864</v>
      </c>
      <c r="BF921" t="str">
        <f>HYPERLINK("http://dx.doi.org/10.1016/j.pocean.2021.102639","http://dx.doi.org/10.1016/j.pocean.2021.102639")</f>
        <v>http://dx.doi.org/10.1016/j.pocean.2021.102639</v>
      </c>
      <c r="BG921" t="s">
        <v>74</v>
      </c>
      <c r="BH921" t="s">
        <v>16043</v>
      </c>
      <c r="BI921">
        <v>10</v>
      </c>
      <c r="BJ921" t="s">
        <v>264</v>
      </c>
      <c r="BK921" t="s">
        <v>101</v>
      </c>
      <c r="BL921" t="s">
        <v>264</v>
      </c>
      <c r="BM921" t="s">
        <v>17865</v>
      </c>
      <c r="BN921" t="s">
        <v>74</v>
      </c>
      <c r="BO921" t="s">
        <v>74</v>
      </c>
      <c r="BP921" t="s">
        <v>74</v>
      </c>
      <c r="BQ921" t="s">
        <v>74</v>
      </c>
      <c r="BR921" t="s">
        <v>105</v>
      </c>
      <c r="BS921" t="s">
        <v>17866</v>
      </c>
      <c r="BT921" t="str">
        <f>HYPERLINK("https%3A%2F%2Fwww.webofscience.com%2Fwos%2Fwoscc%2Ffull-record%2FWOS:000709157800002","View Full Record in Web of Science")</f>
        <v>View Full Record in Web of Science</v>
      </c>
    </row>
    <row r="922" spans="1:72" x14ac:dyDescent="0.15">
      <c r="A922" t="s">
        <v>72</v>
      </c>
      <c r="B922" t="s">
        <v>17867</v>
      </c>
      <c r="C922" t="s">
        <v>74</v>
      </c>
      <c r="D922" t="s">
        <v>74</v>
      </c>
      <c r="E922" t="s">
        <v>74</v>
      </c>
      <c r="F922" t="s">
        <v>17868</v>
      </c>
      <c r="G922" t="s">
        <v>74</v>
      </c>
      <c r="H922" t="s">
        <v>74</v>
      </c>
      <c r="I922" t="s">
        <v>17869</v>
      </c>
      <c r="J922" t="s">
        <v>5885</v>
      </c>
      <c r="K922" t="s">
        <v>74</v>
      </c>
      <c r="L922" t="s">
        <v>74</v>
      </c>
      <c r="M922" t="s">
        <v>78</v>
      </c>
      <c r="N922" t="s">
        <v>79</v>
      </c>
      <c r="O922" t="s">
        <v>74</v>
      </c>
      <c r="P922" t="s">
        <v>74</v>
      </c>
      <c r="Q922" t="s">
        <v>74</v>
      </c>
      <c r="R922" t="s">
        <v>74</v>
      </c>
      <c r="S922" t="s">
        <v>74</v>
      </c>
      <c r="T922" t="s">
        <v>17870</v>
      </c>
      <c r="U922" t="s">
        <v>17871</v>
      </c>
      <c r="V922" t="s">
        <v>17872</v>
      </c>
      <c r="W922" t="s">
        <v>17873</v>
      </c>
      <c r="X922" t="s">
        <v>17874</v>
      </c>
      <c r="Y922" t="s">
        <v>17875</v>
      </c>
      <c r="Z922" t="s">
        <v>17876</v>
      </c>
      <c r="AA922" t="s">
        <v>74</v>
      </c>
      <c r="AB922" t="s">
        <v>17877</v>
      </c>
      <c r="AC922" t="s">
        <v>17878</v>
      </c>
      <c r="AD922" t="s">
        <v>17879</v>
      </c>
      <c r="AE922" t="s">
        <v>17880</v>
      </c>
      <c r="AF922" t="s">
        <v>74</v>
      </c>
      <c r="AG922">
        <v>94</v>
      </c>
      <c r="AH922">
        <v>4</v>
      </c>
      <c r="AI922">
        <v>4</v>
      </c>
      <c r="AJ922">
        <v>3</v>
      </c>
      <c r="AK922">
        <v>27</v>
      </c>
      <c r="AL922" t="s">
        <v>1326</v>
      </c>
      <c r="AM922" t="s">
        <v>256</v>
      </c>
      <c r="AN922" t="s">
        <v>1327</v>
      </c>
      <c r="AO922" t="s">
        <v>5896</v>
      </c>
      <c r="AP922" t="s">
        <v>5897</v>
      </c>
      <c r="AQ922" t="s">
        <v>74</v>
      </c>
      <c r="AR922" t="s">
        <v>5898</v>
      </c>
      <c r="AS922" t="s">
        <v>5899</v>
      </c>
      <c r="AT922" t="s">
        <v>204</v>
      </c>
      <c r="AU922">
        <v>2021</v>
      </c>
      <c r="AV922">
        <v>290</v>
      </c>
      <c r="AW922" t="s">
        <v>74</v>
      </c>
      <c r="AX922" t="s">
        <v>74</v>
      </c>
      <c r="AY922" t="s">
        <v>74</v>
      </c>
      <c r="AZ922" t="s">
        <v>74</v>
      </c>
      <c r="BA922" t="s">
        <v>74</v>
      </c>
      <c r="BB922" t="s">
        <v>74</v>
      </c>
      <c r="BC922" t="s">
        <v>74</v>
      </c>
      <c r="BD922">
        <v>117977</v>
      </c>
      <c r="BE922" t="s">
        <v>17881</v>
      </c>
      <c r="BF922" t="str">
        <f>HYPERLINK("http://dx.doi.org/10.1016/j.envpol.2021.117977","http://dx.doi.org/10.1016/j.envpol.2021.117977")</f>
        <v>http://dx.doi.org/10.1016/j.envpol.2021.117977</v>
      </c>
      <c r="BG922" t="s">
        <v>74</v>
      </c>
      <c r="BH922" t="s">
        <v>16043</v>
      </c>
      <c r="BI922">
        <v>11</v>
      </c>
      <c r="BJ922" t="s">
        <v>856</v>
      </c>
      <c r="BK922" t="s">
        <v>101</v>
      </c>
      <c r="BL922" t="s">
        <v>630</v>
      </c>
      <c r="BM922" t="s">
        <v>17882</v>
      </c>
      <c r="BN922">
        <v>34416497</v>
      </c>
      <c r="BO922" t="s">
        <v>74</v>
      </c>
      <c r="BP922" t="s">
        <v>74</v>
      </c>
      <c r="BQ922" t="s">
        <v>74</v>
      </c>
      <c r="BR922" t="s">
        <v>105</v>
      </c>
      <c r="BS922" t="s">
        <v>17883</v>
      </c>
      <c r="BT922" t="str">
        <f>HYPERLINK("https%3A%2F%2Fwww.webofscience.com%2Fwos%2Fwoscc%2Ffull-record%2FWOS:000696799200008","View Full Record in Web of Science")</f>
        <v>View Full Record in Web of Science</v>
      </c>
    </row>
    <row r="923" spans="1:72" x14ac:dyDescent="0.15">
      <c r="A923" t="s">
        <v>72</v>
      </c>
      <c r="B923" t="s">
        <v>17884</v>
      </c>
      <c r="C923" t="s">
        <v>74</v>
      </c>
      <c r="D923" t="s">
        <v>74</v>
      </c>
      <c r="E923" t="s">
        <v>74</v>
      </c>
      <c r="F923" t="s">
        <v>17885</v>
      </c>
      <c r="G923" t="s">
        <v>74</v>
      </c>
      <c r="H923" t="s">
        <v>74</v>
      </c>
      <c r="I923" t="s">
        <v>17886</v>
      </c>
      <c r="J923" t="s">
        <v>8306</v>
      </c>
      <c r="K923" t="s">
        <v>74</v>
      </c>
      <c r="L923" t="s">
        <v>74</v>
      </c>
      <c r="M923" t="s">
        <v>78</v>
      </c>
      <c r="N923" t="s">
        <v>79</v>
      </c>
      <c r="O923" t="s">
        <v>74</v>
      </c>
      <c r="P923" t="s">
        <v>74</v>
      </c>
      <c r="Q923" t="s">
        <v>74</v>
      </c>
      <c r="R923" t="s">
        <v>74</v>
      </c>
      <c r="S923" t="s">
        <v>74</v>
      </c>
      <c r="T923" t="s">
        <v>17887</v>
      </c>
      <c r="U923" t="s">
        <v>17888</v>
      </c>
      <c r="V923" t="s">
        <v>17889</v>
      </c>
      <c r="W923" t="s">
        <v>17890</v>
      </c>
      <c r="X923" t="s">
        <v>17891</v>
      </c>
      <c r="Y923" t="s">
        <v>17892</v>
      </c>
      <c r="Z923" t="s">
        <v>17893</v>
      </c>
      <c r="AA923" t="s">
        <v>17894</v>
      </c>
      <c r="AB923" t="s">
        <v>74</v>
      </c>
      <c r="AC923" t="s">
        <v>17895</v>
      </c>
      <c r="AD923" t="s">
        <v>9941</v>
      </c>
      <c r="AE923" t="s">
        <v>17896</v>
      </c>
      <c r="AF923" t="s">
        <v>74</v>
      </c>
      <c r="AG923">
        <v>24</v>
      </c>
      <c r="AH923">
        <v>5</v>
      </c>
      <c r="AI923">
        <v>8</v>
      </c>
      <c r="AJ923">
        <v>1</v>
      </c>
      <c r="AK923">
        <v>13</v>
      </c>
      <c r="AL923" t="s">
        <v>198</v>
      </c>
      <c r="AM923" t="s">
        <v>199</v>
      </c>
      <c r="AN923" t="s">
        <v>200</v>
      </c>
      <c r="AO923" t="s">
        <v>8318</v>
      </c>
      <c r="AP923" t="s">
        <v>8319</v>
      </c>
      <c r="AQ923" t="s">
        <v>74</v>
      </c>
      <c r="AR923" t="s">
        <v>8306</v>
      </c>
      <c r="AS923" t="s">
        <v>8320</v>
      </c>
      <c r="AT923" t="s">
        <v>6525</v>
      </c>
      <c r="AU923">
        <v>2022</v>
      </c>
      <c r="AV923">
        <v>6</v>
      </c>
      <c r="AW923">
        <v>2</v>
      </c>
      <c r="AX923" t="s">
        <v>74</v>
      </c>
      <c r="AY923" t="s">
        <v>74</v>
      </c>
      <c r="AZ923" t="s">
        <v>526</v>
      </c>
      <c r="BA923" t="s">
        <v>74</v>
      </c>
      <c r="BB923">
        <v>164</v>
      </c>
      <c r="BC923">
        <v>178</v>
      </c>
      <c r="BD923" t="s">
        <v>74</v>
      </c>
      <c r="BE923" t="s">
        <v>17897</v>
      </c>
      <c r="BF923" t="str">
        <f>HYPERLINK("http://dx.doi.org/10.1080/20964471.2020.1865623","http://dx.doi.org/10.1080/20964471.2020.1865623")</f>
        <v>http://dx.doi.org/10.1080/20964471.2020.1865623</v>
      </c>
      <c r="BG923" t="s">
        <v>74</v>
      </c>
      <c r="BH923" t="s">
        <v>16043</v>
      </c>
      <c r="BI923">
        <v>15</v>
      </c>
      <c r="BJ923" t="s">
        <v>8323</v>
      </c>
      <c r="BK923" t="s">
        <v>1629</v>
      </c>
      <c r="BL923" t="s">
        <v>8324</v>
      </c>
      <c r="BM923" t="s">
        <v>17898</v>
      </c>
      <c r="BN923" t="s">
        <v>74</v>
      </c>
      <c r="BO923" t="s">
        <v>210</v>
      </c>
      <c r="BP923" t="s">
        <v>74</v>
      </c>
      <c r="BQ923" t="s">
        <v>74</v>
      </c>
      <c r="BR923" t="s">
        <v>105</v>
      </c>
      <c r="BS923" t="s">
        <v>17899</v>
      </c>
      <c r="BT923" t="str">
        <f>HYPERLINK("https%3A%2F%2Fwww.webofscience.com%2Fwos%2Fwoscc%2Ffull-record%2FWOS:000692728300001","View Full Record in Web of Science")</f>
        <v>View Full Record in Web of Science</v>
      </c>
    </row>
    <row r="924" spans="1:72" x14ac:dyDescent="0.15">
      <c r="A924" t="s">
        <v>72</v>
      </c>
      <c r="B924" t="s">
        <v>17900</v>
      </c>
      <c r="C924" t="s">
        <v>74</v>
      </c>
      <c r="D924" t="s">
        <v>74</v>
      </c>
      <c r="E924" t="s">
        <v>74</v>
      </c>
      <c r="F924" t="s">
        <v>17901</v>
      </c>
      <c r="G924" t="s">
        <v>74</v>
      </c>
      <c r="H924" t="s">
        <v>74</v>
      </c>
      <c r="I924" t="s">
        <v>17902</v>
      </c>
      <c r="J924" t="s">
        <v>1338</v>
      </c>
      <c r="K924" t="s">
        <v>74</v>
      </c>
      <c r="L924" t="s">
        <v>74</v>
      </c>
      <c r="M924" t="s">
        <v>78</v>
      </c>
      <c r="N924" t="s">
        <v>79</v>
      </c>
      <c r="O924" t="s">
        <v>74</v>
      </c>
      <c r="P924" t="s">
        <v>74</v>
      </c>
      <c r="Q924" t="s">
        <v>74</v>
      </c>
      <c r="R924" t="s">
        <v>74</v>
      </c>
      <c r="S924" t="s">
        <v>74</v>
      </c>
      <c r="T924" t="s">
        <v>74</v>
      </c>
      <c r="U924" t="s">
        <v>17903</v>
      </c>
      <c r="V924" t="s">
        <v>17904</v>
      </c>
      <c r="W924" t="s">
        <v>17905</v>
      </c>
      <c r="X924" t="s">
        <v>17906</v>
      </c>
      <c r="Y924" t="s">
        <v>17907</v>
      </c>
      <c r="Z924" t="s">
        <v>17908</v>
      </c>
      <c r="AA924" t="s">
        <v>17909</v>
      </c>
      <c r="AB924" t="s">
        <v>17910</v>
      </c>
      <c r="AC924" t="s">
        <v>17911</v>
      </c>
      <c r="AD924" t="s">
        <v>17912</v>
      </c>
      <c r="AE924" t="s">
        <v>17913</v>
      </c>
      <c r="AF924" t="s">
        <v>74</v>
      </c>
      <c r="AG924">
        <v>61</v>
      </c>
      <c r="AH924">
        <v>6</v>
      </c>
      <c r="AI924">
        <v>6</v>
      </c>
      <c r="AJ924">
        <v>1</v>
      </c>
      <c r="AK924">
        <v>4</v>
      </c>
      <c r="AL924" t="s">
        <v>1347</v>
      </c>
      <c r="AM924" t="s">
        <v>333</v>
      </c>
      <c r="AN924" t="s">
        <v>1348</v>
      </c>
      <c r="AO924" t="s">
        <v>74</v>
      </c>
      <c r="AP924" t="s">
        <v>1349</v>
      </c>
      <c r="AQ924" t="s">
        <v>74</v>
      </c>
      <c r="AR924" t="s">
        <v>1350</v>
      </c>
      <c r="AS924" t="s">
        <v>1351</v>
      </c>
      <c r="AT924" t="s">
        <v>17830</v>
      </c>
      <c r="AU924">
        <v>2021</v>
      </c>
      <c r="AV924">
        <v>2</v>
      </c>
      <c r="AW924">
        <v>1</v>
      </c>
      <c r="AX924" t="s">
        <v>74</v>
      </c>
      <c r="AY924" t="s">
        <v>74</v>
      </c>
      <c r="AZ924" t="s">
        <v>74</v>
      </c>
      <c r="BA924" t="s">
        <v>74</v>
      </c>
      <c r="BB924" t="s">
        <v>74</v>
      </c>
      <c r="BC924" t="s">
        <v>74</v>
      </c>
      <c r="BD924">
        <v>166</v>
      </c>
      <c r="BE924" t="s">
        <v>17914</v>
      </c>
      <c r="BF924" t="str">
        <f>HYPERLINK("http://dx.doi.org/10.1038/s43247-021-00239-y","http://dx.doi.org/10.1038/s43247-021-00239-y")</f>
        <v>http://dx.doi.org/10.1038/s43247-021-00239-y</v>
      </c>
      <c r="BG924" t="s">
        <v>74</v>
      </c>
      <c r="BH924" t="s">
        <v>74</v>
      </c>
      <c r="BI924">
        <v>9</v>
      </c>
      <c r="BJ924" t="s">
        <v>1353</v>
      </c>
      <c r="BK924" t="s">
        <v>101</v>
      </c>
      <c r="BL924" t="s">
        <v>1354</v>
      </c>
      <c r="BM924" t="s">
        <v>17915</v>
      </c>
      <c r="BN924" t="s">
        <v>74</v>
      </c>
      <c r="BO924" t="s">
        <v>394</v>
      </c>
      <c r="BP924" t="s">
        <v>74</v>
      </c>
      <c r="BQ924" t="s">
        <v>74</v>
      </c>
      <c r="BR924" t="s">
        <v>105</v>
      </c>
      <c r="BS924" t="s">
        <v>17916</v>
      </c>
      <c r="BT924" t="str">
        <f>HYPERLINK("https%3A%2F%2Fwww.webofscience.com%2Fwos%2Fwoscc%2Ffull-record%2FWOS:000687689700001","View Full Record in Web of Science")</f>
        <v>View Full Record in Web of Science</v>
      </c>
    </row>
    <row r="925" spans="1:72" x14ac:dyDescent="0.15">
      <c r="A925" t="s">
        <v>72</v>
      </c>
      <c r="B925" t="s">
        <v>17917</v>
      </c>
      <c r="C925" t="s">
        <v>74</v>
      </c>
      <c r="D925" t="s">
        <v>74</v>
      </c>
      <c r="E925" t="s">
        <v>74</v>
      </c>
      <c r="F925" t="s">
        <v>17918</v>
      </c>
      <c r="G925" t="s">
        <v>74</v>
      </c>
      <c r="H925" t="s">
        <v>74</v>
      </c>
      <c r="I925" t="s">
        <v>17919</v>
      </c>
      <c r="J925" t="s">
        <v>1058</v>
      </c>
      <c r="K925" t="s">
        <v>74</v>
      </c>
      <c r="L925" t="s">
        <v>74</v>
      </c>
      <c r="M925" t="s">
        <v>78</v>
      </c>
      <c r="N925" t="s">
        <v>79</v>
      </c>
      <c r="O925" t="s">
        <v>74</v>
      </c>
      <c r="P925" t="s">
        <v>74</v>
      </c>
      <c r="Q925" t="s">
        <v>74</v>
      </c>
      <c r="R925" t="s">
        <v>74</v>
      </c>
      <c r="S925" t="s">
        <v>74</v>
      </c>
      <c r="T925" t="s">
        <v>74</v>
      </c>
      <c r="U925" t="s">
        <v>17920</v>
      </c>
      <c r="V925" t="s">
        <v>17921</v>
      </c>
      <c r="W925" t="s">
        <v>17922</v>
      </c>
      <c r="X925" t="s">
        <v>17923</v>
      </c>
      <c r="Y925" t="s">
        <v>17924</v>
      </c>
      <c r="Z925" t="s">
        <v>17925</v>
      </c>
      <c r="AA925" t="s">
        <v>17926</v>
      </c>
      <c r="AB925" t="s">
        <v>17927</v>
      </c>
      <c r="AC925" t="s">
        <v>17928</v>
      </c>
      <c r="AD925" t="s">
        <v>17566</v>
      </c>
      <c r="AE925" t="s">
        <v>17929</v>
      </c>
      <c r="AF925" t="s">
        <v>74</v>
      </c>
      <c r="AG925">
        <v>72</v>
      </c>
      <c r="AH925">
        <v>17</v>
      </c>
      <c r="AI925">
        <v>18</v>
      </c>
      <c r="AJ925">
        <v>2</v>
      </c>
      <c r="AK925">
        <v>6</v>
      </c>
      <c r="AL925" t="s">
        <v>227</v>
      </c>
      <c r="AM925" t="s">
        <v>228</v>
      </c>
      <c r="AN925" t="s">
        <v>229</v>
      </c>
      <c r="AO925" t="s">
        <v>1065</v>
      </c>
      <c r="AP925" t="s">
        <v>1066</v>
      </c>
      <c r="AQ925" t="s">
        <v>74</v>
      </c>
      <c r="AR925" t="s">
        <v>1058</v>
      </c>
      <c r="AS925" t="s">
        <v>1067</v>
      </c>
      <c r="AT925" t="s">
        <v>17830</v>
      </c>
      <c r="AU925">
        <v>2021</v>
      </c>
      <c r="AV925">
        <v>15</v>
      </c>
      <c r="AW925">
        <v>8</v>
      </c>
      <c r="AX925" t="s">
        <v>74</v>
      </c>
      <c r="AY925" t="s">
        <v>74</v>
      </c>
      <c r="AZ925" t="s">
        <v>74</v>
      </c>
      <c r="BA925" t="s">
        <v>74</v>
      </c>
      <c r="BB925">
        <v>3839</v>
      </c>
      <c r="BC925">
        <v>3860</v>
      </c>
      <c r="BD925" t="s">
        <v>74</v>
      </c>
      <c r="BE925" t="s">
        <v>17930</v>
      </c>
      <c r="BF925" t="str">
        <f>HYPERLINK("http://dx.doi.org/10.5194/tc-15-3839-2021","http://dx.doi.org/10.5194/tc-15-3839-2021")</f>
        <v>http://dx.doi.org/10.5194/tc-15-3839-2021</v>
      </c>
      <c r="BG925" t="s">
        <v>74</v>
      </c>
      <c r="BH925" t="s">
        <v>74</v>
      </c>
      <c r="BI925">
        <v>22</v>
      </c>
      <c r="BJ925" t="s">
        <v>340</v>
      </c>
      <c r="BK925" t="s">
        <v>101</v>
      </c>
      <c r="BL925" t="s">
        <v>341</v>
      </c>
      <c r="BM925" t="s">
        <v>17931</v>
      </c>
      <c r="BN925" t="s">
        <v>74</v>
      </c>
      <c r="BO925" t="s">
        <v>17932</v>
      </c>
      <c r="BP925" t="s">
        <v>74</v>
      </c>
      <c r="BQ925" t="s">
        <v>74</v>
      </c>
      <c r="BR925" t="s">
        <v>105</v>
      </c>
      <c r="BS925" t="s">
        <v>17933</v>
      </c>
      <c r="BT925" t="str">
        <f>HYPERLINK("https%3A%2F%2Fwww.webofscience.com%2Fwos%2Fwoscc%2Ffull-record%2FWOS:000687382200002","View Full Record in Web of Science")</f>
        <v>View Full Record in Web of Science</v>
      </c>
    </row>
    <row r="926" spans="1:72" x14ac:dyDescent="0.15">
      <c r="A926" t="s">
        <v>72</v>
      </c>
      <c r="B926" t="s">
        <v>17934</v>
      </c>
      <c r="C926" t="s">
        <v>74</v>
      </c>
      <c r="D926" t="s">
        <v>74</v>
      </c>
      <c r="E926" t="s">
        <v>74</v>
      </c>
      <c r="F926" t="s">
        <v>17935</v>
      </c>
      <c r="G926" t="s">
        <v>74</v>
      </c>
      <c r="H926" t="s">
        <v>74</v>
      </c>
      <c r="I926" t="s">
        <v>17936</v>
      </c>
      <c r="J926" t="s">
        <v>1338</v>
      </c>
      <c r="K926" t="s">
        <v>74</v>
      </c>
      <c r="L926" t="s">
        <v>74</v>
      </c>
      <c r="M926" t="s">
        <v>78</v>
      </c>
      <c r="N926" t="s">
        <v>79</v>
      </c>
      <c r="O926" t="s">
        <v>74</v>
      </c>
      <c r="P926" t="s">
        <v>74</v>
      </c>
      <c r="Q926" t="s">
        <v>74</v>
      </c>
      <c r="R926" t="s">
        <v>74</v>
      </c>
      <c r="S926" t="s">
        <v>74</v>
      </c>
      <c r="T926" t="s">
        <v>74</v>
      </c>
      <c r="U926" t="s">
        <v>17937</v>
      </c>
      <c r="V926" t="s">
        <v>17938</v>
      </c>
      <c r="W926" t="s">
        <v>17939</v>
      </c>
      <c r="X926" t="s">
        <v>17940</v>
      </c>
      <c r="Y926" t="s">
        <v>17941</v>
      </c>
      <c r="Z926" t="s">
        <v>17942</v>
      </c>
      <c r="AA926" t="s">
        <v>74</v>
      </c>
      <c r="AB926" t="s">
        <v>17943</v>
      </c>
      <c r="AC926" t="s">
        <v>17944</v>
      </c>
      <c r="AD926" t="s">
        <v>17945</v>
      </c>
      <c r="AE926" t="s">
        <v>17946</v>
      </c>
      <c r="AF926" t="s">
        <v>74</v>
      </c>
      <c r="AG926">
        <v>54</v>
      </c>
      <c r="AH926">
        <v>11</v>
      </c>
      <c r="AI926">
        <v>14</v>
      </c>
      <c r="AJ926">
        <v>0</v>
      </c>
      <c r="AK926">
        <v>11</v>
      </c>
      <c r="AL926" t="s">
        <v>1347</v>
      </c>
      <c r="AM926" t="s">
        <v>333</v>
      </c>
      <c r="AN926" t="s">
        <v>1348</v>
      </c>
      <c r="AO926" t="s">
        <v>74</v>
      </c>
      <c r="AP926" t="s">
        <v>1349</v>
      </c>
      <c r="AQ926" t="s">
        <v>74</v>
      </c>
      <c r="AR926" t="s">
        <v>1350</v>
      </c>
      <c r="AS926" t="s">
        <v>1351</v>
      </c>
      <c r="AT926" t="s">
        <v>17830</v>
      </c>
      <c r="AU926">
        <v>2021</v>
      </c>
      <c r="AV926">
        <v>2</v>
      </c>
      <c r="AW926">
        <v>1</v>
      </c>
      <c r="AX926" t="s">
        <v>74</v>
      </c>
      <c r="AY926" t="s">
        <v>74</v>
      </c>
      <c r="AZ926" t="s">
        <v>74</v>
      </c>
      <c r="BA926" t="s">
        <v>74</v>
      </c>
      <c r="BB926" t="s">
        <v>74</v>
      </c>
      <c r="BC926" t="s">
        <v>74</v>
      </c>
      <c r="BD926">
        <v>162</v>
      </c>
      <c r="BE926" t="s">
        <v>17947</v>
      </c>
      <c r="BF926" t="str">
        <f>HYPERLINK("http://dx.doi.org/10.1038/s43247-021-00242-3","http://dx.doi.org/10.1038/s43247-021-00242-3")</f>
        <v>http://dx.doi.org/10.1038/s43247-021-00242-3</v>
      </c>
      <c r="BG926" t="s">
        <v>74</v>
      </c>
      <c r="BH926" t="s">
        <v>74</v>
      </c>
      <c r="BI926">
        <v>6</v>
      </c>
      <c r="BJ926" t="s">
        <v>1353</v>
      </c>
      <c r="BK926" t="s">
        <v>101</v>
      </c>
      <c r="BL926" t="s">
        <v>1354</v>
      </c>
      <c r="BM926" t="s">
        <v>17948</v>
      </c>
      <c r="BN926" t="s">
        <v>74</v>
      </c>
      <c r="BO926" t="s">
        <v>17949</v>
      </c>
      <c r="BP926" t="s">
        <v>74</v>
      </c>
      <c r="BQ926" t="s">
        <v>74</v>
      </c>
      <c r="BR926" t="s">
        <v>105</v>
      </c>
      <c r="BS926" t="s">
        <v>17950</v>
      </c>
      <c r="BT926" t="str">
        <f>HYPERLINK("https%3A%2F%2Fwww.webofscience.com%2Fwos%2Fwoscc%2Ffull-record%2FWOS:000687521200001","View Full Record in Web of Science")</f>
        <v>View Full Record in Web of Science</v>
      </c>
    </row>
    <row r="927" spans="1:72" x14ac:dyDescent="0.15">
      <c r="A927" t="s">
        <v>72</v>
      </c>
      <c r="B927" t="s">
        <v>17951</v>
      </c>
      <c r="C927" t="s">
        <v>74</v>
      </c>
      <c r="D927" t="s">
        <v>74</v>
      </c>
      <c r="E927" t="s">
        <v>74</v>
      </c>
      <c r="F927" t="s">
        <v>17952</v>
      </c>
      <c r="G927" t="s">
        <v>74</v>
      </c>
      <c r="H927" t="s">
        <v>74</v>
      </c>
      <c r="I927" t="s">
        <v>17953</v>
      </c>
      <c r="J927" t="s">
        <v>9191</v>
      </c>
      <c r="K927" t="s">
        <v>74</v>
      </c>
      <c r="L927" t="s">
        <v>74</v>
      </c>
      <c r="M927" t="s">
        <v>78</v>
      </c>
      <c r="N927" t="s">
        <v>79</v>
      </c>
      <c r="O927" t="s">
        <v>74</v>
      </c>
      <c r="P927" t="s">
        <v>74</v>
      </c>
      <c r="Q927" t="s">
        <v>74</v>
      </c>
      <c r="R927" t="s">
        <v>74</v>
      </c>
      <c r="S927" t="s">
        <v>74</v>
      </c>
      <c r="T927" t="s">
        <v>17954</v>
      </c>
      <c r="U927" t="s">
        <v>17955</v>
      </c>
      <c r="V927" t="s">
        <v>17956</v>
      </c>
      <c r="W927" t="s">
        <v>17957</v>
      </c>
      <c r="X927" t="s">
        <v>17958</v>
      </c>
      <c r="Y927" t="s">
        <v>17959</v>
      </c>
      <c r="Z927" t="s">
        <v>17960</v>
      </c>
      <c r="AA927" t="s">
        <v>17961</v>
      </c>
      <c r="AB927" t="s">
        <v>17962</v>
      </c>
      <c r="AC927" t="s">
        <v>17963</v>
      </c>
      <c r="AD927" t="s">
        <v>17964</v>
      </c>
      <c r="AE927" t="s">
        <v>17965</v>
      </c>
      <c r="AF927" t="s">
        <v>74</v>
      </c>
      <c r="AG927">
        <v>51</v>
      </c>
      <c r="AH927">
        <v>2</v>
      </c>
      <c r="AI927">
        <v>2</v>
      </c>
      <c r="AJ927">
        <v>0</v>
      </c>
      <c r="AK927">
        <v>11</v>
      </c>
      <c r="AL927" t="s">
        <v>572</v>
      </c>
      <c r="AM927" t="s">
        <v>573</v>
      </c>
      <c r="AN927" t="s">
        <v>9203</v>
      </c>
      <c r="AO927" t="s">
        <v>74</v>
      </c>
      <c r="AP927" t="s">
        <v>9204</v>
      </c>
      <c r="AQ927" t="s">
        <v>74</v>
      </c>
      <c r="AR927" t="s">
        <v>9205</v>
      </c>
      <c r="AS927" t="s">
        <v>9206</v>
      </c>
      <c r="AT927" t="s">
        <v>1000</v>
      </c>
      <c r="AU927">
        <v>2022</v>
      </c>
      <c r="AV927">
        <v>8</v>
      </c>
      <c r="AW927">
        <v>2</v>
      </c>
      <c r="AX927" t="s">
        <v>74</v>
      </c>
      <c r="AY927" t="s">
        <v>74</v>
      </c>
      <c r="AZ927" t="s">
        <v>74</v>
      </c>
      <c r="BA927" t="s">
        <v>74</v>
      </c>
      <c r="BB927">
        <v>180</v>
      </c>
      <c r="BC927">
        <v>190</v>
      </c>
      <c r="BD927" t="s">
        <v>74</v>
      </c>
      <c r="BE927" t="s">
        <v>17966</v>
      </c>
      <c r="BF927" t="str">
        <f>HYPERLINK("http://dx.doi.org/10.1002/rse2.235","http://dx.doi.org/10.1002/rse2.235")</f>
        <v>http://dx.doi.org/10.1002/rse2.235</v>
      </c>
      <c r="BG927" t="s">
        <v>74</v>
      </c>
      <c r="BH927" t="s">
        <v>16043</v>
      </c>
      <c r="BI927">
        <v>11</v>
      </c>
      <c r="BJ927" t="s">
        <v>9208</v>
      </c>
      <c r="BK927" t="s">
        <v>101</v>
      </c>
      <c r="BL927" t="s">
        <v>9209</v>
      </c>
      <c r="BM927" t="s">
        <v>9210</v>
      </c>
      <c r="BN927" t="s">
        <v>74</v>
      </c>
      <c r="BO927" t="s">
        <v>1094</v>
      </c>
      <c r="BP927" t="s">
        <v>74</v>
      </c>
      <c r="BQ927" t="s">
        <v>74</v>
      </c>
      <c r="BR927" t="s">
        <v>105</v>
      </c>
      <c r="BS927" t="s">
        <v>17967</v>
      </c>
      <c r="BT927" t="str">
        <f>HYPERLINK("https%3A%2F%2Fwww.webofscience.com%2Fwos%2Fwoscc%2Ffull-record%2FWOS:000685405000001","View Full Record in Web of Science")</f>
        <v>View Full Record in Web of Science</v>
      </c>
    </row>
    <row r="928" spans="1:72" x14ac:dyDescent="0.15">
      <c r="A928" t="s">
        <v>72</v>
      </c>
      <c r="B928" t="s">
        <v>17968</v>
      </c>
      <c r="C928" t="s">
        <v>74</v>
      </c>
      <c r="D928" t="s">
        <v>74</v>
      </c>
      <c r="E928" t="s">
        <v>74</v>
      </c>
      <c r="F928" t="s">
        <v>17969</v>
      </c>
      <c r="G928" t="s">
        <v>74</v>
      </c>
      <c r="H928" t="s">
        <v>74</v>
      </c>
      <c r="I928" t="s">
        <v>17970</v>
      </c>
      <c r="J928" t="s">
        <v>16071</v>
      </c>
      <c r="K928" t="s">
        <v>74</v>
      </c>
      <c r="L928" t="s">
        <v>74</v>
      </c>
      <c r="M928" t="s">
        <v>78</v>
      </c>
      <c r="N928" t="s">
        <v>79</v>
      </c>
      <c r="O928" t="s">
        <v>74</v>
      </c>
      <c r="P928" t="s">
        <v>74</v>
      </c>
      <c r="Q928" t="s">
        <v>74</v>
      </c>
      <c r="R928" t="s">
        <v>74</v>
      </c>
      <c r="S928" t="s">
        <v>74</v>
      </c>
      <c r="T928" t="s">
        <v>17971</v>
      </c>
      <c r="U928" t="s">
        <v>17972</v>
      </c>
      <c r="V928" t="s">
        <v>17973</v>
      </c>
      <c r="W928" t="s">
        <v>17974</v>
      </c>
      <c r="X928" t="s">
        <v>17975</v>
      </c>
      <c r="Y928" t="s">
        <v>17976</v>
      </c>
      <c r="Z928" t="s">
        <v>17977</v>
      </c>
      <c r="AA928" t="s">
        <v>17978</v>
      </c>
      <c r="AB928" t="s">
        <v>17979</v>
      </c>
      <c r="AC928" t="s">
        <v>17980</v>
      </c>
      <c r="AD928" t="s">
        <v>17981</v>
      </c>
      <c r="AE928" t="s">
        <v>17982</v>
      </c>
      <c r="AF928" t="s">
        <v>74</v>
      </c>
      <c r="AG928">
        <v>60</v>
      </c>
      <c r="AH928">
        <v>2</v>
      </c>
      <c r="AI928">
        <v>2</v>
      </c>
      <c r="AJ928">
        <v>0</v>
      </c>
      <c r="AK928">
        <v>27</v>
      </c>
      <c r="AL928" t="s">
        <v>1175</v>
      </c>
      <c r="AM928" t="s">
        <v>170</v>
      </c>
      <c r="AN928" t="s">
        <v>1176</v>
      </c>
      <c r="AO928" t="s">
        <v>16083</v>
      </c>
      <c r="AP928" t="s">
        <v>16084</v>
      </c>
      <c r="AQ928" t="s">
        <v>74</v>
      </c>
      <c r="AR928" t="s">
        <v>16085</v>
      </c>
      <c r="AS928" t="s">
        <v>16086</v>
      </c>
      <c r="AT928" t="s">
        <v>204</v>
      </c>
      <c r="AU928">
        <v>2021</v>
      </c>
      <c r="AV928">
        <v>263</v>
      </c>
      <c r="AW928" t="s">
        <v>74</v>
      </c>
      <c r="AX928" t="s">
        <v>74</v>
      </c>
      <c r="AY928" t="s">
        <v>74</v>
      </c>
      <c r="AZ928" t="s">
        <v>74</v>
      </c>
      <c r="BA928" t="s">
        <v>74</v>
      </c>
      <c r="BB928" t="s">
        <v>74</v>
      </c>
      <c r="BC928" t="s">
        <v>74</v>
      </c>
      <c r="BD928">
        <v>105811</v>
      </c>
      <c r="BE928" t="s">
        <v>17983</v>
      </c>
      <c r="BF928" t="str">
        <f>HYPERLINK("http://dx.doi.org/10.1016/j.atmosres.2021.105811","http://dx.doi.org/10.1016/j.atmosres.2021.105811")</f>
        <v>http://dx.doi.org/10.1016/j.atmosres.2021.105811</v>
      </c>
      <c r="BG928" t="s">
        <v>74</v>
      </c>
      <c r="BH928" t="s">
        <v>16043</v>
      </c>
      <c r="BI928">
        <v>12</v>
      </c>
      <c r="BJ928" t="s">
        <v>829</v>
      </c>
      <c r="BK928" t="s">
        <v>101</v>
      </c>
      <c r="BL928" t="s">
        <v>829</v>
      </c>
      <c r="BM928" t="s">
        <v>16088</v>
      </c>
      <c r="BN928" t="s">
        <v>74</v>
      </c>
      <c r="BO928" t="s">
        <v>74</v>
      </c>
      <c r="BP928" t="s">
        <v>74</v>
      </c>
      <c r="BQ928" t="s">
        <v>74</v>
      </c>
      <c r="BR928" t="s">
        <v>105</v>
      </c>
      <c r="BS928" t="s">
        <v>17984</v>
      </c>
      <c r="BT928" t="str">
        <f>HYPERLINK("https%3A%2F%2Fwww.webofscience.com%2Fwos%2Fwoscc%2Ffull-record%2FWOS:000702534000002","View Full Record in Web of Science")</f>
        <v>View Full Record in Web of Science</v>
      </c>
    </row>
    <row r="929" spans="1:72" x14ac:dyDescent="0.15">
      <c r="A929" t="s">
        <v>72</v>
      </c>
      <c r="B929" t="s">
        <v>17985</v>
      </c>
      <c r="C929" t="s">
        <v>74</v>
      </c>
      <c r="D929" t="s">
        <v>74</v>
      </c>
      <c r="E929" t="s">
        <v>74</v>
      </c>
      <c r="F929" t="s">
        <v>17986</v>
      </c>
      <c r="G929" t="s">
        <v>74</v>
      </c>
      <c r="H929" t="s">
        <v>74</v>
      </c>
      <c r="I929" t="s">
        <v>17987</v>
      </c>
      <c r="J929" t="s">
        <v>8499</v>
      </c>
      <c r="K929" t="s">
        <v>74</v>
      </c>
      <c r="L929" t="s">
        <v>74</v>
      </c>
      <c r="M929" t="s">
        <v>78</v>
      </c>
      <c r="N929" t="s">
        <v>79</v>
      </c>
      <c r="O929" t="s">
        <v>74</v>
      </c>
      <c r="P929" t="s">
        <v>74</v>
      </c>
      <c r="Q929" t="s">
        <v>74</v>
      </c>
      <c r="R929" t="s">
        <v>74</v>
      </c>
      <c r="S929" t="s">
        <v>74</v>
      </c>
      <c r="T929" t="s">
        <v>17988</v>
      </c>
      <c r="U929" t="s">
        <v>17989</v>
      </c>
      <c r="V929" t="s">
        <v>17990</v>
      </c>
      <c r="W929" t="s">
        <v>17991</v>
      </c>
      <c r="X929" t="s">
        <v>17992</v>
      </c>
      <c r="Y929" t="s">
        <v>17993</v>
      </c>
      <c r="Z929" t="s">
        <v>17994</v>
      </c>
      <c r="AA929" t="s">
        <v>17995</v>
      </c>
      <c r="AB929" t="s">
        <v>17996</v>
      </c>
      <c r="AC929" t="s">
        <v>17997</v>
      </c>
      <c r="AD929" t="s">
        <v>17997</v>
      </c>
      <c r="AE929" t="s">
        <v>17998</v>
      </c>
      <c r="AF929" t="s">
        <v>74</v>
      </c>
      <c r="AG929">
        <v>45</v>
      </c>
      <c r="AH929">
        <v>6</v>
      </c>
      <c r="AI929">
        <v>6</v>
      </c>
      <c r="AJ929">
        <v>3</v>
      </c>
      <c r="AK929">
        <v>30</v>
      </c>
      <c r="AL929" t="s">
        <v>437</v>
      </c>
      <c r="AM929" t="s">
        <v>438</v>
      </c>
      <c r="AN929" t="s">
        <v>439</v>
      </c>
      <c r="AO929" t="s">
        <v>8512</v>
      </c>
      <c r="AP929" t="s">
        <v>74</v>
      </c>
      <c r="AQ929" t="s">
        <v>74</v>
      </c>
      <c r="AR929" t="s">
        <v>8513</v>
      </c>
      <c r="AS929" t="s">
        <v>8514</v>
      </c>
      <c r="AT929" t="s">
        <v>12648</v>
      </c>
      <c r="AU929">
        <v>2021</v>
      </c>
      <c r="AV929">
        <v>5</v>
      </c>
      <c r="AW929">
        <v>9</v>
      </c>
      <c r="AX929" t="s">
        <v>74</v>
      </c>
      <c r="AY929" t="s">
        <v>74</v>
      </c>
      <c r="AZ929" t="s">
        <v>74</v>
      </c>
      <c r="BA929" t="s">
        <v>74</v>
      </c>
      <c r="BB929">
        <v>2534</v>
      </c>
      <c r="BC929">
        <v>2543</v>
      </c>
      <c r="BD929" t="s">
        <v>74</v>
      </c>
      <c r="BE929" t="s">
        <v>17999</v>
      </c>
      <c r="BF929" t="str">
        <f>HYPERLINK("http://dx.doi.org/10.1021/acsearthspacechem.1c00211","http://dx.doi.org/10.1021/acsearthspacechem.1c00211")</f>
        <v>http://dx.doi.org/10.1021/acsearthspacechem.1c00211</v>
      </c>
      <c r="BG929" t="s">
        <v>74</v>
      </c>
      <c r="BH929" t="s">
        <v>16043</v>
      </c>
      <c r="BI929">
        <v>10</v>
      </c>
      <c r="BJ929" t="s">
        <v>8516</v>
      </c>
      <c r="BK929" t="s">
        <v>101</v>
      </c>
      <c r="BL929" t="s">
        <v>8517</v>
      </c>
      <c r="BM929" t="s">
        <v>18000</v>
      </c>
      <c r="BN929" t="s">
        <v>74</v>
      </c>
      <c r="BO929" t="s">
        <v>74</v>
      </c>
      <c r="BP929" t="s">
        <v>74</v>
      </c>
      <c r="BQ929" t="s">
        <v>74</v>
      </c>
      <c r="BR929" t="s">
        <v>105</v>
      </c>
      <c r="BS929" t="s">
        <v>18001</v>
      </c>
      <c r="BT929" t="str">
        <f>HYPERLINK("https%3A%2F%2Fwww.webofscience.com%2Fwos%2Fwoscc%2Ffull-record%2FWOS:000697335600030","View Full Record in Web of Science")</f>
        <v>View Full Record in Web of Science</v>
      </c>
    </row>
    <row r="930" spans="1:72" x14ac:dyDescent="0.15">
      <c r="A930" t="s">
        <v>72</v>
      </c>
      <c r="B930" t="s">
        <v>18002</v>
      </c>
      <c r="C930" t="s">
        <v>74</v>
      </c>
      <c r="D930" t="s">
        <v>74</v>
      </c>
      <c r="E930" t="s">
        <v>74</v>
      </c>
      <c r="F930" t="s">
        <v>18003</v>
      </c>
      <c r="G930" t="s">
        <v>74</v>
      </c>
      <c r="H930" t="s">
        <v>74</v>
      </c>
      <c r="I930" t="s">
        <v>18004</v>
      </c>
      <c r="J930" t="s">
        <v>3299</v>
      </c>
      <c r="K930" t="s">
        <v>74</v>
      </c>
      <c r="L930" t="s">
        <v>74</v>
      </c>
      <c r="M930" t="s">
        <v>78</v>
      </c>
      <c r="N930" t="s">
        <v>79</v>
      </c>
      <c r="O930" t="s">
        <v>74</v>
      </c>
      <c r="P930" t="s">
        <v>74</v>
      </c>
      <c r="Q930" t="s">
        <v>74</v>
      </c>
      <c r="R930" t="s">
        <v>74</v>
      </c>
      <c r="S930" t="s">
        <v>74</v>
      </c>
      <c r="T930" t="s">
        <v>18005</v>
      </c>
      <c r="U930" t="s">
        <v>18006</v>
      </c>
      <c r="V930" t="s">
        <v>18007</v>
      </c>
      <c r="W930" t="s">
        <v>18008</v>
      </c>
      <c r="X930" t="s">
        <v>18009</v>
      </c>
      <c r="Y930" t="s">
        <v>18010</v>
      </c>
      <c r="Z930" t="s">
        <v>18011</v>
      </c>
      <c r="AA930" t="s">
        <v>18012</v>
      </c>
      <c r="AB930" t="s">
        <v>18013</v>
      </c>
      <c r="AC930" t="s">
        <v>18014</v>
      </c>
      <c r="AD930" t="s">
        <v>18015</v>
      </c>
      <c r="AE930" t="s">
        <v>18016</v>
      </c>
      <c r="AF930" t="s">
        <v>74</v>
      </c>
      <c r="AG930">
        <v>64</v>
      </c>
      <c r="AH930">
        <v>4</v>
      </c>
      <c r="AI930">
        <v>4</v>
      </c>
      <c r="AJ930">
        <v>0</v>
      </c>
      <c r="AK930">
        <v>3</v>
      </c>
      <c r="AL930" t="s">
        <v>3310</v>
      </c>
      <c r="AM930" t="s">
        <v>3311</v>
      </c>
      <c r="AN930" t="s">
        <v>3312</v>
      </c>
      <c r="AO930" t="s">
        <v>3313</v>
      </c>
      <c r="AP930" t="s">
        <v>3314</v>
      </c>
      <c r="AQ930" t="s">
        <v>74</v>
      </c>
      <c r="AR930" t="s">
        <v>3299</v>
      </c>
      <c r="AS930" t="s">
        <v>3315</v>
      </c>
      <c r="AT930" t="s">
        <v>18017</v>
      </c>
      <c r="AU930">
        <v>2021</v>
      </c>
      <c r="AV930">
        <v>5023</v>
      </c>
      <c r="AW930">
        <v>1</v>
      </c>
      <c r="AX930" t="s">
        <v>74</v>
      </c>
      <c r="AY930" t="s">
        <v>74</v>
      </c>
      <c r="AZ930" t="s">
        <v>74</v>
      </c>
      <c r="BA930" t="s">
        <v>74</v>
      </c>
      <c r="BB930">
        <v>77</v>
      </c>
      <c r="BC930">
        <v>92</v>
      </c>
      <c r="BD930" t="s">
        <v>74</v>
      </c>
      <c r="BE930" t="s">
        <v>18018</v>
      </c>
      <c r="BF930" t="str">
        <f>HYPERLINK("http://dx.doi.org/10.11646/zootaxa.5023.1.4","http://dx.doi.org/10.11646/zootaxa.5023.1.4")</f>
        <v>http://dx.doi.org/10.11646/zootaxa.5023.1.4</v>
      </c>
      <c r="BG930" t="s">
        <v>74</v>
      </c>
      <c r="BH930" t="s">
        <v>74</v>
      </c>
      <c r="BI930">
        <v>16</v>
      </c>
      <c r="BJ930" t="s">
        <v>1612</v>
      </c>
      <c r="BK930" t="s">
        <v>101</v>
      </c>
      <c r="BL930" t="s">
        <v>1612</v>
      </c>
      <c r="BM930" t="s">
        <v>18019</v>
      </c>
      <c r="BN930">
        <v>34810976</v>
      </c>
      <c r="BO930" t="s">
        <v>2217</v>
      </c>
      <c r="BP930" t="s">
        <v>74</v>
      </c>
      <c r="BQ930" t="s">
        <v>74</v>
      </c>
      <c r="BR930" t="s">
        <v>105</v>
      </c>
      <c r="BS930" t="s">
        <v>18020</v>
      </c>
      <c r="BT930" t="str">
        <f>HYPERLINK("https%3A%2F%2Fwww.webofscience.com%2Fwos%2Fwoscc%2Ffull-record%2FWOS:000686600500004","View Full Record in Web of Science")</f>
        <v>View Full Record in Web of Science</v>
      </c>
    </row>
    <row r="931" spans="1:72" x14ac:dyDescent="0.15">
      <c r="A931" t="s">
        <v>72</v>
      </c>
      <c r="B931" t="s">
        <v>18021</v>
      </c>
      <c r="C931" t="s">
        <v>74</v>
      </c>
      <c r="D931" t="s">
        <v>74</v>
      </c>
      <c r="E931" t="s">
        <v>74</v>
      </c>
      <c r="F931" t="s">
        <v>18022</v>
      </c>
      <c r="G931" t="s">
        <v>74</v>
      </c>
      <c r="H931" t="s">
        <v>74</v>
      </c>
      <c r="I931" t="s">
        <v>18023</v>
      </c>
      <c r="J931" t="s">
        <v>1058</v>
      </c>
      <c r="K931" t="s">
        <v>74</v>
      </c>
      <c r="L931" t="s">
        <v>74</v>
      </c>
      <c r="M931" t="s">
        <v>78</v>
      </c>
      <c r="N931" t="s">
        <v>79</v>
      </c>
      <c r="O931" t="s">
        <v>74</v>
      </c>
      <c r="P931" t="s">
        <v>74</v>
      </c>
      <c r="Q931" t="s">
        <v>74</v>
      </c>
      <c r="R931" t="s">
        <v>74</v>
      </c>
      <c r="S931" t="s">
        <v>74</v>
      </c>
      <c r="T931" t="s">
        <v>74</v>
      </c>
      <c r="U931" t="s">
        <v>18024</v>
      </c>
      <c r="V931" t="s">
        <v>18025</v>
      </c>
      <c r="W931" t="s">
        <v>18026</v>
      </c>
      <c r="X931" t="s">
        <v>18027</v>
      </c>
      <c r="Y931" t="s">
        <v>18028</v>
      </c>
      <c r="Z931" t="s">
        <v>18029</v>
      </c>
      <c r="AA931" t="s">
        <v>18030</v>
      </c>
      <c r="AB931" t="s">
        <v>18031</v>
      </c>
      <c r="AC931" t="s">
        <v>18032</v>
      </c>
      <c r="AD931" t="s">
        <v>18033</v>
      </c>
      <c r="AE931" t="s">
        <v>18034</v>
      </c>
      <c r="AF931" t="s">
        <v>74</v>
      </c>
      <c r="AG931">
        <v>87</v>
      </c>
      <c r="AH931">
        <v>72</v>
      </c>
      <c r="AI931">
        <v>72</v>
      </c>
      <c r="AJ931">
        <v>6</v>
      </c>
      <c r="AK931">
        <v>35</v>
      </c>
      <c r="AL931" t="s">
        <v>227</v>
      </c>
      <c r="AM931" t="s">
        <v>228</v>
      </c>
      <c r="AN931" t="s">
        <v>229</v>
      </c>
      <c r="AO931" t="s">
        <v>1065</v>
      </c>
      <c r="AP931" t="s">
        <v>1066</v>
      </c>
      <c r="AQ931" t="s">
        <v>74</v>
      </c>
      <c r="AR931" t="s">
        <v>1058</v>
      </c>
      <c r="AS931" t="s">
        <v>1067</v>
      </c>
      <c r="AT931" t="s">
        <v>18017</v>
      </c>
      <c r="AU931">
        <v>2021</v>
      </c>
      <c r="AV931">
        <v>15</v>
      </c>
      <c r="AW931">
        <v>8</v>
      </c>
      <c r="AX931" t="s">
        <v>74</v>
      </c>
      <c r="AY931" t="s">
        <v>74</v>
      </c>
      <c r="AZ931" t="s">
        <v>74</v>
      </c>
      <c r="BA931" t="s">
        <v>74</v>
      </c>
      <c r="BB931">
        <v>3751</v>
      </c>
      <c r="BC931">
        <v>3784</v>
      </c>
      <c r="BD931" t="s">
        <v>74</v>
      </c>
      <c r="BE931" t="s">
        <v>18035</v>
      </c>
      <c r="BF931" t="str">
        <f>HYPERLINK("http://dx.doi.org/10.5194/tc-15-3751-2021","http://dx.doi.org/10.5194/tc-15-3751-2021")</f>
        <v>http://dx.doi.org/10.5194/tc-15-3751-2021</v>
      </c>
      <c r="BG931" t="s">
        <v>74</v>
      </c>
      <c r="BH931" t="s">
        <v>74</v>
      </c>
      <c r="BI931">
        <v>34</v>
      </c>
      <c r="BJ931" t="s">
        <v>340</v>
      </c>
      <c r="BK931" t="s">
        <v>101</v>
      </c>
      <c r="BL931" t="s">
        <v>341</v>
      </c>
      <c r="BM931" t="s">
        <v>18036</v>
      </c>
      <c r="BN931" t="s">
        <v>74</v>
      </c>
      <c r="BO931" t="s">
        <v>2114</v>
      </c>
      <c r="BP931" t="s">
        <v>9318</v>
      </c>
      <c r="BQ931" t="s">
        <v>9319</v>
      </c>
      <c r="BR931" t="s">
        <v>105</v>
      </c>
      <c r="BS931" t="s">
        <v>18037</v>
      </c>
      <c r="BT931" t="str">
        <f>HYPERLINK("https%3A%2F%2Fwww.webofscience.com%2Fwos%2Fwoscc%2Ffull-record%2FWOS:000687040600001","View Full Record in Web of Science")</f>
        <v>View Full Record in Web of Science</v>
      </c>
    </row>
    <row r="932" spans="1:72" x14ac:dyDescent="0.15">
      <c r="A932" t="s">
        <v>72</v>
      </c>
      <c r="B932" t="s">
        <v>18038</v>
      </c>
      <c r="C932" t="s">
        <v>74</v>
      </c>
      <c r="D932" t="s">
        <v>74</v>
      </c>
      <c r="E932" t="s">
        <v>74</v>
      </c>
      <c r="F932" t="s">
        <v>18039</v>
      </c>
      <c r="G932" t="s">
        <v>74</v>
      </c>
      <c r="H932" t="s">
        <v>74</v>
      </c>
      <c r="I932" t="s">
        <v>18040</v>
      </c>
      <c r="J932" t="s">
        <v>215</v>
      </c>
      <c r="K932" t="s">
        <v>74</v>
      </c>
      <c r="L932" t="s">
        <v>74</v>
      </c>
      <c r="M932" t="s">
        <v>78</v>
      </c>
      <c r="N932" t="s">
        <v>79</v>
      </c>
      <c r="O932" t="s">
        <v>74</v>
      </c>
      <c r="P932" t="s">
        <v>74</v>
      </c>
      <c r="Q932" t="s">
        <v>74</v>
      </c>
      <c r="R932" t="s">
        <v>74</v>
      </c>
      <c r="S932" t="s">
        <v>74</v>
      </c>
      <c r="T932" t="s">
        <v>74</v>
      </c>
      <c r="U932" t="s">
        <v>18041</v>
      </c>
      <c r="V932" t="s">
        <v>18042</v>
      </c>
      <c r="W932" t="s">
        <v>18043</v>
      </c>
      <c r="X932" t="s">
        <v>18044</v>
      </c>
      <c r="Y932" t="s">
        <v>18045</v>
      </c>
      <c r="Z932" t="s">
        <v>18046</v>
      </c>
      <c r="AA932" t="s">
        <v>18047</v>
      </c>
      <c r="AB932" t="s">
        <v>18048</v>
      </c>
      <c r="AC932" t="s">
        <v>18049</v>
      </c>
      <c r="AD932" t="s">
        <v>18050</v>
      </c>
      <c r="AE932" t="s">
        <v>18051</v>
      </c>
      <c r="AF932" t="s">
        <v>74</v>
      </c>
      <c r="AG932">
        <v>69</v>
      </c>
      <c r="AH932">
        <v>2</v>
      </c>
      <c r="AI932">
        <v>2</v>
      </c>
      <c r="AJ932">
        <v>0</v>
      </c>
      <c r="AK932">
        <v>4</v>
      </c>
      <c r="AL932" t="s">
        <v>227</v>
      </c>
      <c r="AM932" t="s">
        <v>228</v>
      </c>
      <c r="AN932" t="s">
        <v>229</v>
      </c>
      <c r="AO932" t="s">
        <v>230</v>
      </c>
      <c r="AP932" t="s">
        <v>231</v>
      </c>
      <c r="AQ932" t="s">
        <v>74</v>
      </c>
      <c r="AR932" t="s">
        <v>232</v>
      </c>
      <c r="AS932" t="s">
        <v>233</v>
      </c>
      <c r="AT932" t="s">
        <v>18017</v>
      </c>
      <c r="AU932">
        <v>2021</v>
      </c>
      <c r="AV932">
        <v>14</v>
      </c>
      <c r="AW932">
        <v>8</v>
      </c>
      <c r="AX932" t="s">
        <v>74</v>
      </c>
      <c r="AY932" t="s">
        <v>74</v>
      </c>
      <c r="AZ932" t="s">
        <v>74</v>
      </c>
      <c r="BA932" t="s">
        <v>74</v>
      </c>
      <c r="BB932">
        <v>5107</v>
      </c>
      <c r="BC932">
        <v>5124</v>
      </c>
      <c r="BD932" t="s">
        <v>74</v>
      </c>
      <c r="BE932" t="s">
        <v>18052</v>
      </c>
      <c r="BF932" t="str">
        <f>HYPERLINK("http://dx.doi.org/10.5194/gmd-14-5107-2021","http://dx.doi.org/10.5194/gmd-14-5107-2021")</f>
        <v>http://dx.doi.org/10.5194/gmd-14-5107-2021</v>
      </c>
      <c r="BG932" t="s">
        <v>74</v>
      </c>
      <c r="BH932" t="s">
        <v>74</v>
      </c>
      <c r="BI932">
        <v>18</v>
      </c>
      <c r="BJ932" t="s">
        <v>236</v>
      </c>
      <c r="BK932" t="s">
        <v>101</v>
      </c>
      <c r="BL932" t="s">
        <v>237</v>
      </c>
      <c r="BM932" t="s">
        <v>18053</v>
      </c>
      <c r="BN932" t="s">
        <v>74</v>
      </c>
      <c r="BO932" t="s">
        <v>18054</v>
      </c>
      <c r="BP932" t="s">
        <v>74</v>
      </c>
      <c r="BQ932" t="s">
        <v>74</v>
      </c>
      <c r="BR932" t="s">
        <v>105</v>
      </c>
      <c r="BS932" t="s">
        <v>18055</v>
      </c>
      <c r="BT932" t="str">
        <f>HYPERLINK("https%3A%2F%2Fwww.webofscience.com%2Fwos%2Fwoscc%2Ffull-record%2FWOS:000686635700001","View Full Record in Web of Science")</f>
        <v>View Full Record in Web of Science</v>
      </c>
    </row>
    <row r="933" spans="1:72" x14ac:dyDescent="0.15">
      <c r="A933" t="s">
        <v>72</v>
      </c>
      <c r="B933" t="s">
        <v>18056</v>
      </c>
      <c r="C933" t="s">
        <v>74</v>
      </c>
      <c r="D933" t="s">
        <v>74</v>
      </c>
      <c r="E933" t="s">
        <v>74</v>
      </c>
      <c r="F933" t="s">
        <v>18057</v>
      </c>
      <c r="G933" t="s">
        <v>74</v>
      </c>
      <c r="H933" t="s">
        <v>74</v>
      </c>
      <c r="I933" t="s">
        <v>18058</v>
      </c>
      <c r="J933" t="s">
        <v>3248</v>
      </c>
      <c r="K933" t="s">
        <v>74</v>
      </c>
      <c r="L933" t="s">
        <v>74</v>
      </c>
      <c r="M933" t="s">
        <v>78</v>
      </c>
      <c r="N933" t="s">
        <v>79</v>
      </c>
      <c r="O933" t="s">
        <v>74</v>
      </c>
      <c r="P933" t="s">
        <v>74</v>
      </c>
      <c r="Q933" t="s">
        <v>74</v>
      </c>
      <c r="R933" t="s">
        <v>74</v>
      </c>
      <c r="S933" t="s">
        <v>74</v>
      </c>
      <c r="T933" t="s">
        <v>18059</v>
      </c>
      <c r="U933" t="s">
        <v>18060</v>
      </c>
      <c r="V933" t="s">
        <v>18061</v>
      </c>
      <c r="W933" t="s">
        <v>18062</v>
      </c>
      <c r="X933" t="s">
        <v>18063</v>
      </c>
      <c r="Y933" t="s">
        <v>18064</v>
      </c>
      <c r="Z933" t="s">
        <v>18065</v>
      </c>
      <c r="AA933" t="s">
        <v>164</v>
      </c>
      <c r="AB933" t="s">
        <v>18066</v>
      </c>
      <c r="AC933" t="s">
        <v>18067</v>
      </c>
      <c r="AD933" t="s">
        <v>18068</v>
      </c>
      <c r="AE933" t="s">
        <v>18069</v>
      </c>
      <c r="AF933" t="s">
        <v>74</v>
      </c>
      <c r="AG933">
        <v>90</v>
      </c>
      <c r="AH933">
        <v>46</v>
      </c>
      <c r="AI933">
        <v>47</v>
      </c>
      <c r="AJ933">
        <v>1</v>
      </c>
      <c r="AK933">
        <v>10</v>
      </c>
      <c r="AL933" t="s">
        <v>3261</v>
      </c>
      <c r="AM933" t="s">
        <v>438</v>
      </c>
      <c r="AN933" t="s">
        <v>3262</v>
      </c>
      <c r="AO933" t="s">
        <v>3263</v>
      </c>
      <c r="AP933" t="s">
        <v>74</v>
      </c>
      <c r="AQ933" t="s">
        <v>74</v>
      </c>
      <c r="AR933" t="s">
        <v>3264</v>
      </c>
      <c r="AS933" t="s">
        <v>3265</v>
      </c>
      <c r="AT933" t="s">
        <v>18017</v>
      </c>
      <c r="AU933">
        <v>2021</v>
      </c>
      <c r="AV933">
        <v>118</v>
      </c>
      <c r="AW933">
        <v>33</v>
      </c>
      <c r="AX933" t="s">
        <v>74</v>
      </c>
      <c r="AY933" t="s">
        <v>74</v>
      </c>
      <c r="AZ933" t="s">
        <v>74</v>
      </c>
      <c r="BA933" t="s">
        <v>74</v>
      </c>
      <c r="BB933" t="s">
        <v>74</v>
      </c>
      <c r="BC933" t="s">
        <v>74</v>
      </c>
      <c r="BD933" t="s">
        <v>18070</v>
      </c>
      <c r="BE933" t="s">
        <v>18071</v>
      </c>
      <c r="BF933" t="str">
        <f>HYPERLINK("http://dx.doi.org/10.1073/pnas.2026839118","http://dx.doi.org/10.1073/pnas.2026839118")</f>
        <v>http://dx.doi.org/10.1073/pnas.2026839118</v>
      </c>
      <c r="BG933" t="s">
        <v>74</v>
      </c>
      <c r="BH933" t="s">
        <v>74</v>
      </c>
      <c r="BI933">
        <v>11</v>
      </c>
      <c r="BJ933" t="s">
        <v>126</v>
      </c>
      <c r="BK933" t="s">
        <v>101</v>
      </c>
      <c r="BL933" t="s">
        <v>127</v>
      </c>
      <c r="BM933" t="s">
        <v>18072</v>
      </c>
      <c r="BN933">
        <v>34373328</v>
      </c>
      <c r="BO933" t="s">
        <v>9122</v>
      </c>
      <c r="BP933" t="s">
        <v>74</v>
      </c>
      <c r="BQ933" t="s">
        <v>74</v>
      </c>
      <c r="BR933" t="s">
        <v>105</v>
      </c>
      <c r="BS933" t="s">
        <v>18073</v>
      </c>
      <c r="BT933" t="str">
        <f>HYPERLINK("https%3A%2F%2Fwww.webofscience.com%2Fwos%2Fwoscc%2Ffull-record%2FWOS:000687404200002","View Full Record in Web of Science")</f>
        <v>View Full Record in Web of Science</v>
      </c>
    </row>
    <row r="934" spans="1:72" x14ac:dyDescent="0.15">
      <c r="A934" t="s">
        <v>72</v>
      </c>
      <c r="B934" t="s">
        <v>18074</v>
      </c>
      <c r="C934" t="s">
        <v>74</v>
      </c>
      <c r="D934" t="s">
        <v>74</v>
      </c>
      <c r="E934" t="s">
        <v>74</v>
      </c>
      <c r="F934" t="s">
        <v>18075</v>
      </c>
      <c r="G934" t="s">
        <v>74</v>
      </c>
      <c r="H934" t="s">
        <v>74</v>
      </c>
      <c r="I934" t="s">
        <v>18076</v>
      </c>
      <c r="J934" t="s">
        <v>1279</v>
      </c>
      <c r="K934" t="s">
        <v>74</v>
      </c>
      <c r="L934" t="s">
        <v>74</v>
      </c>
      <c r="M934" t="s">
        <v>78</v>
      </c>
      <c r="N934" t="s">
        <v>79</v>
      </c>
      <c r="O934" t="s">
        <v>74</v>
      </c>
      <c r="P934" t="s">
        <v>74</v>
      </c>
      <c r="Q934" t="s">
        <v>74</v>
      </c>
      <c r="R934" t="s">
        <v>74</v>
      </c>
      <c r="S934" t="s">
        <v>74</v>
      </c>
      <c r="T934" t="s">
        <v>74</v>
      </c>
      <c r="U934" t="s">
        <v>18077</v>
      </c>
      <c r="V934" t="s">
        <v>18078</v>
      </c>
      <c r="W934" t="s">
        <v>18079</v>
      </c>
      <c r="X934" t="s">
        <v>18080</v>
      </c>
      <c r="Y934" t="s">
        <v>18081</v>
      </c>
      <c r="Z934" t="s">
        <v>18082</v>
      </c>
      <c r="AA934" t="s">
        <v>18083</v>
      </c>
      <c r="AB934" t="s">
        <v>18084</v>
      </c>
      <c r="AC934" t="s">
        <v>18085</v>
      </c>
      <c r="AD934" t="s">
        <v>18086</v>
      </c>
      <c r="AE934" t="s">
        <v>18087</v>
      </c>
      <c r="AF934" t="s">
        <v>74</v>
      </c>
      <c r="AG934">
        <v>56</v>
      </c>
      <c r="AH934">
        <v>28</v>
      </c>
      <c r="AI934">
        <v>32</v>
      </c>
      <c r="AJ934">
        <v>14</v>
      </c>
      <c r="AK934">
        <v>70</v>
      </c>
      <c r="AL934" t="s">
        <v>492</v>
      </c>
      <c r="AM934" t="s">
        <v>493</v>
      </c>
      <c r="AN934" t="s">
        <v>494</v>
      </c>
      <c r="AO934" t="s">
        <v>74</v>
      </c>
      <c r="AP934" t="s">
        <v>1291</v>
      </c>
      <c r="AQ934" t="s">
        <v>74</v>
      </c>
      <c r="AR934" t="s">
        <v>1292</v>
      </c>
      <c r="AS934" t="s">
        <v>1293</v>
      </c>
      <c r="AT934" t="s">
        <v>18088</v>
      </c>
      <c r="AU934">
        <v>2021</v>
      </c>
      <c r="AV934">
        <v>12</v>
      </c>
      <c r="AW934">
        <v>1</v>
      </c>
      <c r="AX934" t="s">
        <v>74</v>
      </c>
      <c r="AY934" t="s">
        <v>74</v>
      </c>
      <c r="AZ934" t="s">
        <v>74</v>
      </c>
      <c r="BA934" t="s">
        <v>74</v>
      </c>
      <c r="BB934" t="s">
        <v>74</v>
      </c>
      <c r="BC934" t="s">
        <v>74</v>
      </c>
      <c r="BD934">
        <v>4948</v>
      </c>
      <c r="BE934" t="s">
        <v>18089</v>
      </c>
      <c r="BF934" t="str">
        <f>HYPERLINK("http://dx.doi.org/10.1038/s41467-021-25235-w","http://dx.doi.org/10.1038/s41467-021-25235-w")</f>
        <v>http://dx.doi.org/10.1038/s41467-021-25235-w</v>
      </c>
      <c r="BG934" t="s">
        <v>74</v>
      </c>
      <c r="BH934" t="s">
        <v>74</v>
      </c>
      <c r="BI934">
        <v>9</v>
      </c>
      <c r="BJ934" t="s">
        <v>126</v>
      </c>
      <c r="BK934" t="s">
        <v>101</v>
      </c>
      <c r="BL934" t="s">
        <v>127</v>
      </c>
      <c r="BM934" t="s">
        <v>18090</v>
      </c>
      <c r="BN934">
        <v>34400630</v>
      </c>
      <c r="BO934" t="s">
        <v>1741</v>
      </c>
      <c r="BP934" t="s">
        <v>74</v>
      </c>
      <c r="BQ934" t="s">
        <v>74</v>
      </c>
      <c r="BR934" t="s">
        <v>105</v>
      </c>
      <c r="BS934" t="s">
        <v>18091</v>
      </c>
      <c r="BT934" t="str">
        <f>HYPERLINK("https%3A%2F%2Fwww.webofscience.com%2Fwos%2Fwoscc%2Ffull-record%2FWOS:000686641700032","View Full Record in Web of Science")</f>
        <v>View Full Record in Web of Science</v>
      </c>
    </row>
    <row r="935" spans="1:72" x14ac:dyDescent="0.15">
      <c r="A935" t="s">
        <v>72</v>
      </c>
      <c r="B935" t="s">
        <v>18092</v>
      </c>
      <c r="C935" t="s">
        <v>74</v>
      </c>
      <c r="D935" t="s">
        <v>74</v>
      </c>
      <c r="E935" t="s">
        <v>74</v>
      </c>
      <c r="F935" t="s">
        <v>18093</v>
      </c>
      <c r="G935" t="s">
        <v>74</v>
      </c>
      <c r="H935" t="s">
        <v>74</v>
      </c>
      <c r="I935" t="s">
        <v>18094</v>
      </c>
      <c r="J935" t="s">
        <v>18095</v>
      </c>
      <c r="K935" t="s">
        <v>74</v>
      </c>
      <c r="L935" t="s">
        <v>74</v>
      </c>
      <c r="M935" t="s">
        <v>78</v>
      </c>
      <c r="N935" t="s">
        <v>79</v>
      </c>
      <c r="O935" t="s">
        <v>74</v>
      </c>
      <c r="P935" t="s">
        <v>74</v>
      </c>
      <c r="Q935" t="s">
        <v>74</v>
      </c>
      <c r="R935" t="s">
        <v>74</v>
      </c>
      <c r="S935" t="s">
        <v>74</v>
      </c>
      <c r="T935" t="s">
        <v>18096</v>
      </c>
      <c r="U935" t="s">
        <v>18097</v>
      </c>
      <c r="V935" t="s">
        <v>18098</v>
      </c>
      <c r="W935" t="s">
        <v>18099</v>
      </c>
      <c r="X935" t="s">
        <v>18100</v>
      </c>
      <c r="Y935" t="s">
        <v>8934</v>
      </c>
      <c r="Z935" t="s">
        <v>8935</v>
      </c>
      <c r="AA935" t="s">
        <v>18101</v>
      </c>
      <c r="AB935" t="s">
        <v>18102</v>
      </c>
      <c r="AC935" t="s">
        <v>18103</v>
      </c>
      <c r="AD935" t="s">
        <v>18104</v>
      </c>
      <c r="AE935" t="s">
        <v>18105</v>
      </c>
      <c r="AF935" t="s">
        <v>74</v>
      </c>
      <c r="AG935">
        <v>46</v>
      </c>
      <c r="AH935">
        <v>12</v>
      </c>
      <c r="AI935">
        <v>12</v>
      </c>
      <c r="AJ935">
        <v>9</v>
      </c>
      <c r="AK935">
        <v>31</v>
      </c>
      <c r="AL935" t="s">
        <v>847</v>
      </c>
      <c r="AM935" t="s">
        <v>848</v>
      </c>
      <c r="AN935" t="s">
        <v>849</v>
      </c>
      <c r="AO935" t="s">
        <v>18106</v>
      </c>
      <c r="AP935" t="s">
        <v>18107</v>
      </c>
      <c r="AQ935" t="s">
        <v>74</v>
      </c>
      <c r="AR935" t="s">
        <v>18108</v>
      </c>
      <c r="AS935" t="s">
        <v>18109</v>
      </c>
      <c r="AT935" t="s">
        <v>18110</v>
      </c>
      <c r="AU935">
        <v>2021</v>
      </c>
      <c r="AV935">
        <v>1181</v>
      </c>
      <c r="AW935" t="s">
        <v>74</v>
      </c>
      <c r="AX935" t="s">
        <v>74</v>
      </c>
      <c r="AY935" t="s">
        <v>74</v>
      </c>
      <c r="AZ935" t="s">
        <v>74</v>
      </c>
      <c r="BA935" t="s">
        <v>74</v>
      </c>
      <c r="BB935" t="s">
        <v>74</v>
      </c>
      <c r="BC935" t="s">
        <v>74</v>
      </c>
      <c r="BD935">
        <v>338947</v>
      </c>
      <c r="BE935" t="s">
        <v>18111</v>
      </c>
      <c r="BF935" t="str">
        <f>HYPERLINK("http://dx.doi.org/10.1016/j.aca.2021.338947","http://dx.doi.org/10.1016/j.aca.2021.338947")</f>
        <v>http://dx.doi.org/10.1016/j.aca.2021.338947</v>
      </c>
      <c r="BG935" t="s">
        <v>74</v>
      </c>
      <c r="BH935" t="s">
        <v>16043</v>
      </c>
      <c r="BI935">
        <v>9</v>
      </c>
      <c r="BJ935" t="s">
        <v>18112</v>
      </c>
      <c r="BK935" t="s">
        <v>101</v>
      </c>
      <c r="BL935" t="s">
        <v>18113</v>
      </c>
      <c r="BM935" t="s">
        <v>18114</v>
      </c>
      <c r="BN935">
        <v>34556213</v>
      </c>
      <c r="BO935" t="s">
        <v>314</v>
      </c>
      <c r="BP935" t="s">
        <v>74</v>
      </c>
      <c r="BQ935" t="s">
        <v>74</v>
      </c>
      <c r="BR935" t="s">
        <v>105</v>
      </c>
      <c r="BS935" t="s">
        <v>18115</v>
      </c>
      <c r="BT935" t="str">
        <f>HYPERLINK("https%3A%2F%2Fwww.webofscience.com%2Fwos%2Fwoscc%2Ffull-record%2FWOS:000695000500013","View Full Record in Web of Science")</f>
        <v>View Full Record in Web of Science</v>
      </c>
    </row>
    <row r="936" spans="1:72" x14ac:dyDescent="0.15">
      <c r="A936" t="s">
        <v>72</v>
      </c>
      <c r="B936" t="s">
        <v>18116</v>
      </c>
      <c r="C936" t="s">
        <v>74</v>
      </c>
      <c r="D936" t="s">
        <v>74</v>
      </c>
      <c r="E936" t="s">
        <v>74</v>
      </c>
      <c r="F936" t="s">
        <v>18117</v>
      </c>
      <c r="G936" t="s">
        <v>74</v>
      </c>
      <c r="H936" t="s">
        <v>74</v>
      </c>
      <c r="I936" t="s">
        <v>18118</v>
      </c>
      <c r="J936" t="s">
        <v>6211</v>
      </c>
      <c r="K936" t="s">
        <v>74</v>
      </c>
      <c r="L936" t="s">
        <v>74</v>
      </c>
      <c r="M936" t="s">
        <v>78</v>
      </c>
      <c r="N936" t="s">
        <v>79</v>
      </c>
      <c r="O936" t="s">
        <v>74</v>
      </c>
      <c r="P936" t="s">
        <v>74</v>
      </c>
      <c r="Q936" t="s">
        <v>74</v>
      </c>
      <c r="R936" t="s">
        <v>74</v>
      </c>
      <c r="S936" t="s">
        <v>74</v>
      </c>
      <c r="T936" t="s">
        <v>18119</v>
      </c>
      <c r="U936" t="s">
        <v>18120</v>
      </c>
      <c r="V936" t="s">
        <v>18121</v>
      </c>
      <c r="W936" t="s">
        <v>18122</v>
      </c>
      <c r="X936" t="s">
        <v>18123</v>
      </c>
      <c r="Y936" t="s">
        <v>18124</v>
      </c>
      <c r="Z936" t="s">
        <v>18125</v>
      </c>
      <c r="AA936" t="s">
        <v>74</v>
      </c>
      <c r="AB936" t="s">
        <v>74</v>
      </c>
      <c r="AC936" t="s">
        <v>18126</v>
      </c>
      <c r="AD936" t="s">
        <v>18127</v>
      </c>
      <c r="AE936" t="s">
        <v>18128</v>
      </c>
      <c r="AF936" t="s">
        <v>74</v>
      </c>
      <c r="AG936">
        <v>45</v>
      </c>
      <c r="AH936">
        <v>7</v>
      </c>
      <c r="AI936">
        <v>9</v>
      </c>
      <c r="AJ936">
        <v>6</v>
      </c>
      <c r="AK936">
        <v>32</v>
      </c>
      <c r="AL936" t="s">
        <v>847</v>
      </c>
      <c r="AM936" t="s">
        <v>848</v>
      </c>
      <c r="AN936" t="s">
        <v>849</v>
      </c>
      <c r="AO936" t="s">
        <v>6224</v>
      </c>
      <c r="AP936" t="s">
        <v>6225</v>
      </c>
      <c r="AQ936" t="s">
        <v>74</v>
      </c>
      <c r="AR936" t="s">
        <v>6226</v>
      </c>
      <c r="AS936" t="s">
        <v>6227</v>
      </c>
      <c r="AT936" t="s">
        <v>7760</v>
      </c>
      <c r="AU936">
        <v>2021</v>
      </c>
      <c r="AV936">
        <v>280</v>
      </c>
      <c r="AW936" t="s">
        <v>74</v>
      </c>
      <c r="AX936" t="s">
        <v>74</v>
      </c>
      <c r="AY936" t="s">
        <v>74</v>
      </c>
      <c r="AZ936" t="s">
        <v>74</v>
      </c>
      <c r="BA936" t="s">
        <v>74</v>
      </c>
      <c r="BB936" t="s">
        <v>74</v>
      </c>
      <c r="BC936" t="s">
        <v>74</v>
      </c>
      <c r="BD936">
        <v>115047</v>
      </c>
      <c r="BE936" t="s">
        <v>18129</v>
      </c>
      <c r="BF936" t="str">
        <f>HYPERLINK("http://dx.doi.org/10.1016/j.anifeedsci.2021.115047","http://dx.doi.org/10.1016/j.anifeedsci.2021.115047")</f>
        <v>http://dx.doi.org/10.1016/j.anifeedsci.2021.115047</v>
      </c>
      <c r="BG936" t="s">
        <v>74</v>
      </c>
      <c r="BH936" t="s">
        <v>16043</v>
      </c>
      <c r="BI936">
        <v>11</v>
      </c>
      <c r="BJ936" t="s">
        <v>6229</v>
      </c>
      <c r="BK936" t="s">
        <v>101</v>
      </c>
      <c r="BL936" t="s">
        <v>2154</v>
      </c>
      <c r="BM936" t="s">
        <v>18130</v>
      </c>
      <c r="BN936" t="s">
        <v>74</v>
      </c>
      <c r="BO936" t="s">
        <v>74</v>
      </c>
      <c r="BP936" t="s">
        <v>74</v>
      </c>
      <c r="BQ936" t="s">
        <v>74</v>
      </c>
      <c r="BR936" t="s">
        <v>105</v>
      </c>
      <c r="BS936" t="s">
        <v>18131</v>
      </c>
      <c r="BT936" t="str">
        <f>HYPERLINK("https%3A%2F%2Fwww.webofscience.com%2Fwos%2Fwoscc%2Ffull-record%2FWOS:000703431100015","View Full Record in Web of Science")</f>
        <v>View Full Record in Web of Science</v>
      </c>
    </row>
    <row r="937" spans="1:72" x14ac:dyDescent="0.15">
      <c r="A937" t="s">
        <v>72</v>
      </c>
      <c r="B937" t="s">
        <v>18132</v>
      </c>
      <c r="C937" t="s">
        <v>74</v>
      </c>
      <c r="D937" t="s">
        <v>74</v>
      </c>
      <c r="E937" t="s">
        <v>74</v>
      </c>
      <c r="F937" t="s">
        <v>18133</v>
      </c>
      <c r="G937" t="s">
        <v>74</v>
      </c>
      <c r="H937" t="s">
        <v>74</v>
      </c>
      <c r="I937" t="s">
        <v>18134</v>
      </c>
      <c r="J937" t="s">
        <v>747</v>
      </c>
      <c r="K937" t="s">
        <v>74</v>
      </c>
      <c r="L937" t="s">
        <v>74</v>
      </c>
      <c r="M937" t="s">
        <v>78</v>
      </c>
      <c r="N937" t="s">
        <v>79</v>
      </c>
      <c r="O937" t="s">
        <v>74</v>
      </c>
      <c r="P937" t="s">
        <v>74</v>
      </c>
      <c r="Q937" t="s">
        <v>74</v>
      </c>
      <c r="R937" t="s">
        <v>74</v>
      </c>
      <c r="S937" t="s">
        <v>74</v>
      </c>
      <c r="T937" t="s">
        <v>18135</v>
      </c>
      <c r="U937" t="s">
        <v>18136</v>
      </c>
      <c r="V937" t="s">
        <v>18137</v>
      </c>
      <c r="W937" t="s">
        <v>18138</v>
      </c>
      <c r="X937" t="s">
        <v>16389</v>
      </c>
      <c r="Y937" t="s">
        <v>18139</v>
      </c>
      <c r="Z937" t="s">
        <v>18140</v>
      </c>
      <c r="AA937" t="s">
        <v>9285</v>
      </c>
      <c r="AB937" t="s">
        <v>18141</v>
      </c>
      <c r="AC937" t="s">
        <v>18142</v>
      </c>
      <c r="AD937" t="s">
        <v>18143</v>
      </c>
      <c r="AE937" t="s">
        <v>18144</v>
      </c>
      <c r="AF937" t="s">
        <v>74</v>
      </c>
      <c r="AG937">
        <v>57</v>
      </c>
      <c r="AH937">
        <v>13</v>
      </c>
      <c r="AI937">
        <v>13</v>
      </c>
      <c r="AJ937">
        <v>1</v>
      </c>
      <c r="AK937">
        <v>3</v>
      </c>
      <c r="AL937" t="s">
        <v>760</v>
      </c>
      <c r="AM937" t="s">
        <v>438</v>
      </c>
      <c r="AN937" t="s">
        <v>761</v>
      </c>
      <c r="AO937" t="s">
        <v>762</v>
      </c>
      <c r="AP937" t="s">
        <v>763</v>
      </c>
      <c r="AQ937" t="s">
        <v>74</v>
      </c>
      <c r="AR937" t="s">
        <v>764</v>
      </c>
      <c r="AS937" t="s">
        <v>765</v>
      </c>
      <c r="AT937" t="s">
        <v>18088</v>
      </c>
      <c r="AU937">
        <v>2021</v>
      </c>
      <c r="AV937">
        <v>48</v>
      </c>
      <c r="AW937">
        <v>15</v>
      </c>
      <c r="AX937" t="s">
        <v>74</v>
      </c>
      <c r="AY937" t="s">
        <v>74</v>
      </c>
      <c r="AZ937" t="s">
        <v>74</v>
      </c>
      <c r="BA937" t="s">
        <v>74</v>
      </c>
      <c r="BB937" t="s">
        <v>74</v>
      </c>
      <c r="BC937" t="s">
        <v>74</v>
      </c>
      <c r="BD937" t="s">
        <v>18145</v>
      </c>
      <c r="BE937" t="s">
        <v>18146</v>
      </c>
      <c r="BF937" t="str">
        <f>HYPERLINK("http://dx.doi.org/10.1029/2021GL093987","http://dx.doi.org/10.1029/2021GL093987")</f>
        <v>http://dx.doi.org/10.1029/2021GL093987</v>
      </c>
      <c r="BG937" t="s">
        <v>74</v>
      </c>
      <c r="BH937" t="s">
        <v>74</v>
      </c>
      <c r="BI937">
        <v>10</v>
      </c>
      <c r="BJ937" t="s">
        <v>236</v>
      </c>
      <c r="BK937" t="s">
        <v>101</v>
      </c>
      <c r="BL937" t="s">
        <v>237</v>
      </c>
      <c r="BM937" t="s">
        <v>18147</v>
      </c>
      <c r="BN937" t="s">
        <v>74</v>
      </c>
      <c r="BO937" t="s">
        <v>4323</v>
      </c>
      <c r="BP937" t="s">
        <v>74</v>
      </c>
      <c r="BQ937" t="s">
        <v>74</v>
      </c>
      <c r="BR937" t="s">
        <v>105</v>
      </c>
      <c r="BS937" t="s">
        <v>18148</v>
      </c>
      <c r="BT937" t="str">
        <f>HYPERLINK("https%3A%2F%2Fwww.webofscience.com%2Fwos%2Fwoscc%2Ffull-record%2FWOS:000683512200024","View Full Record in Web of Science")</f>
        <v>View Full Record in Web of Science</v>
      </c>
    </row>
    <row r="938" spans="1:72" x14ac:dyDescent="0.15">
      <c r="A938" t="s">
        <v>72</v>
      </c>
      <c r="B938" t="s">
        <v>18149</v>
      </c>
      <c r="C938" t="s">
        <v>74</v>
      </c>
      <c r="D938" t="s">
        <v>74</v>
      </c>
      <c r="E938" t="s">
        <v>74</v>
      </c>
      <c r="F938" t="s">
        <v>18150</v>
      </c>
      <c r="G938" t="s">
        <v>74</v>
      </c>
      <c r="H938" t="s">
        <v>74</v>
      </c>
      <c r="I938" t="s">
        <v>18151</v>
      </c>
      <c r="J938" t="s">
        <v>747</v>
      </c>
      <c r="K938" t="s">
        <v>74</v>
      </c>
      <c r="L938" t="s">
        <v>74</v>
      </c>
      <c r="M938" t="s">
        <v>78</v>
      </c>
      <c r="N938" t="s">
        <v>79</v>
      </c>
      <c r="O938" t="s">
        <v>74</v>
      </c>
      <c r="P938" t="s">
        <v>74</v>
      </c>
      <c r="Q938" t="s">
        <v>74</v>
      </c>
      <c r="R938" t="s">
        <v>74</v>
      </c>
      <c r="S938" t="s">
        <v>74</v>
      </c>
      <c r="T938" t="s">
        <v>18152</v>
      </c>
      <c r="U938" t="s">
        <v>18153</v>
      </c>
      <c r="V938" t="s">
        <v>18154</v>
      </c>
      <c r="W938" t="s">
        <v>18155</v>
      </c>
      <c r="X938" t="s">
        <v>18156</v>
      </c>
      <c r="Y938" t="s">
        <v>18157</v>
      </c>
      <c r="Z938" t="s">
        <v>18158</v>
      </c>
      <c r="AA938" t="s">
        <v>74</v>
      </c>
      <c r="AB938" t="s">
        <v>18159</v>
      </c>
      <c r="AC938" t="s">
        <v>18160</v>
      </c>
      <c r="AD938" t="s">
        <v>946</v>
      </c>
      <c r="AE938" t="s">
        <v>18161</v>
      </c>
      <c r="AF938" t="s">
        <v>74</v>
      </c>
      <c r="AG938">
        <v>43</v>
      </c>
      <c r="AH938">
        <v>7</v>
      </c>
      <c r="AI938">
        <v>7</v>
      </c>
      <c r="AJ938">
        <v>1</v>
      </c>
      <c r="AK938">
        <v>14</v>
      </c>
      <c r="AL938" t="s">
        <v>760</v>
      </c>
      <c r="AM938" t="s">
        <v>438</v>
      </c>
      <c r="AN938" t="s">
        <v>761</v>
      </c>
      <c r="AO938" t="s">
        <v>762</v>
      </c>
      <c r="AP938" t="s">
        <v>763</v>
      </c>
      <c r="AQ938" t="s">
        <v>74</v>
      </c>
      <c r="AR938" t="s">
        <v>764</v>
      </c>
      <c r="AS938" t="s">
        <v>765</v>
      </c>
      <c r="AT938" t="s">
        <v>18088</v>
      </c>
      <c r="AU938">
        <v>2021</v>
      </c>
      <c r="AV938">
        <v>48</v>
      </c>
      <c r="AW938">
        <v>15</v>
      </c>
      <c r="AX938" t="s">
        <v>74</v>
      </c>
      <c r="AY938" t="s">
        <v>74</v>
      </c>
      <c r="AZ938" t="s">
        <v>74</v>
      </c>
      <c r="BA938" t="s">
        <v>74</v>
      </c>
      <c r="BB938" t="s">
        <v>74</v>
      </c>
      <c r="BC938" t="s">
        <v>74</v>
      </c>
      <c r="BD938" t="s">
        <v>18162</v>
      </c>
      <c r="BE938" t="s">
        <v>18163</v>
      </c>
      <c r="BF938" t="str">
        <f>HYPERLINK("http://dx.doi.org/10.1029/2021GL092779","http://dx.doi.org/10.1029/2021GL092779")</f>
        <v>http://dx.doi.org/10.1029/2021GL092779</v>
      </c>
      <c r="BG938" t="s">
        <v>74</v>
      </c>
      <c r="BH938" t="s">
        <v>74</v>
      </c>
      <c r="BI938">
        <v>13</v>
      </c>
      <c r="BJ938" t="s">
        <v>236</v>
      </c>
      <c r="BK938" t="s">
        <v>101</v>
      </c>
      <c r="BL938" t="s">
        <v>237</v>
      </c>
      <c r="BM938" t="s">
        <v>18147</v>
      </c>
      <c r="BN938" t="s">
        <v>74</v>
      </c>
      <c r="BO938" t="s">
        <v>582</v>
      </c>
      <c r="BP938" t="s">
        <v>74</v>
      </c>
      <c r="BQ938" t="s">
        <v>74</v>
      </c>
      <c r="BR938" t="s">
        <v>105</v>
      </c>
      <c r="BS938" t="s">
        <v>18164</v>
      </c>
      <c r="BT938" t="str">
        <f>HYPERLINK("https%3A%2F%2Fwww.webofscience.com%2Fwos%2Fwoscc%2Ffull-record%2FWOS:000683512200052","View Full Record in Web of Science")</f>
        <v>View Full Record in Web of Science</v>
      </c>
    </row>
    <row r="939" spans="1:72" x14ac:dyDescent="0.15">
      <c r="A939" t="s">
        <v>72</v>
      </c>
      <c r="B939" t="s">
        <v>18165</v>
      </c>
      <c r="C939" t="s">
        <v>74</v>
      </c>
      <c r="D939" t="s">
        <v>74</v>
      </c>
      <c r="E939" t="s">
        <v>74</v>
      </c>
      <c r="F939" t="s">
        <v>18166</v>
      </c>
      <c r="G939" t="s">
        <v>74</v>
      </c>
      <c r="H939" t="s">
        <v>74</v>
      </c>
      <c r="I939" t="s">
        <v>18167</v>
      </c>
      <c r="J939" t="s">
        <v>12000</v>
      </c>
      <c r="K939" t="s">
        <v>74</v>
      </c>
      <c r="L939" t="s">
        <v>74</v>
      </c>
      <c r="M939" t="s">
        <v>78</v>
      </c>
      <c r="N939" t="s">
        <v>79</v>
      </c>
      <c r="O939" t="s">
        <v>74</v>
      </c>
      <c r="P939" t="s">
        <v>74</v>
      </c>
      <c r="Q939" t="s">
        <v>74</v>
      </c>
      <c r="R939" t="s">
        <v>74</v>
      </c>
      <c r="S939" t="s">
        <v>74</v>
      </c>
      <c r="T939" t="s">
        <v>18168</v>
      </c>
      <c r="U939" t="s">
        <v>18169</v>
      </c>
      <c r="V939" t="s">
        <v>18170</v>
      </c>
      <c r="W939" t="s">
        <v>18171</v>
      </c>
      <c r="X939" t="s">
        <v>18172</v>
      </c>
      <c r="Y939" t="s">
        <v>18173</v>
      </c>
      <c r="Z939" t="s">
        <v>18174</v>
      </c>
      <c r="AA939" t="s">
        <v>18175</v>
      </c>
      <c r="AB939" t="s">
        <v>18176</v>
      </c>
      <c r="AC939" t="s">
        <v>18177</v>
      </c>
      <c r="AD939" t="s">
        <v>18178</v>
      </c>
      <c r="AE939" t="s">
        <v>18179</v>
      </c>
      <c r="AF939" t="s">
        <v>74</v>
      </c>
      <c r="AG939">
        <v>177</v>
      </c>
      <c r="AH939">
        <v>4</v>
      </c>
      <c r="AI939">
        <v>4</v>
      </c>
      <c r="AJ939">
        <v>0</v>
      </c>
      <c r="AK939">
        <v>18</v>
      </c>
      <c r="AL939" t="s">
        <v>9264</v>
      </c>
      <c r="AM939" t="s">
        <v>9265</v>
      </c>
      <c r="AN939" t="s">
        <v>9266</v>
      </c>
      <c r="AO939" t="s">
        <v>12013</v>
      </c>
      <c r="AP939" t="s">
        <v>12014</v>
      </c>
      <c r="AQ939" t="s">
        <v>74</v>
      </c>
      <c r="AR939" t="s">
        <v>12015</v>
      </c>
      <c r="AS939" t="s">
        <v>12016</v>
      </c>
      <c r="AT939" t="s">
        <v>18088</v>
      </c>
      <c r="AU939">
        <v>2021</v>
      </c>
      <c r="AV939">
        <v>9</v>
      </c>
      <c r="AW939" t="s">
        <v>74</v>
      </c>
      <c r="AX939" t="s">
        <v>74</v>
      </c>
      <c r="AY939" t="s">
        <v>74</v>
      </c>
      <c r="AZ939" t="s">
        <v>74</v>
      </c>
      <c r="BA939" t="s">
        <v>74</v>
      </c>
      <c r="BB939" t="s">
        <v>74</v>
      </c>
      <c r="BC939" t="s">
        <v>74</v>
      </c>
      <c r="BD939" t="s">
        <v>18180</v>
      </c>
      <c r="BE939" t="s">
        <v>18181</v>
      </c>
      <c r="BF939" t="str">
        <f>HYPERLINK("http://dx.doi.org/10.3897/BDJ.9.e69374","http://dx.doi.org/10.3897/BDJ.9.e69374")</f>
        <v>http://dx.doi.org/10.3897/BDJ.9.e69374</v>
      </c>
      <c r="BG939" t="s">
        <v>74</v>
      </c>
      <c r="BH939" t="s">
        <v>74</v>
      </c>
      <c r="BI939">
        <v>52</v>
      </c>
      <c r="BJ939" t="s">
        <v>9674</v>
      </c>
      <c r="BK939" t="s">
        <v>101</v>
      </c>
      <c r="BL939" t="s">
        <v>9675</v>
      </c>
      <c r="BM939" t="s">
        <v>18182</v>
      </c>
      <c r="BN939">
        <v>34475799</v>
      </c>
      <c r="BO939" t="s">
        <v>394</v>
      </c>
      <c r="BP939" t="s">
        <v>74</v>
      </c>
      <c r="BQ939" t="s">
        <v>74</v>
      </c>
      <c r="BR939" t="s">
        <v>105</v>
      </c>
      <c r="BS939" t="s">
        <v>18183</v>
      </c>
      <c r="BT939" t="str">
        <f>HYPERLINK("https%3A%2F%2Fwww.webofscience.com%2Fwos%2Fwoscc%2Ffull-record%2FWOS:000685541000001","View Full Record in Web of Science")</f>
        <v>View Full Record in Web of Science</v>
      </c>
    </row>
    <row r="940" spans="1:72" x14ac:dyDescent="0.15">
      <c r="A940" t="s">
        <v>72</v>
      </c>
      <c r="B940" t="s">
        <v>18184</v>
      </c>
      <c r="C940" t="s">
        <v>74</v>
      </c>
      <c r="D940" t="s">
        <v>74</v>
      </c>
      <c r="E940" t="s">
        <v>74</v>
      </c>
      <c r="F940" t="s">
        <v>18185</v>
      </c>
      <c r="G940" t="s">
        <v>74</v>
      </c>
      <c r="H940" t="s">
        <v>74</v>
      </c>
      <c r="I940" t="s">
        <v>18186</v>
      </c>
      <c r="J940" t="s">
        <v>12082</v>
      </c>
      <c r="K940" t="s">
        <v>74</v>
      </c>
      <c r="L940" t="s">
        <v>74</v>
      </c>
      <c r="M940" t="s">
        <v>78</v>
      </c>
      <c r="N940" t="s">
        <v>79</v>
      </c>
      <c r="O940" t="s">
        <v>74</v>
      </c>
      <c r="P940" t="s">
        <v>74</v>
      </c>
      <c r="Q940" t="s">
        <v>74</v>
      </c>
      <c r="R940" t="s">
        <v>74</v>
      </c>
      <c r="S940" t="s">
        <v>74</v>
      </c>
      <c r="T940" t="s">
        <v>74</v>
      </c>
      <c r="U940" t="s">
        <v>18187</v>
      </c>
      <c r="V940" t="s">
        <v>18188</v>
      </c>
      <c r="W940" t="s">
        <v>18189</v>
      </c>
      <c r="X940" t="s">
        <v>18190</v>
      </c>
      <c r="Y940" t="s">
        <v>18191</v>
      </c>
      <c r="Z940" t="s">
        <v>18192</v>
      </c>
      <c r="AA940" t="s">
        <v>18193</v>
      </c>
      <c r="AB940" t="s">
        <v>18194</v>
      </c>
      <c r="AC940" t="s">
        <v>18195</v>
      </c>
      <c r="AD940" t="s">
        <v>18196</v>
      </c>
      <c r="AE940" t="s">
        <v>18197</v>
      </c>
      <c r="AF940" t="s">
        <v>74</v>
      </c>
      <c r="AG940">
        <v>184</v>
      </c>
      <c r="AH940">
        <v>57</v>
      </c>
      <c r="AI940">
        <v>60</v>
      </c>
      <c r="AJ940">
        <v>18</v>
      </c>
      <c r="AK940">
        <v>108</v>
      </c>
      <c r="AL940" t="s">
        <v>492</v>
      </c>
      <c r="AM940" t="s">
        <v>493</v>
      </c>
      <c r="AN940" t="s">
        <v>494</v>
      </c>
      <c r="AO940" t="s">
        <v>12094</v>
      </c>
      <c r="AP940" t="s">
        <v>74</v>
      </c>
      <c r="AQ940" t="s">
        <v>74</v>
      </c>
      <c r="AR940" t="s">
        <v>12095</v>
      </c>
      <c r="AS940" t="s">
        <v>12096</v>
      </c>
      <c r="AT940" t="s">
        <v>7760</v>
      </c>
      <c r="AU940">
        <v>2021</v>
      </c>
      <c r="AV940">
        <v>5</v>
      </c>
      <c r="AW940">
        <v>10</v>
      </c>
      <c r="AX940" t="s">
        <v>74</v>
      </c>
      <c r="AY940" t="s">
        <v>74</v>
      </c>
      <c r="AZ940" t="s">
        <v>74</v>
      </c>
      <c r="BA940" t="s">
        <v>74</v>
      </c>
      <c r="BB940">
        <v>1338</v>
      </c>
      <c r="BC940">
        <v>1349</v>
      </c>
      <c r="BD940" t="s">
        <v>74</v>
      </c>
      <c r="BE940" t="s">
        <v>18198</v>
      </c>
      <c r="BF940" t="str">
        <f>HYPERLINK("http://dx.doi.org/10.1038/s41559-021-01538-5","http://dx.doi.org/10.1038/s41559-021-01538-5")</f>
        <v>http://dx.doi.org/10.1038/s41559-021-01538-5</v>
      </c>
      <c r="BG940" t="s">
        <v>74</v>
      </c>
      <c r="BH940" t="s">
        <v>16043</v>
      </c>
      <c r="BI940">
        <v>12</v>
      </c>
      <c r="BJ940" t="s">
        <v>579</v>
      </c>
      <c r="BK940" t="s">
        <v>101</v>
      </c>
      <c r="BL940" t="s">
        <v>580</v>
      </c>
      <c r="BM940" t="s">
        <v>18199</v>
      </c>
      <c r="BN940">
        <v>34400825</v>
      </c>
      <c r="BO940" t="s">
        <v>419</v>
      </c>
      <c r="BP940" t="s">
        <v>74</v>
      </c>
      <c r="BQ940" t="s">
        <v>74</v>
      </c>
      <c r="BR940" t="s">
        <v>105</v>
      </c>
      <c r="BS940" t="s">
        <v>18200</v>
      </c>
      <c r="BT940" t="str">
        <f>HYPERLINK("https%3A%2F%2Fwww.webofscience.com%2Fwos%2Fwoscc%2Ffull-record%2FWOS:000685396100002","View Full Record in Web of Science")</f>
        <v>View Full Record in Web of Science</v>
      </c>
    </row>
    <row r="941" spans="1:72" x14ac:dyDescent="0.15">
      <c r="A941" t="s">
        <v>72</v>
      </c>
      <c r="B941" t="s">
        <v>18201</v>
      </c>
      <c r="C941" t="s">
        <v>74</v>
      </c>
      <c r="D941" t="s">
        <v>74</v>
      </c>
      <c r="E941" t="s">
        <v>74</v>
      </c>
      <c r="F941" t="s">
        <v>18202</v>
      </c>
      <c r="G941" t="s">
        <v>74</v>
      </c>
      <c r="H941" t="s">
        <v>74</v>
      </c>
      <c r="I941" t="s">
        <v>18203</v>
      </c>
      <c r="J941" t="s">
        <v>659</v>
      </c>
      <c r="K941" t="s">
        <v>74</v>
      </c>
      <c r="L941" t="s">
        <v>74</v>
      </c>
      <c r="M941" t="s">
        <v>78</v>
      </c>
      <c r="N941" t="s">
        <v>79</v>
      </c>
      <c r="O941" t="s">
        <v>74</v>
      </c>
      <c r="P941" t="s">
        <v>74</v>
      </c>
      <c r="Q941" t="s">
        <v>74</v>
      </c>
      <c r="R941" t="s">
        <v>74</v>
      </c>
      <c r="S941" t="s">
        <v>74</v>
      </c>
      <c r="T941" t="s">
        <v>18204</v>
      </c>
      <c r="U941" t="s">
        <v>74</v>
      </c>
      <c r="V941" t="s">
        <v>18205</v>
      </c>
      <c r="W941" t="s">
        <v>18206</v>
      </c>
      <c r="X941" t="s">
        <v>18207</v>
      </c>
      <c r="Y941" t="s">
        <v>18208</v>
      </c>
      <c r="Z941" t="s">
        <v>18209</v>
      </c>
      <c r="AA941" t="s">
        <v>74</v>
      </c>
      <c r="AB941" t="s">
        <v>74</v>
      </c>
      <c r="AC941" t="s">
        <v>74</v>
      </c>
      <c r="AD941" t="s">
        <v>74</v>
      </c>
      <c r="AE941" t="s">
        <v>74</v>
      </c>
      <c r="AF941" t="s">
        <v>74</v>
      </c>
      <c r="AG941">
        <v>53</v>
      </c>
      <c r="AH941">
        <v>0</v>
      </c>
      <c r="AI941">
        <v>0</v>
      </c>
      <c r="AJ941">
        <v>0</v>
      </c>
      <c r="AK941">
        <v>5</v>
      </c>
      <c r="AL941" t="s">
        <v>666</v>
      </c>
      <c r="AM941" t="s">
        <v>170</v>
      </c>
      <c r="AN941" t="s">
        <v>667</v>
      </c>
      <c r="AO941" t="s">
        <v>668</v>
      </c>
      <c r="AP941" t="s">
        <v>669</v>
      </c>
      <c r="AQ941" t="s">
        <v>74</v>
      </c>
      <c r="AR941" t="s">
        <v>670</v>
      </c>
      <c r="AS941" t="s">
        <v>671</v>
      </c>
      <c r="AT941" t="s">
        <v>18088</v>
      </c>
      <c r="AU941">
        <v>2021</v>
      </c>
      <c r="AV941">
        <v>57</v>
      </c>
      <c r="AW941" t="s">
        <v>74</v>
      </c>
      <c r="AX941" t="s">
        <v>74</v>
      </c>
      <c r="AY941" t="s">
        <v>74</v>
      </c>
      <c r="AZ941" t="s">
        <v>74</v>
      </c>
      <c r="BA941" t="s">
        <v>74</v>
      </c>
      <c r="BB941" t="s">
        <v>74</v>
      </c>
      <c r="BC941" t="s">
        <v>74</v>
      </c>
      <c r="BD941" t="s">
        <v>18210</v>
      </c>
      <c r="BE941" t="s">
        <v>18211</v>
      </c>
      <c r="BF941" t="str">
        <f>HYPERLINK("http://dx.doi.org/10.1017/S0032247421000279","http://dx.doi.org/10.1017/S0032247421000279")</f>
        <v>http://dx.doi.org/10.1017/S0032247421000279</v>
      </c>
      <c r="BG941" t="s">
        <v>74</v>
      </c>
      <c r="BH941" t="s">
        <v>74</v>
      </c>
      <c r="BI941">
        <v>11</v>
      </c>
      <c r="BJ941" t="s">
        <v>674</v>
      </c>
      <c r="BK941" t="s">
        <v>101</v>
      </c>
      <c r="BL941" t="s">
        <v>630</v>
      </c>
      <c r="BM941" t="s">
        <v>18212</v>
      </c>
      <c r="BN941" t="s">
        <v>74</v>
      </c>
      <c r="BO941" t="s">
        <v>74</v>
      </c>
      <c r="BP941" t="s">
        <v>74</v>
      </c>
      <c r="BQ941" t="s">
        <v>74</v>
      </c>
      <c r="BR941" t="s">
        <v>105</v>
      </c>
      <c r="BS941" t="s">
        <v>18213</v>
      </c>
      <c r="BT941" t="str">
        <f>HYPERLINK("https%3A%2F%2Fwww.webofscience.com%2Fwos%2Fwoscc%2Ffull-record%2FWOS:000685832700001","View Full Record in Web of Science")</f>
        <v>View Full Record in Web of Science</v>
      </c>
    </row>
    <row r="942" spans="1:72" x14ac:dyDescent="0.15">
      <c r="A942" t="s">
        <v>72</v>
      </c>
      <c r="B942" t="s">
        <v>18214</v>
      </c>
      <c r="C942" t="s">
        <v>74</v>
      </c>
      <c r="D942" t="s">
        <v>74</v>
      </c>
      <c r="E942" t="s">
        <v>74</v>
      </c>
      <c r="F942" t="s">
        <v>18215</v>
      </c>
      <c r="G942" t="s">
        <v>74</v>
      </c>
      <c r="H942" t="s">
        <v>74</v>
      </c>
      <c r="I942" t="s">
        <v>18216</v>
      </c>
      <c r="J942" t="s">
        <v>18217</v>
      </c>
      <c r="K942" t="s">
        <v>74</v>
      </c>
      <c r="L942" t="s">
        <v>74</v>
      </c>
      <c r="M942" t="s">
        <v>78</v>
      </c>
      <c r="N942" t="s">
        <v>111</v>
      </c>
      <c r="O942" t="s">
        <v>74</v>
      </c>
      <c r="P942" t="s">
        <v>74</v>
      </c>
      <c r="Q942" t="s">
        <v>74</v>
      </c>
      <c r="R942" t="s">
        <v>74</v>
      </c>
      <c r="S942" t="s">
        <v>74</v>
      </c>
      <c r="T942" t="s">
        <v>18218</v>
      </c>
      <c r="U942" t="s">
        <v>74</v>
      </c>
      <c r="V942" t="s">
        <v>18219</v>
      </c>
      <c r="W942" t="s">
        <v>18220</v>
      </c>
      <c r="X942" t="s">
        <v>18221</v>
      </c>
      <c r="Y942" t="s">
        <v>18222</v>
      </c>
      <c r="Z942" t="s">
        <v>18223</v>
      </c>
      <c r="AA942" t="s">
        <v>18224</v>
      </c>
      <c r="AB942" t="s">
        <v>74</v>
      </c>
      <c r="AC942" t="s">
        <v>18225</v>
      </c>
      <c r="AD942" t="s">
        <v>18226</v>
      </c>
      <c r="AE942" t="s">
        <v>18227</v>
      </c>
      <c r="AF942" t="s">
        <v>74</v>
      </c>
      <c r="AG942">
        <v>1</v>
      </c>
      <c r="AH942">
        <v>0</v>
      </c>
      <c r="AI942">
        <v>0</v>
      </c>
      <c r="AJ942">
        <v>1</v>
      </c>
      <c r="AK942">
        <v>2</v>
      </c>
      <c r="AL942" t="s">
        <v>18228</v>
      </c>
      <c r="AM942" t="s">
        <v>18229</v>
      </c>
      <c r="AN942" t="s">
        <v>18230</v>
      </c>
      <c r="AO942" t="s">
        <v>18231</v>
      </c>
      <c r="AP942" t="s">
        <v>74</v>
      </c>
      <c r="AQ942" t="s">
        <v>74</v>
      </c>
      <c r="AR942" t="s">
        <v>18232</v>
      </c>
      <c r="AS942" t="s">
        <v>18233</v>
      </c>
      <c r="AT942" t="s">
        <v>18088</v>
      </c>
      <c r="AU942">
        <v>2021</v>
      </c>
      <c r="AV942">
        <v>11</v>
      </c>
      <c r="AW942" t="s">
        <v>74</v>
      </c>
      <c r="AX942" t="s">
        <v>74</v>
      </c>
      <c r="AY942" t="s">
        <v>74</v>
      </c>
      <c r="AZ942" t="s">
        <v>74</v>
      </c>
      <c r="BA942" t="s">
        <v>74</v>
      </c>
      <c r="BB942" t="s">
        <v>74</v>
      </c>
      <c r="BC942" t="s">
        <v>74</v>
      </c>
      <c r="BD942">
        <v>45</v>
      </c>
      <c r="BE942" t="s">
        <v>18234</v>
      </c>
      <c r="BF942" t="str">
        <f>HYPERLINK("http://dx.doi.org/10.1051/swsc/2021028","http://dx.doi.org/10.1051/swsc/2021028")</f>
        <v>http://dx.doi.org/10.1051/swsc/2021028</v>
      </c>
      <c r="BG942" t="s">
        <v>74</v>
      </c>
      <c r="BH942" t="s">
        <v>74</v>
      </c>
      <c r="BI942">
        <v>2</v>
      </c>
      <c r="BJ942" t="s">
        <v>5325</v>
      </c>
      <c r="BK942" t="s">
        <v>101</v>
      </c>
      <c r="BL942" t="s">
        <v>5325</v>
      </c>
      <c r="BM942" t="s">
        <v>18235</v>
      </c>
      <c r="BN942" t="s">
        <v>74</v>
      </c>
      <c r="BO942" t="s">
        <v>394</v>
      </c>
      <c r="BP942" t="s">
        <v>74</v>
      </c>
      <c r="BQ942" t="s">
        <v>74</v>
      </c>
      <c r="BR942" t="s">
        <v>105</v>
      </c>
      <c r="BS942" t="s">
        <v>18236</v>
      </c>
      <c r="BT942" t="str">
        <f>HYPERLINK("https%3A%2F%2Fwww.webofscience.com%2Fwos%2Fwoscc%2Ffull-record%2FWOS:000685162600001","View Full Record in Web of Science")</f>
        <v>View Full Record in Web of Science</v>
      </c>
    </row>
    <row r="943" spans="1:72" x14ac:dyDescent="0.15">
      <c r="A943" t="s">
        <v>72</v>
      </c>
      <c r="B943" t="s">
        <v>18237</v>
      </c>
      <c r="C943" t="s">
        <v>74</v>
      </c>
      <c r="D943" t="s">
        <v>74</v>
      </c>
      <c r="E943" t="s">
        <v>74</v>
      </c>
      <c r="F943" t="s">
        <v>18238</v>
      </c>
      <c r="G943" t="s">
        <v>74</v>
      </c>
      <c r="H943" t="s">
        <v>74</v>
      </c>
      <c r="I943" t="s">
        <v>18239</v>
      </c>
      <c r="J943" t="s">
        <v>886</v>
      </c>
      <c r="K943" t="s">
        <v>74</v>
      </c>
      <c r="L943" t="s">
        <v>74</v>
      </c>
      <c r="M943" t="s">
        <v>78</v>
      </c>
      <c r="N943" t="s">
        <v>79</v>
      </c>
      <c r="O943" t="s">
        <v>74</v>
      </c>
      <c r="P943" t="s">
        <v>74</v>
      </c>
      <c r="Q943" t="s">
        <v>74</v>
      </c>
      <c r="R943" t="s">
        <v>74</v>
      </c>
      <c r="S943" t="s">
        <v>74</v>
      </c>
      <c r="T943" t="s">
        <v>18240</v>
      </c>
      <c r="U943" t="s">
        <v>18241</v>
      </c>
      <c r="V943" t="s">
        <v>18242</v>
      </c>
      <c r="W943" t="s">
        <v>18243</v>
      </c>
      <c r="X943" t="s">
        <v>18244</v>
      </c>
      <c r="Y943" t="s">
        <v>18245</v>
      </c>
      <c r="Z943" t="s">
        <v>18246</v>
      </c>
      <c r="AA943" t="s">
        <v>18247</v>
      </c>
      <c r="AB943" t="s">
        <v>18248</v>
      </c>
      <c r="AC943" t="s">
        <v>18249</v>
      </c>
      <c r="AD943" t="s">
        <v>18250</v>
      </c>
      <c r="AE943" t="s">
        <v>18251</v>
      </c>
      <c r="AF943" t="s">
        <v>74</v>
      </c>
      <c r="AG943">
        <v>82</v>
      </c>
      <c r="AH943">
        <v>30</v>
      </c>
      <c r="AI943">
        <v>30</v>
      </c>
      <c r="AJ943">
        <v>15</v>
      </c>
      <c r="AK943">
        <v>101</v>
      </c>
      <c r="AL943" t="s">
        <v>760</v>
      </c>
      <c r="AM943" t="s">
        <v>438</v>
      </c>
      <c r="AN943" t="s">
        <v>761</v>
      </c>
      <c r="AO943" t="s">
        <v>899</v>
      </c>
      <c r="AP943" t="s">
        <v>900</v>
      </c>
      <c r="AQ943" t="s">
        <v>74</v>
      </c>
      <c r="AR943" t="s">
        <v>901</v>
      </c>
      <c r="AS943" t="s">
        <v>902</v>
      </c>
      <c r="AT943" t="s">
        <v>18088</v>
      </c>
      <c r="AU943">
        <v>2021</v>
      </c>
      <c r="AV943">
        <v>126</v>
      </c>
      <c r="AW943">
        <v>15</v>
      </c>
      <c r="AX943" t="s">
        <v>74</v>
      </c>
      <c r="AY943" t="s">
        <v>74</v>
      </c>
      <c r="AZ943" t="s">
        <v>74</v>
      </c>
      <c r="BA943" t="s">
        <v>74</v>
      </c>
      <c r="BB943" t="s">
        <v>74</v>
      </c>
      <c r="BC943" t="s">
        <v>74</v>
      </c>
      <c r="BD943" t="s">
        <v>18252</v>
      </c>
      <c r="BE943" t="s">
        <v>18253</v>
      </c>
      <c r="BF943" t="str">
        <f>HYPERLINK("http://dx.doi.org/10.1029/2020JD034111","http://dx.doi.org/10.1029/2020JD034111")</f>
        <v>http://dx.doi.org/10.1029/2020JD034111</v>
      </c>
      <c r="BG943" t="s">
        <v>74</v>
      </c>
      <c r="BH943" t="s">
        <v>74</v>
      </c>
      <c r="BI943">
        <v>19</v>
      </c>
      <c r="BJ943" t="s">
        <v>829</v>
      </c>
      <c r="BK943" t="s">
        <v>101</v>
      </c>
      <c r="BL943" t="s">
        <v>829</v>
      </c>
      <c r="BM943" t="s">
        <v>18254</v>
      </c>
      <c r="BN943" t="s">
        <v>74</v>
      </c>
      <c r="BO943" t="s">
        <v>74</v>
      </c>
      <c r="BP943" t="s">
        <v>74</v>
      </c>
      <c r="BQ943" t="s">
        <v>74</v>
      </c>
      <c r="BR943" t="s">
        <v>105</v>
      </c>
      <c r="BS943" t="s">
        <v>18255</v>
      </c>
      <c r="BT943" t="str">
        <f>HYPERLINK("https%3A%2F%2Fwww.webofscience.com%2Fwos%2Fwoscc%2Ffull-record%2FWOS:000683523400023","View Full Record in Web of Science")</f>
        <v>View Full Record in Web of Science</v>
      </c>
    </row>
    <row r="944" spans="1:72" x14ac:dyDescent="0.15">
      <c r="A944" t="s">
        <v>72</v>
      </c>
      <c r="B944" t="s">
        <v>18256</v>
      </c>
      <c r="C944" t="s">
        <v>74</v>
      </c>
      <c r="D944" t="s">
        <v>74</v>
      </c>
      <c r="E944" t="s">
        <v>74</v>
      </c>
      <c r="F944" t="s">
        <v>18257</v>
      </c>
      <c r="G944" t="s">
        <v>74</v>
      </c>
      <c r="H944" t="s">
        <v>74</v>
      </c>
      <c r="I944" t="s">
        <v>18258</v>
      </c>
      <c r="J944" t="s">
        <v>11692</v>
      </c>
      <c r="K944" t="s">
        <v>74</v>
      </c>
      <c r="L944" t="s">
        <v>74</v>
      </c>
      <c r="M944" t="s">
        <v>78</v>
      </c>
      <c r="N944" t="s">
        <v>1764</v>
      </c>
      <c r="O944" t="s">
        <v>74</v>
      </c>
      <c r="P944" t="s">
        <v>74</v>
      </c>
      <c r="Q944" t="s">
        <v>74</v>
      </c>
      <c r="R944" t="s">
        <v>74</v>
      </c>
      <c r="S944" t="s">
        <v>74</v>
      </c>
      <c r="T944" t="s">
        <v>18259</v>
      </c>
      <c r="U944" t="s">
        <v>74</v>
      </c>
      <c r="V944" t="s">
        <v>74</v>
      </c>
      <c r="W944" t="s">
        <v>18260</v>
      </c>
      <c r="X944" t="s">
        <v>18261</v>
      </c>
      <c r="Y944" t="s">
        <v>18262</v>
      </c>
      <c r="Z944" t="s">
        <v>18263</v>
      </c>
      <c r="AA944" t="s">
        <v>74</v>
      </c>
      <c r="AB944" t="s">
        <v>18264</v>
      </c>
      <c r="AC944" t="s">
        <v>18265</v>
      </c>
      <c r="AD944" t="s">
        <v>18266</v>
      </c>
      <c r="AE944" t="s">
        <v>18267</v>
      </c>
      <c r="AF944" t="s">
        <v>74</v>
      </c>
      <c r="AG944">
        <v>4</v>
      </c>
      <c r="AH944">
        <v>1</v>
      </c>
      <c r="AI944">
        <v>1</v>
      </c>
      <c r="AJ944">
        <v>4</v>
      </c>
      <c r="AK944">
        <v>5</v>
      </c>
      <c r="AL944" t="s">
        <v>383</v>
      </c>
      <c r="AM944" t="s">
        <v>384</v>
      </c>
      <c r="AN944" t="s">
        <v>385</v>
      </c>
      <c r="AO944" t="s">
        <v>74</v>
      </c>
      <c r="AP944" t="s">
        <v>11705</v>
      </c>
      <c r="AQ944" t="s">
        <v>74</v>
      </c>
      <c r="AR944" t="s">
        <v>11706</v>
      </c>
      <c r="AS944" t="s">
        <v>11707</v>
      </c>
      <c r="AT944" t="s">
        <v>18088</v>
      </c>
      <c r="AU944">
        <v>2021</v>
      </c>
      <c r="AV944">
        <v>3</v>
      </c>
      <c r="AW944" t="s">
        <v>74</v>
      </c>
      <c r="AX944" t="s">
        <v>74</v>
      </c>
      <c r="AY944" t="s">
        <v>74</v>
      </c>
      <c r="AZ944" t="s">
        <v>74</v>
      </c>
      <c r="BA944" t="s">
        <v>74</v>
      </c>
      <c r="BB944" t="s">
        <v>74</v>
      </c>
      <c r="BC944" t="s">
        <v>74</v>
      </c>
      <c r="BD944">
        <v>743816</v>
      </c>
      <c r="BE944" t="s">
        <v>18268</v>
      </c>
      <c r="BF944" t="str">
        <f>HYPERLINK("http://dx.doi.org/10.3389/fclim.2021.743816","http://dx.doi.org/10.3389/fclim.2021.743816")</f>
        <v>http://dx.doi.org/10.3389/fclim.2021.743816</v>
      </c>
      <c r="BG944" t="s">
        <v>74</v>
      </c>
      <c r="BH944" t="s">
        <v>74</v>
      </c>
      <c r="BI944">
        <v>3</v>
      </c>
      <c r="BJ944" t="s">
        <v>11709</v>
      </c>
      <c r="BK944" t="s">
        <v>1629</v>
      </c>
      <c r="BL944" t="s">
        <v>630</v>
      </c>
      <c r="BM944" t="s">
        <v>18269</v>
      </c>
      <c r="BN944" t="s">
        <v>74</v>
      </c>
      <c r="BO944" t="s">
        <v>720</v>
      </c>
      <c r="BP944" t="s">
        <v>74</v>
      </c>
      <c r="BQ944" t="s">
        <v>74</v>
      </c>
      <c r="BR944" t="s">
        <v>105</v>
      </c>
      <c r="BS944" t="s">
        <v>18270</v>
      </c>
      <c r="BT944" t="str">
        <f>HYPERLINK("https%3A%2F%2Fwww.webofscience.com%2Fwos%2Fwoscc%2Ffull-record%2FWOS:001023269400001","View Full Record in Web of Science")</f>
        <v>View Full Record in Web of Science</v>
      </c>
    </row>
    <row r="945" spans="1:72" x14ac:dyDescent="0.15">
      <c r="A945" t="s">
        <v>72</v>
      </c>
      <c r="B945" t="s">
        <v>18271</v>
      </c>
      <c r="C945" t="s">
        <v>74</v>
      </c>
      <c r="D945" t="s">
        <v>74</v>
      </c>
      <c r="E945" t="s">
        <v>74</v>
      </c>
      <c r="F945" t="s">
        <v>18272</v>
      </c>
      <c r="G945" t="s">
        <v>74</v>
      </c>
      <c r="H945" t="s">
        <v>74</v>
      </c>
      <c r="I945" t="s">
        <v>18273</v>
      </c>
      <c r="J945" t="s">
        <v>747</v>
      </c>
      <c r="K945" t="s">
        <v>74</v>
      </c>
      <c r="L945" t="s">
        <v>74</v>
      </c>
      <c r="M945" t="s">
        <v>78</v>
      </c>
      <c r="N945" t="s">
        <v>79</v>
      </c>
      <c r="O945" t="s">
        <v>74</v>
      </c>
      <c r="P945" t="s">
        <v>74</v>
      </c>
      <c r="Q945" t="s">
        <v>74</v>
      </c>
      <c r="R945" t="s">
        <v>74</v>
      </c>
      <c r="S945" t="s">
        <v>74</v>
      </c>
      <c r="T945" t="s">
        <v>18274</v>
      </c>
      <c r="U945" t="s">
        <v>18275</v>
      </c>
      <c r="V945" t="s">
        <v>18276</v>
      </c>
      <c r="W945" t="s">
        <v>18277</v>
      </c>
      <c r="X945" t="s">
        <v>18278</v>
      </c>
      <c r="Y945" t="s">
        <v>18279</v>
      </c>
      <c r="Z945" t="s">
        <v>18280</v>
      </c>
      <c r="AA945" t="s">
        <v>18281</v>
      </c>
      <c r="AB945" t="s">
        <v>18282</v>
      </c>
      <c r="AC945" t="s">
        <v>18283</v>
      </c>
      <c r="AD945" t="s">
        <v>18284</v>
      </c>
      <c r="AE945" t="s">
        <v>18285</v>
      </c>
      <c r="AF945" t="s">
        <v>74</v>
      </c>
      <c r="AG945">
        <v>42</v>
      </c>
      <c r="AH945">
        <v>15</v>
      </c>
      <c r="AI945">
        <v>19</v>
      </c>
      <c r="AJ945">
        <v>8</v>
      </c>
      <c r="AK945">
        <v>65</v>
      </c>
      <c r="AL945" t="s">
        <v>760</v>
      </c>
      <c r="AM945" t="s">
        <v>438</v>
      </c>
      <c r="AN945" t="s">
        <v>761</v>
      </c>
      <c r="AO945" t="s">
        <v>762</v>
      </c>
      <c r="AP945" t="s">
        <v>763</v>
      </c>
      <c r="AQ945" t="s">
        <v>74</v>
      </c>
      <c r="AR945" t="s">
        <v>764</v>
      </c>
      <c r="AS945" t="s">
        <v>765</v>
      </c>
      <c r="AT945" t="s">
        <v>18088</v>
      </c>
      <c r="AU945">
        <v>2021</v>
      </c>
      <c r="AV945">
        <v>48</v>
      </c>
      <c r="AW945">
        <v>15</v>
      </c>
      <c r="AX945" t="s">
        <v>74</v>
      </c>
      <c r="AY945" t="s">
        <v>74</v>
      </c>
      <c r="AZ945" t="s">
        <v>74</v>
      </c>
      <c r="BA945" t="s">
        <v>74</v>
      </c>
      <c r="BB945" t="s">
        <v>74</v>
      </c>
      <c r="BC945" t="s">
        <v>74</v>
      </c>
      <c r="BD945" t="s">
        <v>18286</v>
      </c>
      <c r="BE945" t="s">
        <v>18287</v>
      </c>
      <c r="BF945" t="str">
        <f>HYPERLINK("http://dx.doi.org/10.1029/2021GL093844","http://dx.doi.org/10.1029/2021GL093844")</f>
        <v>http://dx.doi.org/10.1029/2021GL093844</v>
      </c>
      <c r="BG945" t="s">
        <v>74</v>
      </c>
      <c r="BH945" t="s">
        <v>74</v>
      </c>
      <c r="BI945">
        <v>10</v>
      </c>
      <c r="BJ945" t="s">
        <v>236</v>
      </c>
      <c r="BK945" t="s">
        <v>101</v>
      </c>
      <c r="BL945" t="s">
        <v>237</v>
      </c>
      <c r="BM945" t="s">
        <v>18147</v>
      </c>
      <c r="BN945" t="s">
        <v>74</v>
      </c>
      <c r="BO945" t="s">
        <v>74</v>
      </c>
      <c r="BP945" t="s">
        <v>74</v>
      </c>
      <c r="BQ945" t="s">
        <v>74</v>
      </c>
      <c r="BR945" t="s">
        <v>105</v>
      </c>
      <c r="BS945" t="s">
        <v>18288</v>
      </c>
      <c r="BT945" t="str">
        <f>HYPERLINK("https%3A%2F%2Fwww.webofscience.com%2Fwos%2Fwoscc%2Ffull-record%2FWOS:000683512200062","View Full Record in Web of Science")</f>
        <v>View Full Record in Web of Science</v>
      </c>
    </row>
    <row r="946" spans="1:72" x14ac:dyDescent="0.15">
      <c r="A946" t="s">
        <v>72</v>
      </c>
      <c r="B946" t="s">
        <v>18289</v>
      </c>
      <c r="C946" t="s">
        <v>74</v>
      </c>
      <c r="D946" t="s">
        <v>74</v>
      </c>
      <c r="E946" t="s">
        <v>74</v>
      </c>
      <c r="F946" t="s">
        <v>18290</v>
      </c>
      <c r="G946" t="s">
        <v>74</v>
      </c>
      <c r="H946" t="s">
        <v>74</v>
      </c>
      <c r="I946" t="s">
        <v>18291</v>
      </c>
      <c r="J946" t="s">
        <v>11346</v>
      </c>
      <c r="K946" t="s">
        <v>74</v>
      </c>
      <c r="L946" t="s">
        <v>74</v>
      </c>
      <c r="M946" t="s">
        <v>78</v>
      </c>
      <c r="N946" t="s">
        <v>373</v>
      </c>
      <c r="O946" t="s">
        <v>74</v>
      </c>
      <c r="P946" t="s">
        <v>74</v>
      </c>
      <c r="Q946" t="s">
        <v>74</v>
      </c>
      <c r="R946" t="s">
        <v>74</v>
      </c>
      <c r="S946" t="s">
        <v>74</v>
      </c>
      <c r="T946" t="s">
        <v>18292</v>
      </c>
      <c r="U946" t="s">
        <v>18293</v>
      </c>
      <c r="V946" t="s">
        <v>18294</v>
      </c>
      <c r="W946" t="s">
        <v>18295</v>
      </c>
      <c r="X946" t="s">
        <v>18296</v>
      </c>
      <c r="Y946" t="s">
        <v>18297</v>
      </c>
      <c r="Z946" t="s">
        <v>18298</v>
      </c>
      <c r="AA946" t="s">
        <v>18299</v>
      </c>
      <c r="AB946" t="s">
        <v>18300</v>
      </c>
      <c r="AC946" t="s">
        <v>18301</v>
      </c>
      <c r="AD946" t="s">
        <v>18302</v>
      </c>
      <c r="AE946" t="s">
        <v>18303</v>
      </c>
      <c r="AF946" t="s">
        <v>74</v>
      </c>
      <c r="AG946">
        <v>219</v>
      </c>
      <c r="AH946">
        <v>4</v>
      </c>
      <c r="AI946">
        <v>5</v>
      </c>
      <c r="AJ946">
        <v>6</v>
      </c>
      <c r="AK946">
        <v>15</v>
      </c>
      <c r="AL946" t="s">
        <v>255</v>
      </c>
      <c r="AM946" t="s">
        <v>256</v>
      </c>
      <c r="AN946" t="s">
        <v>257</v>
      </c>
      <c r="AO946" t="s">
        <v>11356</v>
      </c>
      <c r="AP946" t="s">
        <v>11357</v>
      </c>
      <c r="AQ946" t="s">
        <v>74</v>
      </c>
      <c r="AR946" t="s">
        <v>11358</v>
      </c>
      <c r="AS946" t="s">
        <v>11359</v>
      </c>
      <c r="AT946" t="s">
        <v>310</v>
      </c>
      <c r="AU946">
        <v>2021</v>
      </c>
      <c r="AV946">
        <v>198</v>
      </c>
      <c r="AW946" t="s">
        <v>74</v>
      </c>
      <c r="AX946" t="s">
        <v>74</v>
      </c>
      <c r="AY946" t="s">
        <v>74</v>
      </c>
      <c r="AZ946" t="s">
        <v>74</v>
      </c>
      <c r="BA946" t="s">
        <v>74</v>
      </c>
      <c r="BB946" t="s">
        <v>74</v>
      </c>
      <c r="BC946" t="s">
        <v>74</v>
      </c>
      <c r="BD946">
        <v>102657</v>
      </c>
      <c r="BE946" t="s">
        <v>18304</v>
      </c>
      <c r="BF946" t="str">
        <f>HYPERLINK("http://dx.doi.org/10.1016/j.pocean.2021.102657","http://dx.doi.org/10.1016/j.pocean.2021.102657")</f>
        <v>http://dx.doi.org/10.1016/j.pocean.2021.102657</v>
      </c>
      <c r="BG946" t="s">
        <v>74</v>
      </c>
      <c r="BH946" t="s">
        <v>16043</v>
      </c>
      <c r="BI946">
        <v>21</v>
      </c>
      <c r="BJ946" t="s">
        <v>264</v>
      </c>
      <c r="BK946" t="s">
        <v>101</v>
      </c>
      <c r="BL946" t="s">
        <v>264</v>
      </c>
      <c r="BM946" t="s">
        <v>16644</v>
      </c>
      <c r="BN946" t="s">
        <v>74</v>
      </c>
      <c r="BO946" t="s">
        <v>531</v>
      </c>
      <c r="BP946" t="s">
        <v>74</v>
      </c>
      <c r="BQ946" t="s">
        <v>74</v>
      </c>
      <c r="BR946" t="s">
        <v>105</v>
      </c>
      <c r="BS946" t="s">
        <v>18305</v>
      </c>
      <c r="BT946" t="str">
        <f>HYPERLINK("https%3A%2F%2Fwww.webofscience.com%2Fwos%2Fwoscc%2Ffull-record%2FWOS:000703808100002","View Full Record in Web of Science")</f>
        <v>View Full Record in Web of Science</v>
      </c>
    </row>
    <row r="947" spans="1:72" x14ac:dyDescent="0.15">
      <c r="A947" t="s">
        <v>72</v>
      </c>
      <c r="B947" t="s">
        <v>18306</v>
      </c>
      <c r="C947" t="s">
        <v>74</v>
      </c>
      <c r="D947" t="s">
        <v>74</v>
      </c>
      <c r="E947" t="s">
        <v>74</v>
      </c>
      <c r="F947" t="s">
        <v>18307</v>
      </c>
      <c r="G947" t="s">
        <v>74</v>
      </c>
      <c r="H947" t="s">
        <v>74</v>
      </c>
      <c r="I947" t="s">
        <v>18308</v>
      </c>
      <c r="J947" t="s">
        <v>18309</v>
      </c>
      <c r="K947" t="s">
        <v>74</v>
      </c>
      <c r="L947" t="s">
        <v>74</v>
      </c>
      <c r="M947" t="s">
        <v>78</v>
      </c>
      <c r="N947" t="s">
        <v>79</v>
      </c>
      <c r="O947" t="s">
        <v>74</v>
      </c>
      <c r="P947" t="s">
        <v>74</v>
      </c>
      <c r="Q947" t="s">
        <v>74</v>
      </c>
      <c r="R947" t="s">
        <v>74</v>
      </c>
      <c r="S947" t="s">
        <v>74</v>
      </c>
      <c r="T947" t="s">
        <v>18310</v>
      </c>
      <c r="U947" t="s">
        <v>18311</v>
      </c>
      <c r="V947" t="s">
        <v>18312</v>
      </c>
      <c r="W947" t="s">
        <v>18313</v>
      </c>
      <c r="X947" t="s">
        <v>18314</v>
      </c>
      <c r="Y947" t="s">
        <v>18315</v>
      </c>
      <c r="Z947" t="s">
        <v>74</v>
      </c>
      <c r="AA947" t="s">
        <v>18316</v>
      </c>
      <c r="AB947" t="s">
        <v>18317</v>
      </c>
      <c r="AC947" t="s">
        <v>18318</v>
      </c>
      <c r="AD947" t="s">
        <v>18319</v>
      </c>
      <c r="AE947" t="s">
        <v>18320</v>
      </c>
      <c r="AF947" t="s">
        <v>74</v>
      </c>
      <c r="AG947">
        <v>38</v>
      </c>
      <c r="AH947">
        <v>21</v>
      </c>
      <c r="AI947">
        <v>22</v>
      </c>
      <c r="AJ947">
        <v>8</v>
      </c>
      <c r="AK947">
        <v>36</v>
      </c>
      <c r="AL947" t="s">
        <v>5359</v>
      </c>
      <c r="AM947" t="s">
        <v>5360</v>
      </c>
      <c r="AN947" t="s">
        <v>5361</v>
      </c>
      <c r="AO947" t="s">
        <v>18321</v>
      </c>
      <c r="AP947" t="s">
        <v>18322</v>
      </c>
      <c r="AQ947" t="s">
        <v>74</v>
      </c>
      <c r="AR947" t="s">
        <v>18323</v>
      </c>
      <c r="AS947" t="s">
        <v>18324</v>
      </c>
      <c r="AT947" t="s">
        <v>18325</v>
      </c>
      <c r="AU947">
        <v>2021</v>
      </c>
      <c r="AV947">
        <v>21</v>
      </c>
      <c r="AW947">
        <v>16</v>
      </c>
      <c r="AX947" t="s">
        <v>74</v>
      </c>
      <c r="AY947" t="s">
        <v>74</v>
      </c>
      <c r="AZ947" t="s">
        <v>74</v>
      </c>
      <c r="BA947" t="s">
        <v>74</v>
      </c>
      <c r="BB947">
        <v>17564</v>
      </c>
      <c r="BC947">
        <v>17572</v>
      </c>
      <c r="BD947" t="s">
        <v>74</v>
      </c>
      <c r="BE947" t="s">
        <v>18326</v>
      </c>
      <c r="BF947" t="str">
        <f>HYPERLINK("http://dx.doi.org/10.1109/JSEN.2021.3050084","http://dx.doi.org/10.1109/JSEN.2021.3050084")</f>
        <v>http://dx.doi.org/10.1109/JSEN.2021.3050084</v>
      </c>
      <c r="BG947" t="s">
        <v>74</v>
      </c>
      <c r="BH947" t="s">
        <v>74</v>
      </c>
      <c r="BI947">
        <v>9</v>
      </c>
      <c r="BJ947" t="s">
        <v>18327</v>
      </c>
      <c r="BK947" t="s">
        <v>101</v>
      </c>
      <c r="BL947" t="s">
        <v>18328</v>
      </c>
      <c r="BM947" t="s">
        <v>18329</v>
      </c>
      <c r="BN947" t="s">
        <v>74</v>
      </c>
      <c r="BO947" t="s">
        <v>314</v>
      </c>
      <c r="BP947" t="s">
        <v>74</v>
      </c>
      <c r="BQ947" t="s">
        <v>74</v>
      </c>
      <c r="BR947" t="s">
        <v>105</v>
      </c>
      <c r="BS947" t="s">
        <v>18330</v>
      </c>
      <c r="BT947" t="str">
        <f>HYPERLINK("https%3A%2F%2Fwww.webofscience.com%2Fwos%2Fwoscc%2Ffull-record%2FWOS:000684707400022","View Full Record in Web of Science")</f>
        <v>View Full Record in Web of Science</v>
      </c>
    </row>
    <row r="948" spans="1:72" x14ac:dyDescent="0.15">
      <c r="A948" t="s">
        <v>72</v>
      </c>
      <c r="B948" t="s">
        <v>18331</v>
      </c>
      <c r="C948" t="s">
        <v>74</v>
      </c>
      <c r="D948" t="s">
        <v>74</v>
      </c>
      <c r="E948" t="s">
        <v>74</v>
      </c>
      <c r="F948" t="s">
        <v>18332</v>
      </c>
      <c r="G948" t="s">
        <v>74</v>
      </c>
      <c r="H948" t="s">
        <v>74</v>
      </c>
      <c r="I948" t="s">
        <v>18333</v>
      </c>
      <c r="J948" t="s">
        <v>18334</v>
      </c>
      <c r="K948" t="s">
        <v>74</v>
      </c>
      <c r="L948" t="s">
        <v>74</v>
      </c>
      <c r="M948" t="s">
        <v>78</v>
      </c>
      <c r="N948" t="s">
        <v>79</v>
      </c>
      <c r="O948" t="s">
        <v>74</v>
      </c>
      <c r="P948" t="s">
        <v>74</v>
      </c>
      <c r="Q948" t="s">
        <v>74</v>
      </c>
      <c r="R948" t="s">
        <v>74</v>
      </c>
      <c r="S948" t="s">
        <v>74</v>
      </c>
      <c r="T948" t="s">
        <v>18335</v>
      </c>
      <c r="U948" t="s">
        <v>18336</v>
      </c>
      <c r="V948" t="s">
        <v>18337</v>
      </c>
      <c r="W948" t="s">
        <v>18338</v>
      </c>
      <c r="X948" t="s">
        <v>5825</v>
      </c>
      <c r="Y948" t="s">
        <v>18339</v>
      </c>
      <c r="Z948" t="s">
        <v>18340</v>
      </c>
      <c r="AA948" t="s">
        <v>18341</v>
      </c>
      <c r="AB948" t="s">
        <v>18342</v>
      </c>
      <c r="AC948" t="s">
        <v>74</v>
      </c>
      <c r="AD948" t="s">
        <v>74</v>
      </c>
      <c r="AE948" t="s">
        <v>74</v>
      </c>
      <c r="AF948" t="s">
        <v>74</v>
      </c>
      <c r="AG948">
        <v>47</v>
      </c>
      <c r="AH948">
        <v>8</v>
      </c>
      <c r="AI948">
        <v>8</v>
      </c>
      <c r="AJ948">
        <v>3</v>
      </c>
      <c r="AK948">
        <v>12</v>
      </c>
      <c r="AL948" t="s">
        <v>11558</v>
      </c>
      <c r="AM948" t="s">
        <v>11559</v>
      </c>
      <c r="AN948" t="s">
        <v>11560</v>
      </c>
      <c r="AO948" t="s">
        <v>18343</v>
      </c>
      <c r="AP948" t="s">
        <v>18344</v>
      </c>
      <c r="AQ948" t="s">
        <v>74</v>
      </c>
      <c r="AR948" t="s">
        <v>18345</v>
      </c>
      <c r="AS948" t="s">
        <v>18346</v>
      </c>
      <c r="AT948" t="s">
        <v>7760</v>
      </c>
      <c r="AU948">
        <v>2021</v>
      </c>
      <c r="AV948">
        <v>63</v>
      </c>
      <c r="AW948" t="s">
        <v>74</v>
      </c>
      <c r="AX948" t="s">
        <v>74</v>
      </c>
      <c r="AY948" t="s">
        <v>74</v>
      </c>
      <c r="AZ948" t="s">
        <v>74</v>
      </c>
      <c r="BA948" t="s">
        <v>74</v>
      </c>
      <c r="BB948" t="s">
        <v>74</v>
      </c>
      <c r="BC948" t="s">
        <v>74</v>
      </c>
      <c r="BD948">
        <v>126049</v>
      </c>
      <c r="BE948" t="s">
        <v>18347</v>
      </c>
      <c r="BF948" t="str">
        <f>HYPERLINK("http://dx.doi.org/10.1016/j.jnc.2021.126049","http://dx.doi.org/10.1016/j.jnc.2021.126049")</f>
        <v>http://dx.doi.org/10.1016/j.jnc.2021.126049</v>
      </c>
      <c r="BG948" t="s">
        <v>74</v>
      </c>
      <c r="BH948" t="s">
        <v>16043</v>
      </c>
      <c r="BI948">
        <v>9</v>
      </c>
      <c r="BJ948" t="s">
        <v>605</v>
      </c>
      <c r="BK948" t="s">
        <v>101</v>
      </c>
      <c r="BL948" t="s">
        <v>606</v>
      </c>
      <c r="BM948" t="s">
        <v>18348</v>
      </c>
      <c r="BN948" t="s">
        <v>74</v>
      </c>
      <c r="BO948" t="s">
        <v>180</v>
      </c>
      <c r="BP948" t="s">
        <v>74</v>
      </c>
      <c r="BQ948" t="s">
        <v>74</v>
      </c>
      <c r="BR948" t="s">
        <v>105</v>
      </c>
      <c r="BS948" t="s">
        <v>18349</v>
      </c>
      <c r="BT948" t="str">
        <f>HYPERLINK("https%3A%2F%2Fwww.webofscience.com%2Fwos%2Fwoscc%2Ffull-record%2FWOS:000698568400008","View Full Record in Web of Science")</f>
        <v>View Full Record in Web of Science</v>
      </c>
    </row>
    <row r="949" spans="1:72" x14ac:dyDescent="0.15">
      <c r="A949" t="s">
        <v>72</v>
      </c>
      <c r="B949" t="s">
        <v>18350</v>
      </c>
      <c r="C949" t="s">
        <v>74</v>
      </c>
      <c r="D949" t="s">
        <v>74</v>
      </c>
      <c r="E949" t="s">
        <v>74</v>
      </c>
      <c r="F949" t="s">
        <v>18351</v>
      </c>
      <c r="G949" t="s">
        <v>74</v>
      </c>
      <c r="H949" t="s">
        <v>74</v>
      </c>
      <c r="I949" t="s">
        <v>18352</v>
      </c>
      <c r="J949" t="s">
        <v>6995</v>
      </c>
      <c r="K949" t="s">
        <v>74</v>
      </c>
      <c r="L949" t="s">
        <v>74</v>
      </c>
      <c r="M949" t="s">
        <v>78</v>
      </c>
      <c r="N949" t="s">
        <v>79</v>
      </c>
      <c r="O949" t="s">
        <v>74</v>
      </c>
      <c r="P949" t="s">
        <v>74</v>
      </c>
      <c r="Q949" t="s">
        <v>74</v>
      </c>
      <c r="R949" t="s">
        <v>74</v>
      </c>
      <c r="S949" t="s">
        <v>74</v>
      </c>
      <c r="T949" t="s">
        <v>18353</v>
      </c>
      <c r="U949" t="s">
        <v>18354</v>
      </c>
      <c r="V949" t="s">
        <v>18355</v>
      </c>
      <c r="W949" t="s">
        <v>18356</v>
      </c>
      <c r="X949" t="s">
        <v>18357</v>
      </c>
      <c r="Y949" t="s">
        <v>18358</v>
      </c>
      <c r="Z949" t="s">
        <v>18359</v>
      </c>
      <c r="AA949" t="s">
        <v>18360</v>
      </c>
      <c r="AB949" t="s">
        <v>18361</v>
      </c>
      <c r="AC949" t="s">
        <v>18362</v>
      </c>
      <c r="AD949" t="s">
        <v>18363</v>
      </c>
      <c r="AE949" t="s">
        <v>18364</v>
      </c>
      <c r="AF949" t="s">
        <v>74</v>
      </c>
      <c r="AG949">
        <v>37</v>
      </c>
      <c r="AH949">
        <v>6</v>
      </c>
      <c r="AI949">
        <v>8</v>
      </c>
      <c r="AJ949">
        <v>2</v>
      </c>
      <c r="AK949">
        <v>16</v>
      </c>
      <c r="AL949" t="s">
        <v>1326</v>
      </c>
      <c r="AM949" t="s">
        <v>256</v>
      </c>
      <c r="AN949" t="s">
        <v>1327</v>
      </c>
      <c r="AO949" t="s">
        <v>7008</v>
      </c>
      <c r="AP949" t="s">
        <v>7009</v>
      </c>
      <c r="AQ949" t="s">
        <v>74</v>
      </c>
      <c r="AR949" t="s">
        <v>7010</v>
      </c>
      <c r="AS949" t="s">
        <v>7011</v>
      </c>
      <c r="AT949" t="s">
        <v>627</v>
      </c>
      <c r="AU949">
        <v>2021</v>
      </c>
      <c r="AV949">
        <v>261</v>
      </c>
      <c r="AW949" t="s">
        <v>74</v>
      </c>
      <c r="AX949" t="s">
        <v>74</v>
      </c>
      <c r="AY949" t="s">
        <v>74</v>
      </c>
      <c r="AZ949" t="s">
        <v>74</v>
      </c>
      <c r="BA949" t="s">
        <v>74</v>
      </c>
      <c r="BB949" t="s">
        <v>74</v>
      </c>
      <c r="BC949" t="s">
        <v>74</v>
      </c>
      <c r="BD949">
        <v>109288</v>
      </c>
      <c r="BE949" t="s">
        <v>18365</v>
      </c>
      <c r="BF949" t="str">
        <f>HYPERLINK("http://dx.doi.org/10.1016/j.biocon.2021.109288","http://dx.doi.org/10.1016/j.biocon.2021.109288")</f>
        <v>http://dx.doi.org/10.1016/j.biocon.2021.109288</v>
      </c>
      <c r="BG949" t="s">
        <v>74</v>
      </c>
      <c r="BH949" t="s">
        <v>16043</v>
      </c>
      <c r="BI949">
        <v>8</v>
      </c>
      <c r="BJ949" t="s">
        <v>1900</v>
      </c>
      <c r="BK949" t="s">
        <v>101</v>
      </c>
      <c r="BL949" t="s">
        <v>606</v>
      </c>
      <c r="BM949" t="s">
        <v>18366</v>
      </c>
      <c r="BN949" t="s">
        <v>74</v>
      </c>
      <c r="BO949" t="s">
        <v>74</v>
      </c>
      <c r="BP949" t="s">
        <v>74</v>
      </c>
      <c r="BQ949" t="s">
        <v>74</v>
      </c>
      <c r="BR949" t="s">
        <v>105</v>
      </c>
      <c r="BS949" t="s">
        <v>18367</v>
      </c>
      <c r="BT949" t="str">
        <f>HYPERLINK("https%3A%2F%2Fwww.webofscience.com%2Fwos%2Fwoscc%2Ffull-record%2FWOS:000694720000004","View Full Record in Web of Science")</f>
        <v>View Full Record in Web of Science</v>
      </c>
    </row>
    <row r="950" spans="1:72" x14ac:dyDescent="0.15">
      <c r="A950" t="s">
        <v>72</v>
      </c>
      <c r="B950" t="s">
        <v>18368</v>
      </c>
      <c r="C950" t="s">
        <v>74</v>
      </c>
      <c r="D950" t="s">
        <v>74</v>
      </c>
      <c r="E950" t="s">
        <v>74</v>
      </c>
      <c r="F950" t="s">
        <v>18369</v>
      </c>
      <c r="G950" t="s">
        <v>74</v>
      </c>
      <c r="H950" t="s">
        <v>74</v>
      </c>
      <c r="I950" t="s">
        <v>18370</v>
      </c>
      <c r="J950" t="s">
        <v>18371</v>
      </c>
      <c r="K950" t="s">
        <v>74</v>
      </c>
      <c r="L950" t="s">
        <v>74</v>
      </c>
      <c r="M950" t="s">
        <v>78</v>
      </c>
      <c r="N950" t="s">
        <v>79</v>
      </c>
      <c r="O950" t="s">
        <v>74</v>
      </c>
      <c r="P950" t="s">
        <v>74</v>
      </c>
      <c r="Q950" t="s">
        <v>74</v>
      </c>
      <c r="R950" t="s">
        <v>74</v>
      </c>
      <c r="S950" t="s">
        <v>74</v>
      </c>
      <c r="T950" t="s">
        <v>18372</v>
      </c>
      <c r="U950" t="s">
        <v>18373</v>
      </c>
      <c r="V950" t="s">
        <v>18374</v>
      </c>
      <c r="W950" t="s">
        <v>18375</v>
      </c>
      <c r="X950" t="s">
        <v>17891</v>
      </c>
      <c r="Y950" t="s">
        <v>18376</v>
      </c>
      <c r="Z950" t="s">
        <v>18377</v>
      </c>
      <c r="AA950" t="s">
        <v>17894</v>
      </c>
      <c r="AB950" t="s">
        <v>18378</v>
      </c>
      <c r="AC950" t="s">
        <v>18379</v>
      </c>
      <c r="AD950" t="s">
        <v>18380</v>
      </c>
      <c r="AE950" t="s">
        <v>18381</v>
      </c>
      <c r="AF950" t="s">
        <v>74</v>
      </c>
      <c r="AG950">
        <v>34</v>
      </c>
      <c r="AH950">
        <v>1</v>
      </c>
      <c r="AI950">
        <v>1</v>
      </c>
      <c r="AJ950">
        <v>2</v>
      </c>
      <c r="AK950">
        <v>19</v>
      </c>
      <c r="AL950" t="s">
        <v>198</v>
      </c>
      <c r="AM950" t="s">
        <v>199</v>
      </c>
      <c r="AN950" t="s">
        <v>200</v>
      </c>
      <c r="AO950" t="s">
        <v>18382</v>
      </c>
      <c r="AP950" t="s">
        <v>18383</v>
      </c>
      <c r="AQ950" t="s">
        <v>74</v>
      </c>
      <c r="AR950" t="s">
        <v>18384</v>
      </c>
      <c r="AS950" t="s">
        <v>18385</v>
      </c>
      <c r="AT950" t="s">
        <v>10816</v>
      </c>
      <c r="AU950">
        <v>2021</v>
      </c>
      <c r="AV950">
        <v>14</v>
      </c>
      <c r="AW950">
        <v>10</v>
      </c>
      <c r="AX950" t="s">
        <v>74</v>
      </c>
      <c r="AY950" t="s">
        <v>74</v>
      </c>
      <c r="AZ950" t="s">
        <v>526</v>
      </c>
      <c r="BA950" t="s">
        <v>74</v>
      </c>
      <c r="BB950">
        <v>1397</v>
      </c>
      <c r="BC950">
        <v>1410</v>
      </c>
      <c r="BD950" t="s">
        <v>74</v>
      </c>
      <c r="BE950" t="s">
        <v>18386</v>
      </c>
      <c r="BF950" t="str">
        <f>HYPERLINK("http://dx.doi.org/10.1080/17538947.2021.1966524","http://dx.doi.org/10.1080/17538947.2021.1966524")</f>
        <v>http://dx.doi.org/10.1080/17538947.2021.1966524</v>
      </c>
      <c r="BG950" t="s">
        <v>74</v>
      </c>
      <c r="BH950" t="s">
        <v>16043</v>
      </c>
      <c r="BI950">
        <v>14</v>
      </c>
      <c r="BJ950" t="s">
        <v>18387</v>
      </c>
      <c r="BK950" t="s">
        <v>101</v>
      </c>
      <c r="BL950" t="s">
        <v>18388</v>
      </c>
      <c r="BM950" t="s">
        <v>18389</v>
      </c>
      <c r="BN950" t="s">
        <v>74</v>
      </c>
      <c r="BO950" t="s">
        <v>1471</v>
      </c>
      <c r="BP950" t="s">
        <v>74</v>
      </c>
      <c r="BQ950" t="s">
        <v>74</v>
      </c>
      <c r="BR950" t="s">
        <v>105</v>
      </c>
      <c r="BS950" t="s">
        <v>18390</v>
      </c>
      <c r="BT950" t="str">
        <f>HYPERLINK("https%3A%2F%2Fwww.webofscience.com%2Fwos%2Fwoscc%2Ffull-record%2FWOS:000685015900001","View Full Record in Web of Science")</f>
        <v>View Full Record in Web of Science</v>
      </c>
    </row>
    <row r="951" spans="1:72" x14ac:dyDescent="0.15">
      <c r="A951" t="s">
        <v>72</v>
      </c>
      <c r="B951" t="s">
        <v>18391</v>
      </c>
      <c r="C951" t="s">
        <v>74</v>
      </c>
      <c r="D951" t="s">
        <v>74</v>
      </c>
      <c r="E951" t="s">
        <v>74</v>
      </c>
      <c r="F951" t="s">
        <v>18392</v>
      </c>
      <c r="G951" t="s">
        <v>74</v>
      </c>
      <c r="H951" t="s">
        <v>74</v>
      </c>
      <c r="I951" t="s">
        <v>18393</v>
      </c>
      <c r="J951" t="s">
        <v>372</v>
      </c>
      <c r="K951" t="s">
        <v>74</v>
      </c>
      <c r="L951" t="s">
        <v>74</v>
      </c>
      <c r="M951" t="s">
        <v>78</v>
      </c>
      <c r="N951" t="s">
        <v>79</v>
      </c>
      <c r="O951" t="s">
        <v>74</v>
      </c>
      <c r="P951" t="s">
        <v>74</v>
      </c>
      <c r="Q951" t="s">
        <v>74</v>
      </c>
      <c r="R951" t="s">
        <v>74</v>
      </c>
      <c r="S951" t="s">
        <v>74</v>
      </c>
      <c r="T951" t="s">
        <v>18394</v>
      </c>
      <c r="U951" t="s">
        <v>18395</v>
      </c>
      <c r="V951" t="s">
        <v>18396</v>
      </c>
      <c r="W951" t="s">
        <v>18397</v>
      </c>
      <c r="X951" t="s">
        <v>18398</v>
      </c>
      <c r="Y951" t="s">
        <v>18399</v>
      </c>
      <c r="Z951" t="s">
        <v>18400</v>
      </c>
      <c r="AA951" t="s">
        <v>18401</v>
      </c>
      <c r="AB951" t="s">
        <v>18402</v>
      </c>
      <c r="AC951" t="s">
        <v>18403</v>
      </c>
      <c r="AD951" t="s">
        <v>18404</v>
      </c>
      <c r="AE951" t="s">
        <v>18405</v>
      </c>
      <c r="AF951" t="s">
        <v>74</v>
      </c>
      <c r="AG951">
        <v>121</v>
      </c>
      <c r="AH951">
        <v>2</v>
      </c>
      <c r="AI951">
        <v>2</v>
      </c>
      <c r="AJ951">
        <v>1</v>
      </c>
      <c r="AK951">
        <v>19</v>
      </c>
      <c r="AL951" t="s">
        <v>383</v>
      </c>
      <c r="AM951" t="s">
        <v>384</v>
      </c>
      <c r="AN951" t="s">
        <v>385</v>
      </c>
      <c r="AO951" t="s">
        <v>74</v>
      </c>
      <c r="AP951" t="s">
        <v>386</v>
      </c>
      <c r="AQ951" t="s">
        <v>74</v>
      </c>
      <c r="AR951" t="s">
        <v>387</v>
      </c>
      <c r="AS951" t="s">
        <v>388</v>
      </c>
      <c r="AT951" t="s">
        <v>18406</v>
      </c>
      <c r="AU951">
        <v>2021</v>
      </c>
      <c r="AV951">
        <v>8</v>
      </c>
      <c r="AW951" t="s">
        <v>74</v>
      </c>
      <c r="AX951" t="s">
        <v>74</v>
      </c>
      <c r="AY951" t="s">
        <v>74</v>
      </c>
      <c r="AZ951" t="s">
        <v>74</v>
      </c>
      <c r="BA951" t="s">
        <v>74</v>
      </c>
      <c r="BB951" t="s">
        <v>74</v>
      </c>
      <c r="BC951" t="s">
        <v>74</v>
      </c>
      <c r="BD951">
        <v>669135</v>
      </c>
      <c r="BE951" t="s">
        <v>18407</v>
      </c>
      <c r="BF951" t="str">
        <f>HYPERLINK("http://dx.doi.org/10.3389/fmars.2021.669135","http://dx.doi.org/10.3389/fmars.2021.669135")</f>
        <v>http://dx.doi.org/10.3389/fmars.2021.669135</v>
      </c>
      <c r="BG951" t="s">
        <v>74</v>
      </c>
      <c r="BH951" t="s">
        <v>74</v>
      </c>
      <c r="BI951">
        <v>17</v>
      </c>
      <c r="BJ951" t="s">
        <v>391</v>
      </c>
      <c r="BK951" t="s">
        <v>207</v>
      </c>
      <c r="BL951" t="s">
        <v>392</v>
      </c>
      <c r="BM951" t="s">
        <v>18408</v>
      </c>
      <c r="BN951" t="s">
        <v>74</v>
      </c>
      <c r="BO951" t="s">
        <v>14304</v>
      </c>
      <c r="BP951" t="s">
        <v>74</v>
      </c>
      <c r="BQ951" t="s">
        <v>74</v>
      </c>
      <c r="BR951" t="s">
        <v>105</v>
      </c>
      <c r="BS951" t="s">
        <v>18409</v>
      </c>
      <c r="BT951" t="str">
        <f>HYPERLINK("https%3A%2F%2Fwww.webofscience.com%2Fwos%2Fwoscc%2Ffull-record%2FWOS:000692552400001","View Full Record in Web of Science")</f>
        <v>View Full Record in Web of Science</v>
      </c>
    </row>
    <row r="952" spans="1:72" x14ac:dyDescent="0.15">
      <c r="A952" t="s">
        <v>72</v>
      </c>
      <c r="B952" t="s">
        <v>18410</v>
      </c>
      <c r="C952" t="s">
        <v>74</v>
      </c>
      <c r="D952" t="s">
        <v>74</v>
      </c>
      <c r="E952" t="s">
        <v>74</v>
      </c>
      <c r="F952" t="s">
        <v>18411</v>
      </c>
      <c r="G952" t="s">
        <v>74</v>
      </c>
      <c r="H952" t="s">
        <v>74</v>
      </c>
      <c r="I952" t="s">
        <v>18412</v>
      </c>
      <c r="J952" t="s">
        <v>935</v>
      </c>
      <c r="K952" t="s">
        <v>74</v>
      </c>
      <c r="L952" t="s">
        <v>74</v>
      </c>
      <c r="M952" t="s">
        <v>78</v>
      </c>
      <c r="N952" t="s">
        <v>79</v>
      </c>
      <c r="O952" t="s">
        <v>74</v>
      </c>
      <c r="P952" t="s">
        <v>74</v>
      </c>
      <c r="Q952" t="s">
        <v>74</v>
      </c>
      <c r="R952" t="s">
        <v>74</v>
      </c>
      <c r="S952" t="s">
        <v>74</v>
      </c>
      <c r="T952" t="s">
        <v>18413</v>
      </c>
      <c r="U952" t="s">
        <v>18414</v>
      </c>
      <c r="V952" t="s">
        <v>18415</v>
      </c>
      <c r="W952" t="s">
        <v>18416</v>
      </c>
      <c r="X952" t="s">
        <v>18417</v>
      </c>
      <c r="Y952" t="s">
        <v>18418</v>
      </c>
      <c r="Z952" t="s">
        <v>18419</v>
      </c>
      <c r="AA952" t="s">
        <v>18420</v>
      </c>
      <c r="AB952" t="s">
        <v>18421</v>
      </c>
      <c r="AC952" t="s">
        <v>18422</v>
      </c>
      <c r="AD952" t="s">
        <v>18423</v>
      </c>
      <c r="AE952" t="s">
        <v>18424</v>
      </c>
      <c r="AF952" t="s">
        <v>74</v>
      </c>
      <c r="AG952">
        <v>32</v>
      </c>
      <c r="AH952">
        <v>1</v>
      </c>
      <c r="AI952">
        <v>1</v>
      </c>
      <c r="AJ952">
        <v>1</v>
      </c>
      <c r="AK952">
        <v>5</v>
      </c>
      <c r="AL952" t="s">
        <v>169</v>
      </c>
      <c r="AM952" t="s">
        <v>170</v>
      </c>
      <c r="AN952" t="s">
        <v>171</v>
      </c>
      <c r="AO952" t="s">
        <v>948</v>
      </c>
      <c r="AP952" t="s">
        <v>949</v>
      </c>
      <c r="AQ952" t="s">
        <v>74</v>
      </c>
      <c r="AR952" t="s">
        <v>950</v>
      </c>
      <c r="AS952" t="s">
        <v>951</v>
      </c>
      <c r="AT952" t="s">
        <v>7760</v>
      </c>
      <c r="AU952">
        <v>2021</v>
      </c>
      <c r="AV952">
        <v>44</v>
      </c>
      <c r="AW952">
        <v>10</v>
      </c>
      <c r="AX952" t="s">
        <v>74</v>
      </c>
      <c r="AY952" t="s">
        <v>74</v>
      </c>
      <c r="AZ952" t="s">
        <v>74</v>
      </c>
      <c r="BA952" t="s">
        <v>74</v>
      </c>
      <c r="BB952">
        <v>2049</v>
      </c>
      <c r="BC952">
        <v>2053</v>
      </c>
      <c r="BD952" t="s">
        <v>74</v>
      </c>
      <c r="BE952" t="s">
        <v>18425</v>
      </c>
      <c r="BF952" t="str">
        <f>HYPERLINK("http://dx.doi.org/10.1007/s00300-021-02928-y","http://dx.doi.org/10.1007/s00300-021-02928-y")</f>
        <v>http://dx.doi.org/10.1007/s00300-021-02928-y</v>
      </c>
      <c r="BG952" t="s">
        <v>74</v>
      </c>
      <c r="BH952" t="s">
        <v>16043</v>
      </c>
      <c r="BI952">
        <v>5</v>
      </c>
      <c r="BJ952" t="s">
        <v>605</v>
      </c>
      <c r="BK952" t="s">
        <v>101</v>
      </c>
      <c r="BL952" t="s">
        <v>606</v>
      </c>
      <c r="BM952" t="s">
        <v>16250</v>
      </c>
      <c r="BN952" t="s">
        <v>74</v>
      </c>
      <c r="BO952" t="s">
        <v>74</v>
      </c>
      <c r="BP952" t="s">
        <v>74</v>
      </c>
      <c r="BQ952" t="s">
        <v>74</v>
      </c>
      <c r="BR952" t="s">
        <v>105</v>
      </c>
      <c r="BS952" t="s">
        <v>18426</v>
      </c>
      <c r="BT952" t="str">
        <f>HYPERLINK("https%3A%2F%2Fwww.webofscience.com%2Fwos%2Fwoscc%2Ffull-record%2FWOS:000684781600001","View Full Record in Web of Science")</f>
        <v>View Full Record in Web of Science</v>
      </c>
    </row>
    <row r="953" spans="1:72" x14ac:dyDescent="0.15">
      <c r="A953" t="s">
        <v>72</v>
      </c>
      <c r="B953" t="s">
        <v>18427</v>
      </c>
      <c r="C953" t="s">
        <v>74</v>
      </c>
      <c r="D953" t="s">
        <v>74</v>
      </c>
      <c r="E953" t="s">
        <v>74</v>
      </c>
      <c r="F953" t="s">
        <v>18428</v>
      </c>
      <c r="G953" t="s">
        <v>74</v>
      </c>
      <c r="H953" t="s">
        <v>74</v>
      </c>
      <c r="I953" t="s">
        <v>18429</v>
      </c>
      <c r="J953" t="s">
        <v>536</v>
      </c>
      <c r="K953" t="s">
        <v>74</v>
      </c>
      <c r="L953" t="s">
        <v>74</v>
      </c>
      <c r="M953" t="s">
        <v>78</v>
      </c>
      <c r="N953" t="s">
        <v>79</v>
      </c>
      <c r="O953" t="s">
        <v>74</v>
      </c>
      <c r="P953" t="s">
        <v>74</v>
      </c>
      <c r="Q953" t="s">
        <v>74</v>
      </c>
      <c r="R953" t="s">
        <v>74</v>
      </c>
      <c r="S953" t="s">
        <v>74</v>
      </c>
      <c r="T953" t="s">
        <v>74</v>
      </c>
      <c r="U953" t="s">
        <v>18430</v>
      </c>
      <c r="V953" t="s">
        <v>18431</v>
      </c>
      <c r="W953" t="s">
        <v>18432</v>
      </c>
      <c r="X953" t="s">
        <v>18433</v>
      </c>
      <c r="Y953" t="s">
        <v>18434</v>
      </c>
      <c r="Z953" t="s">
        <v>18435</v>
      </c>
      <c r="AA953" t="s">
        <v>18436</v>
      </c>
      <c r="AB953" t="s">
        <v>18437</v>
      </c>
      <c r="AC953" t="s">
        <v>18438</v>
      </c>
      <c r="AD953" t="s">
        <v>18439</v>
      </c>
      <c r="AE953" t="s">
        <v>18440</v>
      </c>
      <c r="AF953" t="s">
        <v>74</v>
      </c>
      <c r="AG953">
        <v>68</v>
      </c>
      <c r="AH953">
        <v>8</v>
      </c>
      <c r="AI953">
        <v>8</v>
      </c>
      <c r="AJ953">
        <v>4</v>
      </c>
      <c r="AK953">
        <v>25</v>
      </c>
      <c r="AL953" t="s">
        <v>227</v>
      </c>
      <c r="AM953" t="s">
        <v>228</v>
      </c>
      <c r="AN953" t="s">
        <v>229</v>
      </c>
      <c r="AO953" t="s">
        <v>548</v>
      </c>
      <c r="AP953" t="s">
        <v>549</v>
      </c>
      <c r="AQ953" t="s">
        <v>74</v>
      </c>
      <c r="AR953" t="s">
        <v>550</v>
      </c>
      <c r="AS953" t="s">
        <v>551</v>
      </c>
      <c r="AT953" t="s">
        <v>18406</v>
      </c>
      <c r="AU953">
        <v>2021</v>
      </c>
      <c r="AV953">
        <v>21</v>
      </c>
      <c r="AW953">
        <v>15</v>
      </c>
      <c r="AX953" t="s">
        <v>74</v>
      </c>
      <c r="AY953" t="s">
        <v>74</v>
      </c>
      <c r="AZ953" t="s">
        <v>74</v>
      </c>
      <c r="BA953" t="s">
        <v>74</v>
      </c>
      <c r="BB953">
        <v>12155</v>
      </c>
      <c r="BC953">
        <v>12172</v>
      </c>
      <c r="BD953" t="s">
        <v>74</v>
      </c>
      <c r="BE953" t="s">
        <v>18441</v>
      </c>
      <c r="BF953" t="str">
        <f>HYPERLINK("http://dx.doi.org/10.5194/acp-21-12155-2021","http://dx.doi.org/10.5194/acp-21-12155-2021")</f>
        <v>http://dx.doi.org/10.5194/acp-21-12155-2021</v>
      </c>
      <c r="BG953" t="s">
        <v>74</v>
      </c>
      <c r="BH953" t="s">
        <v>74</v>
      </c>
      <c r="BI953">
        <v>18</v>
      </c>
      <c r="BJ953" t="s">
        <v>100</v>
      </c>
      <c r="BK953" t="s">
        <v>101</v>
      </c>
      <c r="BL953" t="s">
        <v>102</v>
      </c>
      <c r="BM953" t="s">
        <v>18442</v>
      </c>
      <c r="BN953" t="s">
        <v>74</v>
      </c>
      <c r="BO953" t="s">
        <v>554</v>
      </c>
      <c r="BP953" t="s">
        <v>74</v>
      </c>
      <c r="BQ953" t="s">
        <v>74</v>
      </c>
      <c r="BR953" t="s">
        <v>105</v>
      </c>
      <c r="BS953" t="s">
        <v>18443</v>
      </c>
      <c r="BT953" t="str">
        <f>HYPERLINK("https%3A%2F%2Fwww.webofscience.com%2Fwos%2Fwoscc%2Ffull-record%2FWOS:000685634600003","View Full Record in Web of Science")</f>
        <v>View Full Record in Web of Science</v>
      </c>
    </row>
    <row r="954" spans="1:72" x14ac:dyDescent="0.15">
      <c r="A954" t="s">
        <v>72</v>
      </c>
      <c r="B954" t="s">
        <v>18444</v>
      </c>
      <c r="C954" t="s">
        <v>74</v>
      </c>
      <c r="D954" t="s">
        <v>74</v>
      </c>
      <c r="E954" t="s">
        <v>74</v>
      </c>
      <c r="F954" t="s">
        <v>18445</v>
      </c>
      <c r="G954" t="s">
        <v>74</v>
      </c>
      <c r="H954" t="s">
        <v>74</v>
      </c>
      <c r="I954" t="s">
        <v>18446</v>
      </c>
      <c r="J954" t="s">
        <v>18447</v>
      </c>
      <c r="K954" t="s">
        <v>74</v>
      </c>
      <c r="L954" t="s">
        <v>74</v>
      </c>
      <c r="M954" t="s">
        <v>78</v>
      </c>
      <c r="N954" t="s">
        <v>79</v>
      </c>
      <c r="O954" t="s">
        <v>74</v>
      </c>
      <c r="P954" t="s">
        <v>74</v>
      </c>
      <c r="Q954" t="s">
        <v>74</v>
      </c>
      <c r="R954" t="s">
        <v>74</v>
      </c>
      <c r="S954" t="s">
        <v>74</v>
      </c>
      <c r="T954" t="s">
        <v>18448</v>
      </c>
      <c r="U954" t="s">
        <v>18449</v>
      </c>
      <c r="V954" t="s">
        <v>18450</v>
      </c>
      <c r="W954" t="s">
        <v>18451</v>
      </c>
      <c r="X954" t="s">
        <v>18452</v>
      </c>
      <c r="Y954" t="s">
        <v>18453</v>
      </c>
      <c r="Z954" t="s">
        <v>18454</v>
      </c>
      <c r="AA954" t="s">
        <v>74</v>
      </c>
      <c r="AB954" t="s">
        <v>18455</v>
      </c>
      <c r="AC954" t="s">
        <v>18456</v>
      </c>
      <c r="AD954" t="s">
        <v>18457</v>
      </c>
      <c r="AE954" t="s">
        <v>18458</v>
      </c>
      <c r="AF954" t="s">
        <v>74</v>
      </c>
      <c r="AG954">
        <v>55</v>
      </c>
      <c r="AH954">
        <v>2</v>
      </c>
      <c r="AI954">
        <v>2</v>
      </c>
      <c r="AJ954">
        <v>11</v>
      </c>
      <c r="AK954">
        <v>76</v>
      </c>
      <c r="AL954" t="s">
        <v>1621</v>
      </c>
      <c r="AM954" t="s">
        <v>1622</v>
      </c>
      <c r="AN954" t="s">
        <v>1623</v>
      </c>
      <c r="AO954" t="s">
        <v>18459</v>
      </c>
      <c r="AP954" t="s">
        <v>18460</v>
      </c>
      <c r="AQ954" t="s">
        <v>74</v>
      </c>
      <c r="AR954" t="s">
        <v>18461</v>
      </c>
      <c r="AS954" t="s">
        <v>18462</v>
      </c>
      <c r="AT954" t="s">
        <v>74</v>
      </c>
      <c r="AU954">
        <v>2021</v>
      </c>
      <c r="AV954">
        <v>18</v>
      </c>
      <c r="AW954" t="s">
        <v>928</v>
      </c>
      <c r="AX954" t="s">
        <v>74</v>
      </c>
      <c r="AY954" t="s">
        <v>74</v>
      </c>
      <c r="AZ954" t="s">
        <v>74</v>
      </c>
      <c r="BA954" t="s">
        <v>74</v>
      </c>
      <c r="BB954">
        <v>285</v>
      </c>
      <c r="BC954">
        <v>293</v>
      </c>
      <c r="BD954" t="s">
        <v>74</v>
      </c>
      <c r="BE954" t="s">
        <v>18463</v>
      </c>
      <c r="BF954" t="str">
        <f>HYPERLINK("http://dx.doi.org/10.1071/EN21068","http://dx.doi.org/10.1071/EN21068")</f>
        <v>http://dx.doi.org/10.1071/EN21068</v>
      </c>
      <c r="BG954" t="s">
        <v>74</v>
      </c>
      <c r="BH954" t="s">
        <v>16043</v>
      </c>
      <c r="BI954">
        <v>9</v>
      </c>
      <c r="BJ954" t="s">
        <v>18464</v>
      </c>
      <c r="BK954" t="s">
        <v>101</v>
      </c>
      <c r="BL954" t="s">
        <v>18465</v>
      </c>
      <c r="BM954" t="s">
        <v>18466</v>
      </c>
      <c r="BN954" t="s">
        <v>74</v>
      </c>
      <c r="BO954" t="s">
        <v>74</v>
      </c>
      <c r="BP954" t="s">
        <v>74</v>
      </c>
      <c r="BQ954" t="s">
        <v>74</v>
      </c>
      <c r="BR954" t="s">
        <v>105</v>
      </c>
      <c r="BS954" t="s">
        <v>18467</v>
      </c>
      <c r="BT954" t="str">
        <f>HYPERLINK("https%3A%2F%2Fwww.webofscience.com%2Fwos%2Fwoscc%2Ffull-record%2FWOS:000684582400001","View Full Record in Web of Science")</f>
        <v>View Full Record in Web of Science</v>
      </c>
    </row>
    <row r="955" spans="1:72" x14ac:dyDescent="0.15">
      <c r="A955" t="s">
        <v>72</v>
      </c>
      <c r="B955" t="s">
        <v>18468</v>
      </c>
      <c r="C955" t="s">
        <v>74</v>
      </c>
      <c r="D955" t="s">
        <v>74</v>
      </c>
      <c r="E955" t="s">
        <v>74</v>
      </c>
      <c r="F955" t="s">
        <v>18469</v>
      </c>
      <c r="G955" t="s">
        <v>74</v>
      </c>
      <c r="H955" t="s">
        <v>74</v>
      </c>
      <c r="I955" t="s">
        <v>18470</v>
      </c>
      <c r="J955" t="s">
        <v>3784</v>
      </c>
      <c r="K955" t="s">
        <v>74</v>
      </c>
      <c r="L955" t="s">
        <v>74</v>
      </c>
      <c r="M955" t="s">
        <v>78</v>
      </c>
      <c r="N955" t="s">
        <v>79</v>
      </c>
      <c r="O955" t="s">
        <v>74</v>
      </c>
      <c r="P955" t="s">
        <v>74</v>
      </c>
      <c r="Q955" t="s">
        <v>74</v>
      </c>
      <c r="R955" t="s">
        <v>74</v>
      </c>
      <c r="S955" t="s">
        <v>74</v>
      </c>
      <c r="T955" t="s">
        <v>18471</v>
      </c>
      <c r="U955" t="s">
        <v>18472</v>
      </c>
      <c r="V955" t="s">
        <v>18473</v>
      </c>
      <c r="W955" t="s">
        <v>18474</v>
      </c>
      <c r="X955" t="s">
        <v>18475</v>
      </c>
      <c r="Y955" t="s">
        <v>18476</v>
      </c>
      <c r="Z955" t="s">
        <v>18477</v>
      </c>
      <c r="AA955" t="s">
        <v>18478</v>
      </c>
      <c r="AB955" t="s">
        <v>18479</v>
      </c>
      <c r="AC955" t="s">
        <v>18480</v>
      </c>
      <c r="AD955" t="s">
        <v>18481</v>
      </c>
      <c r="AE955" t="s">
        <v>18482</v>
      </c>
      <c r="AF955" t="s">
        <v>74</v>
      </c>
      <c r="AG955">
        <v>54</v>
      </c>
      <c r="AH955">
        <v>2</v>
      </c>
      <c r="AI955">
        <v>2</v>
      </c>
      <c r="AJ955">
        <v>1</v>
      </c>
      <c r="AK955">
        <v>7</v>
      </c>
      <c r="AL955" t="s">
        <v>1621</v>
      </c>
      <c r="AM955" t="s">
        <v>1622</v>
      </c>
      <c r="AN955" t="s">
        <v>1623</v>
      </c>
      <c r="AO955" t="s">
        <v>3797</v>
      </c>
      <c r="AP955" t="s">
        <v>3798</v>
      </c>
      <c r="AQ955" t="s">
        <v>74</v>
      </c>
      <c r="AR955" t="s">
        <v>3799</v>
      </c>
      <c r="AS955" t="s">
        <v>3800</v>
      </c>
      <c r="AT955" t="s">
        <v>74</v>
      </c>
      <c r="AU955">
        <v>2021</v>
      </c>
      <c r="AV955">
        <v>35</v>
      </c>
      <c r="AW955">
        <v>6</v>
      </c>
      <c r="AX955" t="s">
        <v>74</v>
      </c>
      <c r="AY955" t="s">
        <v>74</v>
      </c>
      <c r="AZ955" t="s">
        <v>74</v>
      </c>
      <c r="BA955" t="s">
        <v>74</v>
      </c>
      <c r="BB955">
        <v>655</v>
      </c>
      <c r="BC955">
        <v>674</v>
      </c>
      <c r="BD955" t="s">
        <v>74</v>
      </c>
      <c r="BE955" t="s">
        <v>18483</v>
      </c>
      <c r="BF955" t="str">
        <f>HYPERLINK("http://dx.doi.org/10.1071/IS20078","http://dx.doi.org/10.1071/IS20078")</f>
        <v>http://dx.doi.org/10.1071/IS20078</v>
      </c>
      <c r="BG955" t="s">
        <v>74</v>
      </c>
      <c r="BH955" t="s">
        <v>16043</v>
      </c>
      <c r="BI955">
        <v>20</v>
      </c>
      <c r="BJ955" t="s">
        <v>3802</v>
      </c>
      <c r="BK955" t="s">
        <v>101</v>
      </c>
      <c r="BL955" t="s">
        <v>3802</v>
      </c>
      <c r="BM955" t="s">
        <v>18484</v>
      </c>
      <c r="BN955" t="s">
        <v>74</v>
      </c>
      <c r="BO955" t="s">
        <v>74</v>
      </c>
      <c r="BP955" t="s">
        <v>74</v>
      </c>
      <c r="BQ955" t="s">
        <v>74</v>
      </c>
      <c r="BR955" t="s">
        <v>105</v>
      </c>
      <c r="BS955" t="s">
        <v>18485</v>
      </c>
      <c r="BT955" t="str">
        <f>HYPERLINK("https%3A%2F%2Fwww.webofscience.com%2Fwos%2Fwoscc%2Ffull-record%2FWOS:000684583400001","View Full Record in Web of Science")</f>
        <v>View Full Record in Web of Science</v>
      </c>
    </row>
    <row r="956" spans="1:72" x14ac:dyDescent="0.15">
      <c r="A956" t="s">
        <v>72</v>
      </c>
      <c r="B956" t="s">
        <v>18486</v>
      </c>
      <c r="C956" t="s">
        <v>74</v>
      </c>
      <c r="D956" t="s">
        <v>74</v>
      </c>
      <c r="E956" t="s">
        <v>74</v>
      </c>
      <c r="F956" t="s">
        <v>18487</v>
      </c>
      <c r="G956" t="s">
        <v>74</v>
      </c>
      <c r="H956" t="s">
        <v>74</v>
      </c>
      <c r="I956" t="s">
        <v>18488</v>
      </c>
      <c r="J956" t="s">
        <v>18489</v>
      </c>
      <c r="K956" t="s">
        <v>74</v>
      </c>
      <c r="L956" t="s">
        <v>74</v>
      </c>
      <c r="M956" t="s">
        <v>78</v>
      </c>
      <c r="N956" t="s">
        <v>79</v>
      </c>
      <c r="O956" t="s">
        <v>74</v>
      </c>
      <c r="P956" t="s">
        <v>74</v>
      </c>
      <c r="Q956" t="s">
        <v>74</v>
      </c>
      <c r="R956" t="s">
        <v>74</v>
      </c>
      <c r="S956" t="s">
        <v>74</v>
      </c>
      <c r="T956" t="s">
        <v>18490</v>
      </c>
      <c r="U956" t="s">
        <v>74</v>
      </c>
      <c r="V956" t="s">
        <v>18491</v>
      </c>
      <c r="W956" t="s">
        <v>18492</v>
      </c>
      <c r="X956" t="s">
        <v>18493</v>
      </c>
      <c r="Y956" t="s">
        <v>18494</v>
      </c>
      <c r="Z956" t="s">
        <v>18495</v>
      </c>
      <c r="AA956" t="s">
        <v>18496</v>
      </c>
      <c r="AB956" t="s">
        <v>18497</v>
      </c>
      <c r="AC956" t="s">
        <v>18498</v>
      </c>
      <c r="AD956" t="s">
        <v>18498</v>
      </c>
      <c r="AE956" t="s">
        <v>18499</v>
      </c>
      <c r="AF956" t="s">
        <v>74</v>
      </c>
      <c r="AG956">
        <v>29</v>
      </c>
      <c r="AH956">
        <v>10</v>
      </c>
      <c r="AI956">
        <v>10</v>
      </c>
      <c r="AJ956">
        <v>5</v>
      </c>
      <c r="AK956">
        <v>20</v>
      </c>
      <c r="AL956" t="s">
        <v>1326</v>
      </c>
      <c r="AM956" t="s">
        <v>256</v>
      </c>
      <c r="AN956" t="s">
        <v>1327</v>
      </c>
      <c r="AO956" t="s">
        <v>18500</v>
      </c>
      <c r="AP956" t="s">
        <v>18501</v>
      </c>
      <c r="AQ956" t="s">
        <v>74</v>
      </c>
      <c r="AR956" t="s">
        <v>18502</v>
      </c>
      <c r="AS956" t="s">
        <v>18503</v>
      </c>
      <c r="AT956" t="s">
        <v>310</v>
      </c>
      <c r="AU956">
        <v>2021</v>
      </c>
      <c r="AV956">
        <v>80</v>
      </c>
      <c r="AW956" t="s">
        <v>74</v>
      </c>
      <c r="AX956" t="s">
        <v>74</v>
      </c>
      <c r="AY956" t="s">
        <v>74</v>
      </c>
      <c r="AZ956" t="s">
        <v>74</v>
      </c>
      <c r="BA956" t="s">
        <v>74</v>
      </c>
      <c r="BB956" t="s">
        <v>74</v>
      </c>
      <c r="BC956" t="s">
        <v>74</v>
      </c>
      <c r="BD956">
        <v>103049</v>
      </c>
      <c r="BE956" t="s">
        <v>18504</v>
      </c>
      <c r="BF956" t="str">
        <f>HYPERLINK("http://dx.doi.org/10.1016/j.marstruc.2021.103049","http://dx.doi.org/10.1016/j.marstruc.2021.103049")</f>
        <v>http://dx.doi.org/10.1016/j.marstruc.2021.103049</v>
      </c>
      <c r="BG956" t="s">
        <v>74</v>
      </c>
      <c r="BH956" t="s">
        <v>16043</v>
      </c>
      <c r="BI956">
        <v>28</v>
      </c>
      <c r="BJ956" t="s">
        <v>18505</v>
      </c>
      <c r="BK956" t="s">
        <v>101</v>
      </c>
      <c r="BL956" t="s">
        <v>10819</v>
      </c>
      <c r="BM956" t="s">
        <v>18506</v>
      </c>
      <c r="BN956" t="s">
        <v>74</v>
      </c>
      <c r="BO956" t="s">
        <v>2241</v>
      </c>
      <c r="BP956" t="s">
        <v>74</v>
      </c>
      <c r="BQ956" t="s">
        <v>74</v>
      </c>
      <c r="BR956" t="s">
        <v>105</v>
      </c>
      <c r="BS956" t="s">
        <v>18507</v>
      </c>
      <c r="BT956" t="str">
        <f>HYPERLINK("https%3A%2F%2Fwww.webofscience.com%2Fwos%2Fwoscc%2Ffull-record%2FWOS:000701820100001","View Full Record in Web of Science")</f>
        <v>View Full Record in Web of Science</v>
      </c>
    </row>
    <row r="957" spans="1:72" x14ac:dyDescent="0.15">
      <c r="A957" t="s">
        <v>72</v>
      </c>
      <c r="B957" t="s">
        <v>18508</v>
      </c>
      <c r="C957" t="s">
        <v>74</v>
      </c>
      <c r="D957" t="s">
        <v>74</v>
      </c>
      <c r="E957" t="s">
        <v>74</v>
      </c>
      <c r="F957" t="s">
        <v>18509</v>
      </c>
      <c r="G957" t="s">
        <v>74</v>
      </c>
      <c r="H957" t="s">
        <v>74</v>
      </c>
      <c r="I957" t="s">
        <v>18510</v>
      </c>
      <c r="J957" t="s">
        <v>18511</v>
      </c>
      <c r="K957" t="s">
        <v>74</v>
      </c>
      <c r="L957" t="s">
        <v>74</v>
      </c>
      <c r="M957" t="s">
        <v>78</v>
      </c>
      <c r="N957" t="s">
        <v>79</v>
      </c>
      <c r="O957" t="s">
        <v>74</v>
      </c>
      <c r="P957" t="s">
        <v>74</v>
      </c>
      <c r="Q957" t="s">
        <v>74</v>
      </c>
      <c r="R957" t="s">
        <v>74</v>
      </c>
      <c r="S957" t="s">
        <v>74</v>
      </c>
      <c r="T957" t="s">
        <v>18512</v>
      </c>
      <c r="U957" t="s">
        <v>18513</v>
      </c>
      <c r="V957" t="s">
        <v>18514</v>
      </c>
      <c r="W957" t="s">
        <v>18515</v>
      </c>
      <c r="X957" t="s">
        <v>18516</v>
      </c>
      <c r="Y957" t="s">
        <v>18517</v>
      </c>
      <c r="Z957" t="s">
        <v>18518</v>
      </c>
      <c r="AA957" t="s">
        <v>18519</v>
      </c>
      <c r="AB957" t="s">
        <v>18520</v>
      </c>
      <c r="AC957" t="s">
        <v>18521</v>
      </c>
      <c r="AD957" t="s">
        <v>18522</v>
      </c>
      <c r="AE957" t="s">
        <v>18523</v>
      </c>
      <c r="AF957" t="s">
        <v>74</v>
      </c>
      <c r="AG957">
        <v>99</v>
      </c>
      <c r="AH957">
        <v>11</v>
      </c>
      <c r="AI957">
        <v>11</v>
      </c>
      <c r="AJ957">
        <v>10</v>
      </c>
      <c r="AK957">
        <v>42</v>
      </c>
      <c r="AL957" t="s">
        <v>847</v>
      </c>
      <c r="AM957" t="s">
        <v>848</v>
      </c>
      <c r="AN957" t="s">
        <v>849</v>
      </c>
      <c r="AO957" t="s">
        <v>18524</v>
      </c>
      <c r="AP957" t="s">
        <v>18525</v>
      </c>
      <c r="AQ957" t="s">
        <v>74</v>
      </c>
      <c r="AR957" t="s">
        <v>18526</v>
      </c>
      <c r="AS957" t="s">
        <v>18527</v>
      </c>
      <c r="AT957" t="s">
        <v>310</v>
      </c>
      <c r="AU957">
        <v>2021</v>
      </c>
      <c r="AV957">
        <v>171</v>
      </c>
      <c r="AW957" t="s">
        <v>74</v>
      </c>
      <c r="AX957" t="s">
        <v>74</v>
      </c>
      <c r="AY957" t="s">
        <v>74</v>
      </c>
      <c r="AZ957" t="s">
        <v>74</v>
      </c>
      <c r="BA957" t="s">
        <v>74</v>
      </c>
      <c r="BB957" t="s">
        <v>74</v>
      </c>
      <c r="BC957" t="s">
        <v>74</v>
      </c>
      <c r="BD957">
        <v>106394</v>
      </c>
      <c r="BE957" t="s">
        <v>18528</v>
      </c>
      <c r="BF957" t="str">
        <f>HYPERLINK("http://dx.doi.org/10.1016/j.ecoleng.2021.106394","http://dx.doi.org/10.1016/j.ecoleng.2021.106394")</f>
        <v>http://dx.doi.org/10.1016/j.ecoleng.2021.106394</v>
      </c>
      <c r="BG957" t="s">
        <v>74</v>
      </c>
      <c r="BH957" t="s">
        <v>16043</v>
      </c>
      <c r="BI957">
        <v>11</v>
      </c>
      <c r="BJ957" t="s">
        <v>18529</v>
      </c>
      <c r="BK957" t="s">
        <v>101</v>
      </c>
      <c r="BL957" t="s">
        <v>18530</v>
      </c>
      <c r="BM957" t="s">
        <v>18531</v>
      </c>
      <c r="BN957" t="s">
        <v>74</v>
      </c>
      <c r="BO957" t="s">
        <v>74</v>
      </c>
      <c r="BP957" t="s">
        <v>74</v>
      </c>
      <c r="BQ957" t="s">
        <v>74</v>
      </c>
      <c r="BR957" t="s">
        <v>105</v>
      </c>
      <c r="BS957" t="s">
        <v>18532</v>
      </c>
      <c r="BT957" t="str">
        <f>HYPERLINK("https%3A%2F%2Fwww.webofscience.com%2Fwos%2Fwoscc%2Ffull-record%2FWOS:000694948100017","View Full Record in Web of Science")</f>
        <v>View Full Record in Web of Science</v>
      </c>
    </row>
    <row r="958" spans="1:72" x14ac:dyDescent="0.15">
      <c r="A958" t="s">
        <v>72</v>
      </c>
      <c r="B958" t="s">
        <v>18533</v>
      </c>
      <c r="C958" t="s">
        <v>74</v>
      </c>
      <c r="D958" t="s">
        <v>74</v>
      </c>
      <c r="E958" t="s">
        <v>74</v>
      </c>
      <c r="F958" t="s">
        <v>18534</v>
      </c>
      <c r="G958" t="s">
        <v>74</v>
      </c>
      <c r="H958" t="s">
        <v>74</v>
      </c>
      <c r="I958" t="s">
        <v>18535</v>
      </c>
      <c r="J958" t="s">
        <v>16693</v>
      </c>
      <c r="K958" t="s">
        <v>74</v>
      </c>
      <c r="L958" t="s">
        <v>74</v>
      </c>
      <c r="M958" t="s">
        <v>78</v>
      </c>
      <c r="N958" t="s">
        <v>79</v>
      </c>
      <c r="O958" t="s">
        <v>74</v>
      </c>
      <c r="P958" t="s">
        <v>74</v>
      </c>
      <c r="Q958" t="s">
        <v>74</v>
      </c>
      <c r="R958" t="s">
        <v>74</v>
      </c>
      <c r="S958" t="s">
        <v>74</v>
      </c>
      <c r="T958" t="s">
        <v>18536</v>
      </c>
      <c r="U958" t="s">
        <v>18537</v>
      </c>
      <c r="V958" t="s">
        <v>18538</v>
      </c>
      <c r="W958" t="s">
        <v>18539</v>
      </c>
      <c r="X958" t="s">
        <v>18540</v>
      </c>
      <c r="Y958" t="s">
        <v>18541</v>
      </c>
      <c r="Z958" t="s">
        <v>18542</v>
      </c>
      <c r="AA958" t="s">
        <v>18543</v>
      </c>
      <c r="AB958" t="s">
        <v>18544</v>
      </c>
      <c r="AC958" t="s">
        <v>18545</v>
      </c>
      <c r="AD958" t="s">
        <v>18546</v>
      </c>
      <c r="AE958" t="s">
        <v>18547</v>
      </c>
      <c r="AF958" t="s">
        <v>74</v>
      </c>
      <c r="AG958">
        <v>59</v>
      </c>
      <c r="AH958">
        <v>10</v>
      </c>
      <c r="AI958">
        <v>11</v>
      </c>
      <c r="AJ958">
        <v>6</v>
      </c>
      <c r="AK958">
        <v>12</v>
      </c>
      <c r="AL958" t="s">
        <v>847</v>
      </c>
      <c r="AM958" t="s">
        <v>848</v>
      </c>
      <c r="AN958" t="s">
        <v>849</v>
      </c>
      <c r="AO958" t="s">
        <v>16703</v>
      </c>
      <c r="AP958" t="s">
        <v>74</v>
      </c>
      <c r="AQ958" t="s">
        <v>74</v>
      </c>
      <c r="AR958" t="s">
        <v>16704</v>
      </c>
      <c r="AS958" t="s">
        <v>16705</v>
      </c>
      <c r="AT958" t="s">
        <v>627</v>
      </c>
      <c r="AU958">
        <v>2021</v>
      </c>
      <c r="AV958">
        <v>33</v>
      </c>
      <c r="AW958" t="s">
        <v>74</v>
      </c>
      <c r="AX958" t="s">
        <v>74</v>
      </c>
      <c r="AY958" t="s">
        <v>74</v>
      </c>
      <c r="AZ958" t="s">
        <v>74</v>
      </c>
      <c r="BA958" t="s">
        <v>74</v>
      </c>
      <c r="BB958" t="s">
        <v>74</v>
      </c>
      <c r="BC958" t="s">
        <v>74</v>
      </c>
      <c r="BD958">
        <v>100358</v>
      </c>
      <c r="BE958" t="s">
        <v>18548</v>
      </c>
      <c r="BF958" t="str">
        <f>HYPERLINK("http://dx.doi.org/10.1016/j.wace.2021.100358","http://dx.doi.org/10.1016/j.wace.2021.100358")</f>
        <v>http://dx.doi.org/10.1016/j.wace.2021.100358</v>
      </c>
      <c r="BG958" t="s">
        <v>74</v>
      </c>
      <c r="BH958" t="s">
        <v>16043</v>
      </c>
      <c r="BI958">
        <v>7</v>
      </c>
      <c r="BJ958" t="s">
        <v>829</v>
      </c>
      <c r="BK958" t="s">
        <v>101</v>
      </c>
      <c r="BL958" t="s">
        <v>829</v>
      </c>
      <c r="BM958" t="s">
        <v>18549</v>
      </c>
      <c r="BN958" t="s">
        <v>74</v>
      </c>
      <c r="BO958" t="s">
        <v>210</v>
      </c>
      <c r="BP958" t="s">
        <v>74</v>
      </c>
      <c r="BQ958" t="s">
        <v>74</v>
      </c>
      <c r="BR958" t="s">
        <v>105</v>
      </c>
      <c r="BS958" t="s">
        <v>18550</v>
      </c>
      <c r="BT958" t="str">
        <f>HYPERLINK("https%3A%2F%2Fwww.webofscience.com%2Fwos%2Fwoscc%2Ffull-record%2FWOS:000688257000003","View Full Record in Web of Science")</f>
        <v>View Full Record in Web of Science</v>
      </c>
    </row>
    <row r="959" spans="1:72" x14ac:dyDescent="0.15">
      <c r="A959" t="s">
        <v>72</v>
      </c>
      <c r="B959" t="s">
        <v>18551</v>
      </c>
      <c r="C959" t="s">
        <v>74</v>
      </c>
      <c r="D959" t="s">
        <v>74</v>
      </c>
      <c r="E959" t="s">
        <v>74</v>
      </c>
      <c r="F959" t="s">
        <v>18552</v>
      </c>
      <c r="G959" t="s">
        <v>74</v>
      </c>
      <c r="H959" t="s">
        <v>74</v>
      </c>
      <c r="I959" t="s">
        <v>18553</v>
      </c>
      <c r="J959" t="s">
        <v>7243</v>
      </c>
      <c r="K959" t="s">
        <v>74</v>
      </c>
      <c r="L959" t="s">
        <v>74</v>
      </c>
      <c r="M959" t="s">
        <v>78</v>
      </c>
      <c r="N959" t="s">
        <v>79</v>
      </c>
      <c r="O959" t="s">
        <v>74</v>
      </c>
      <c r="P959" t="s">
        <v>74</v>
      </c>
      <c r="Q959" t="s">
        <v>74</v>
      </c>
      <c r="R959" t="s">
        <v>74</v>
      </c>
      <c r="S959" t="s">
        <v>74</v>
      </c>
      <c r="T959" t="s">
        <v>18554</v>
      </c>
      <c r="U959" t="s">
        <v>18555</v>
      </c>
      <c r="V959" t="s">
        <v>18556</v>
      </c>
      <c r="W959" t="s">
        <v>18557</v>
      </c>
      <c r="X959" t="s">
        <v>18558</v>
      </c>
      <c r="Y959" t="s">
        <v>18559</v>
      </c>
      <c r="Z959" t="s">
        <v>18560</v>
      </c>
      <c r="AA959" t="s">
        <v>18561</v>
      </c>
      <c r="AB959" t="s">
        <v>18562</v>
      </c>
      <c r="AC959" t="s">
        <v>18563</v>
      </c>
      <c r="AD959" t="s">
        <v>18564</v>
      </c>
      <c r="AE959" t="s">
        <v>18565</v>
      </c>
      <c r="AF959" t="s">
        <v>74</v>
      </c>
      <c r="AG959">
        <v>44</v>
      </c>
      <c r="AH959">
        <v>4</v>
      </c>
      <c r="AI959">
        <v>6</v>
      </c>
      <c r="AJ959">
        <v>1</v>
      </c>
      <c r="AK959">
        <v>29</v>
      </c>
      <c r="AL959" t="s">
        <v>847</v>
      </c>
      <c r="AM959" t="s">
        <v>848</v>
      </c>
      <c r="AN959" t="s">
        <v>849</v>
      </c>
      <c r="AO959" t="s">
        <v>7255</v>
      </c>
      <c r="AP959" t="s">
        <v>7256</v>
      </c>
      <c r="AQ959" t="s">
        <v>74</v>
      </c>
      <c r="AR959" t="s">
        <v>7257</v>
      </c>
      <c r="AS959" t="s">
        <v>7258</v>
      </c>
      <c r="AT959" t="s">
        <v>8017</v>
      </c>
      <c r="AU959">
        <v>2021</v>
      </c>
      <c r="AV959">
        <v>572</v>
      </c>
      <c r="AW959" t="s">
        <v>74</v>
      </c>
      <c r="AX959" t="s">
        <v>74</v>
      </c>
      <c r="AY959" t="s">
        <v>74</v>
      </c>
      <c r="AZ959" t="s">
        <v>74</v>
      </c>
      <c r="BA959" t="s">
        <v>74</v>
      </c>
      <c r="BB959" t="s">
        <v>74</v>
      </c>
      <c r="BC959" t="s">
        <v>74</v>
      </c>
      <c r="BD959">
        <v>117132</v>
      </c>
      <c r="BE959" t="s">
        <v>18566</v>
      </c>
      <c r="BF959" t="str">
        <f>HYPERLINK("http://dx.doi.org/10.1016/j.epsl.2021.117132","http://dx.doi.org/10.1016/j.epsl.2021.117132")</f>
        <v>http://dx.doi.org/10.1016/j.epsl.2021.117132</v>
      </c>
      <c r="BG959" t="s">
        <v>74</v>
      </c>
      <c r="BH959" t="s">
        <v>16043</v>
      </c>
      <c r="BI959">
        <v>12</v>
      </c>
      <c r="BJ959" t="s">
        <v>365</v>
      </c>
      <c r="BK959" t="s">
        <v>101</v>
      </c>
      <c r="BL959" t="s">
        <v>365</v>
      </c>
      <c r="BM959" t="s">
        <v>18567</v>
      </c>
      <c r="BN959" t="s">
        <v>74</v>
      </c>
      <c r="BO959" t="s">
        <v>74</v>
      </c>
      <c r="BP959" t="s">
        <v>74</v>
      </c>
      <c r="BQ959" t="s">
        <v>74</v>
      </c>
      <c r="BR959" t="s">
        <v>105</v>
      </c>
      <c r="BS959" t="s">
        <v>18568</v>
      </c>
      <c r="BT959" t="str">
        <f>HYPERLINK("https%3A%2F%2Fwww.webofscience.com%2Fwos%2Fwoscc%2Ffull-record%2FWOS:000687593800009","View Full Record in Web of Science")</f>
        <v>View Full Record in Web of Science</v>
      </c>
    </row>
    <row r="960" spans="1:72" x14ac:dyDescent="0.15">
      <c r="A960" t="s">
        <v>72</v>
      </c>
      <c r="B960" t="s">
        <v>18569</v>
      </c>
      <c r="C960" t="s">
        <v>74</v>
      </c>
      <c r="D960" t="s">
        <v>74</v>
      </c>
      <c r="E960" t="s">
        <v>74</v>
      </c>
      <c r="F960" t="s">
        <v>18570</v>
      </c>
      <c r="G960" t="s">
        <v>74</v>
      </c>
      <c r="H960" t="s">
        <v>74</v>
      </c>
      <c r="I960" t="s">
        <v>18571</v>
      </c>
      <c r="J960" t="s">
        <v>7243</v>
      </c>
      <c r="K960" t="s">
        <v>74</v>
      </c>
      <c r="L960" t="s">
        <v>74</v>
      </c>
      <c r="M960" t="s">
        <v>78</v>
      </c>
      <c r="N960" t="s">
        <v>79</v>
      </c>
      <c r="O960" t="s">
        <v>74</v>
      </c>
      <c r="P960" t="s">
        <v>74</v>
      </c>
      <c r="Q960" t="s">
        <v>74</v>
      </c>
      <c r="R960" t="s">
        <v>74</v>
      </c>
      <c r="S960" t="s">
        <v>74</v>
      </c>
      <c r="T960" t="s">
        <v>18572</v>
      </c>
      <c r="U960" t="s">
        <v>18573</v>
      </c>
      <c r="V960" t="s">
        <v>18574</v>
      </c>
      <c r="W960" t="s">
        <v>18575</v>
      </c>
      <c r="X960" t="s">
        <v>18576</v>
      </c>
      <c r="Y960" t="s">
        <v>18577</v>
      </c>
      <c r="Z960" t="s">
        <v>18578</v>
      </c>
      <c r="AA960" t="s">
        <v>74</v>
      </c>
      <c r="AB960" t="s">
        <v>18579</v>
      </c>
      <c r="AC960" t="s">
        <v>18580</v>
      </c>
      <c r="AD960" t="s">
        <v>18581</v>
      </c>
      <c r="AE960" t="s">
        <v>18582</v>
      </c>
      <c r="AF960" t="s">
        <v>74</v>
      </c>
      <c r="AG960">
        <v>48</v>
      </c>
      <c r="AH960">
        <v>5</v>
      </c>
      <c r="AI960">
        <v>5</v>
      </c>
      <c r="AJ960">
        <v>3</v>
      </c>
      <c r="AK960">
        <v>14</v>
      </c>
      <c r="AL960" t="s">
        <v>847</v>
      </c>
      <c r="AM960" t="s">
        <v>848</v>
      </c>
      <c r="AN960" t="s">
        <v>849</v>
      </c>
      <c r="AO960" t="s">
        <v>7255</v>
      </c>
      <c r="AP960" t="s">
        <v>7256</v>
      </c>
      <c r="AQ960" t="s">
        <v>74</v>
      </c>
      <c r="AR960" t="s">
        <v>7257</v>
      </c>
      <c r="AS960" t="s">
        <v>7258</v>
      </c>
      <c r="AT960" t="s">
        <v>8017</v>
      </c>
      <c r="AU960">
        <v>2021</v>
      </c>
      <c r="AV960">
        <v>572</v>
      </c>
      <c r="AW960" t="s">
        <v>74</v>
      </c>
      <c r="AX960" t="s">
        <v>74</v>
      </c>
      <c r="AY960" t="s">
        <v>74</v>
      </c>
      <c r="AZ960" t="s">
        <v>74</v>
      </c>
      <c r="BA960" t="s">
        <v>74</v>
      </c>
      <c r="BB960" t="s">
        <v>74</v>
      </c>
      <c r="BC960" t="s">
        <v>74</v>
      </c>
      <c r="BD960">
        <v>117136</v>
      </c>
      <c r="BE960" t="s">
        <v>18583</v>
      </c>
      <c r="BF960" t="str">
        <f>HYPERLINK("http://dx.doi.org/10.1016/j.epsl.2021.117136","http://dx.doi.org/10.1016/j.epsl.2021.117136")</f>
        <v>http://dx.doi.org/10.1016/j.epsl.2021.117136</v>
      </c>
      <c r="BG960" t="s">
        <v>74</v>
      </c>
      <c r="BH960" t="s">
        <v>16043</v>
      </c>
      <c r="BI960">
        <v>14</v>
      </c>
      <c r="BJ960" t="s">
        <v>365</v>
      </c>
      <c r="BK960" t="s">
        <v>101</v>
      </c>
      <c r="BL960" t="s">
        <v>365</v>
      </c>
      <c r="BM960" t="s">
        <v>18567</v>
      </c>
      <c r="BN960" t="s">
        <v>74</v>
      </c>
      <c r="BO960" t="s">
        <v>475</v>
      </c>
      <c r="BP960" t="s">
        <v>74</v>
      </c>
      <c r="BQ960" t="s">
        <v>74</v>
      </c>
      <c r="BR960" t="s">
        <v>105</v>
      </c>
      <c r="BS960" t="s">
        <v>18584</v>
      </c>
      <c r="BT960" t="str">
        <f>HYPERLINK("https%3A%2F%2Fwww.webofscience.com%2Fwos%2Fwoscc%2Ffull-record%2FWOS:000687593800011","View Full Record in Web of Science")</f>
        <v>View Full Record in Web of Science</v>
      </c>
    </row>
    <row r="961" spans="1:72" x14ac:dyDescent="0.15">
      <c r="A961" t="s">
        <v>72</v>
      </c>
      <c r="B961" t="s">
        <v>18585</v>
      </c>
      <c r="C961" t="s">
        <v>74</v>
      </c>
      <c r="D961" t="s">
        <v>74</v>
      </c>
      <c r="E961" t="s">
        <v>74</v>
      </c>
      <c r="F961" t="s">
        <v>18586</v>
      </c>
      <c r="G961" t="s">
        <v>74</v>
      </c>
      <c r="H961" t="s">
        <v>74</v>
      </c>
      <c r="I961" t="s">
        <v>18587</v>
      </c>
      <c r="J961" t="s">
        <v>215</v>
      </c>
      <c r="K961" t="s">
        <v>74</v>
      </c>
      <c r="L961" t="s">
        <v>74</v>
      </c>
      <c r="M961" t="s">
        <v>78</v>
      </c>
      <c r="N961" t="s">
        <v>79</v>
      </c>
      <c r="O961" t="s">
        <v>74</v>
      </c>
      <c r="P961" t="s">
        <v>74</v>
      </c>
      <c r="Q961" t="s">
        <v>74</v>
      </c>
      <c r="R961" t="s">
        <v>74</v>
      </c>
      <c r="S961" t="s">
        <v>74</v>
      </c>
      <c r="T961" t="s">
        <v>74</v>
      </c>
      <c r="U961" t="s">
        <v>18588</v>
      </c>
      <c r="V961" t="s">
        <v>18589</v>
      </c>
      <c r="W961" t="s">
        <v>18590</v>
      </c>
      <c r="X961" t="s">
        <v>18591</v>
      </c>
      <c r="Y961" t="s">
        <v>18592</v>
      </c>
      <c r="Z961" t="s">
        <v>18593</v>
      </c>
      <c r="AA961" t="s">
        <v>18594</v>
      </c>
      <c r="AB961" t="s">
        <v>18595</v>
      </c>
      <c r="AC961" t="s">
        <v>18596</v>
      </c>
      <c r="AD961" t="s">
        <v>18597</v>
      </c>
      <c r="AE961" t="s">
        <v>18598</v>
      </c>
      <c r="AF961" t="s">
        <v>74</v>
      </c>
      <c r="AG961">
        <v>86</v>
      </c>
      <c r="AH961">
        <v>4</v>
      </c>
      <c r="AI961">
        <v>5</v>
      </c>
      <c r="AJ961">
        <v>0</v>
      </c>
      <c r="AK961">
        <v>2</v>
      </c>
      <c r="AL961" t="s">
        <v>227</v>
      </c>
      <c r="AM961" t="s">
        <v>228</v>
      </c>
      <c r="AN961" t="s">
        <v>229</v>
      </c>
      <c r="AO961" t="s">
        <v>230</v>
      </c>
      <c r="AP961" t="s">
        <v>231</v>
      </c>
      <c r="AQ961" t="s">
        <v>74</v>
      </c>
      <c r="AR961" t="s">
        <v>232</v>
      </c>
      <c r="AS961" t="s">
        <v>233</v>
      </c>
      <c r="AT961" t="s">
        <v>18599</v>
      </c>
      <c r="AU961">
        <v>2021</v>
      </c>
      <c r="AV961">
        <v>14</v>
      </c>
      <c r="AW961">
        <v>8</v>
      </c>
      <c r="AX961" t="s">
        <v>74</v>
      </c>
      <c r="AY961" t="s">
        <v>74</v>
      </c>
      <c r="AZ961" t="s">
        <v>74</v>
      </c>
      <c r="BA961" t="s">
        <v>74</v>
      </c>
      <c r="BB961">
        <v>4939</v>
      </c>
      <c r="BC961">
        <v>4975</v>
      </c>
      <c r="BD961" t="s">
        <v>74</v>
      </c>
      <c r="BE961" t="s">
        <v>18600</v>
      </c>
      <c r="BF961" t="str">
        <f>HYPERLINK("http://dx.doi.org/10.5194/gmd-14-4939-2021","http://dx.doi.org/10.5194/gmd-14-4939-2021")</f>
        <v>http://dx.doi.org/10.5194/gmd-14-4939-2021</v>
      </c>
      <c r="BG961" t="s">
        <v>74</v>
      </c>
      <c r="BH961" t="s">
        <v>74</v>
      </c>
      <c r="BI961">
        <v>37</v>
      </c>
      <c r="BJ961" t="s">
        <v>236</v>
      </c>
      <c r="BK961" t="s">
        <v>101</v>
      </c>
      <c r="BL961" t="s">
        <v>237</v>
      </c>
      <c r="BM961" t="s">
        <v>18601</v>
      </c>
      <c r="BN961" t="s">
        <v>74</v>
      </c>
      <c r="BO961" t="s">
        <v>554</v>
      </c>
      <c r="BP961" t="s">
        <v>74</v>
      </c>
      <c r="BQ961" t="s">
        <v>74</v>
      </c>
      <c r="BR961" t="s">
        <v>105</v>
      </c>
      <c r="BS961" t="s">
        <v>18602</v>
      </c>
      <c r="BT961" t="str">
        <f>HYPERLINK("https%3A%2F%2Fwww.webofscience.com%2Fwos%2Fwoscc%2Ffull-record%2FWOS:000685223400001","View Full Record in Web of Science")</f>
        <v>View Full Record in Web of Science</v>
      </c>
    </row>
    <row r="962" spans="1:72" x14ac:dyDescent="0.15">
      <c r="A962" t="s">
        <v>72</v>
      </c>
      <c r="B962" t="s">
        <v>18603</v>
      </c>
      <c r="C962" t="s">
        <v>74</v>
      </c>
      <c r="D962" t="s">
        <v>74</v>
      </c>
      <c r="E962" t="s">
        <v>74</v>
      </c>
      <c r="F962" t="s">
        <v>18604</v>
      </c>
      <c r="G962" t="s">
        <v>74</v>
      </c>
      <c r="H962" t="s">
        <v>74</v>
      </c>
      <c r="I962" t="s">
        <v>18605</v>
      </c>
      <c r="J962" t="s">
        <v>18606</v>
      </c>
      <c r="K962" t="s">
        <v>74</v>
      </c>
      <c r="L962" t="s">
        <v>74</v>
      </c>
      <c r="M962" t="s">
        <v>78</v>
      </c>
      <c r="N962" t="s">
        <v>79</v>
      </c>
      <c r="O962" t="s">
        <v>74</v>
      </c>
      <c r="P962" t="s">
        <v>74</v>
      </c>
      <c r="Q962" t="s">
        <v>74</v>
      </c>
      <c r="R962" t="s">
        <v>74</v>
      </c>
      <c r="S962" t="s">
        <v>74</v>
      </c>
      <c r="T962" t="s">
        <v>18607</v>
      </c>
      <c r="U962" t="s">
        <v>18608</v>
      </c>
      <c r="V962" t="s">
        <v>18609</v>
      </c>
      <c r="W962" t="s">
        <v>18610</v>
      </c>
      <c r="X962" t="s">
        <v>18611</v>
      </c>
      <c r="Y962" t="s">
        <v>18612</v>
      </c>
      <c r="Z962" t="s">
        <v>18613</v>
      </c>
      <c r="AA962" t="s">
        <v>18614</v>
      </c>
      <c r="AB962" t="s">
        <v>74</v>
      </c>
      <c r="AC962" t="s">
        <v>18615</v>
      </c>
      <c r="AD962" t="s">
        <v>18616</v>
      </c>
      <c r="AE962" t="s">
        <v>18617</v>
      </c>
      <c r="AF962" t="s">
        <v>74</v>
      </c>
      <c r="AG962">
        <v>47</v>
      </c>
      <c r="AH962">
        <v>2</v>
      </c>
      <c r="AI962">
        <v>3</v>
      </c>
      <c r="AJ962">
        <v>1</v>
      </c>
      <c r="AK962">
        <v>6</v>
      </c>
      <c r="AL962" t="s">
        <v>9993</v>
      </c>
      <c r="AM962" t="s">
        <v>9994</v>
      </c>
      <c r="AN962" t="s">
        <v>18618</v>
      </c>
      <c r="AO962" t="s">
        <v>18619</v>
      </c>
      <c r="AP962" t="s">
        <v>18620</v>
      </c>
      <c r="AQ962" t="s">
        <v>74</v>
      </c>
      <c r="AR962" t="s">
        <v>18621</v>
      </c>
      <c r="AS962" t="s">
        <v>18622</v>
      </c>
      <c r="AT962" t="s">
        <v>627</v>
      </c>
      <c r="AU962">
        <v>2021</v>
      </c>
      <c r="AV962">
        <v>39</v>
      </c>
      <c r="AW962">
        <v>5</v>
      </c>
      <c r="AX962" t="s">
        <v>74</v>
      </c>
      <c r="AY962" t="s">
        <v>74</v>
      </c>
      <c r="AZ962" t="s">
        <v>526</v>
      </c>
      <c r="BA962" t="s">
        <v>74</v>
      </c>
      <c r="BB962">
        <v>1805</v>
      </c>
      <c r="BC962">
        <v>1816</v>
      </c>
      <c r="BD962" t="s">
        <v>74</v>
      </c>
      <c r="BE962" t="s">
        <v>18623</v>
      </c>
      <c r="BF962" t="str">
        <f>HYPERLINK("http://dx.doi.org/10.1007/s00343-021-0413-6","http://dx.doi.org/10.1007/s00343-021-0413-6")</f>
        <v>http://dx.doi.org/10.1007/s00343-021-0413-6</v>
      </c>
      <c r="BG962" t="s">
        <v>74</v>
      </c>
      <c r="BH962" t="s">
        <v>16043</v>
      </c>
      <c r="BI962">
        <v>12</v>
      </c>
      <c r="BJ962" t="s">
        <v>3575</v>
      </c>
      <c r="BK962" t="s">
        <v>101</v>
      </c>
      <c r="BL962" t="s">
        <v>3136</v>
      </c>
      <c r="BM962" t="s">
        <v>18624</v>
      </c>
      <c r="BN962" t="s">
        <v>74</v>
      </c>
      <c r="BO962" t="s">
        <v>74</v>
      </c>
      <c r="BP962" t="s">
        <v>74</v>
      </c>
      <c r="BQ962" t="s">
        <v>74</v>
      </c>
      <c r="BR962" t="s">
        <v>105</v>
      </c>
      <c r="BS962" t="s">
        <v>18625</v>
      </c>
      <c r="BT962" t="str">
        <f>HYPERLINK("https%3A%2F%2Fwww.webofscience.com%2Fwos%2Fwoscc%2Ffull-record%2FWOS:000684088300011","View Full Record in Web of Science")</f>
        <v>View Full Record in Web of Science</v>
      </c>
    </row>
    <row r="963" spans="1:72" x14ac:dyDescent="0.15">
      <c r="A963" t="s">
        <v>72</v>
      </c>
      <c r="B963" t="s">
        <v>18626</v>
      </c>
      <c r="C963" t="s">
        <v>74</v>
      </c>
      <c r="D963" t="s">
        <v>74</v>
      </c>
      <c r="E963" t="s">
        <v>74</v>
      </c>
      <c r="F963" t="s">
        <v>18627</v>
      </c>
      <c r="G963" t="s">
        <v>74</v>
      </c>
      <c r="H963" t="s">
        <v>74</v>
      </c>
      <c r="I963" t="s">
        <v>18628</v>
      </c>
      <c r="J963" t="s">
        <v>659</v>
      </c>
      <c r="K963" t="s">
        <v>74</v>
      </c>
      <c r="L963" t="s">
        <v>74</v>
      </c>
      <c r="M963" t="s">
        <v>78</v>
      </c>
      <c r="N963" t="s">
        <v>79</v>
      </c>
      <c r="O963" t="s">
        <v>74</v>
      </c>
      <c r="P963" t="s">
        <v>74</v>
      </c>
      <c r="Q963" t="s">
        <v>74</v>
      </c>
      <c r="R963" t="s">
        <v>74</v>
      </c>
      <c r="S963" t="s">
        <v>74</v>
      </c>
      <c r="T963" t="s">
        <v>18629</v>
      </c>
      <c r="U963" t="s">
        <v>74</v>
      </c>
      <c r="V963" t="s">
        <v>18630</v>
      </c>
      <c r="W963" t="s">
        <v>18631</v>
      </c>
      <c r="X963" t="s">
        <v>18632</v>
      </c>
      <c r="Y963" t="s">
        <v>18633</v>
      </c>
      <c r="Z963" t="s">
        <v>18634</v>
      </c>
      <c r="AA963" t="s">
        <v>74</v>
      </c>
      <c r="AB963" t="s">
        <v>74</v>
      </c>
      <c r="AC963" t="s">
        <v>18635</v>
      </c>
      <c r="AD963" t="s">
        <v>18636</v>
      </c>
      <c r="AE963" t="s">
        <v>18637</v>
      </c>
      <c r="AF963" t="s">
        <v>74</v>
      </c>
      <c r="AG963">
        <v>6</v>
      </c>
      <c r="AH963">
        <v>3</v>
      </c>
      <c r="AI963">
        <v>3</v>
      </c>
      <c r="AJ963">
        <v>0</v>
      </c>
      <c r="AK963">
        <v>0</v>
      </c>
      <c r="AL963" t="s">
        <v>666</v>
      </c>
      <c r="AM963" t="s">
        <v>170</v>
      </c>
      <c r="AN963" t="s">
        <v>667</v>
      </c>
      <c r="AO963" t="s">
        <v>668</v>
      </c>
      <c r="AP963" t="s">
        <v>669</v>
      </c>
      <c r="AQ963" t="s">
        <v>74</v>
      </c>
      <c r="AR963" t="s">
        <v>670</v>
      </c>
      <c r="AS963" t="s">
        <v>671</v>
      </c>
      <c r="AT963" t="s">
        <v>18599</v>
      </c>
      <c r="AU963">
        <v>2021</v>
      </c>
      <c r="AV963">
        <v>57</v>
      </c>
      <c r="AW963" t="s">
        <v>74</v>
      </c>
      <c r="AX963" t="s">
        <v>74</v>
      </c>
      <c r="AY963" t="s">
        <v>74</v>
      </c>
      <c r="AZ963" t="s">
        <v>74</v>
      </c>
      <c r="BA963" t="s">
        <v>74</v>
      </c>
      <c r="BB963" t="s">
        <v>74</v>
      </c>
      <c r="BC963" t="s">
        <v>74</v>
      </c>
      <c r="BD963" t="s">
        <v>18638</v>
      </c>
      <c r="BE963" t="s">
        <v>18639</v>
      </c>
      <c r="BF963" t="str">
        <f>HYPERLINK("http://dx.doi.org/10.1017/S0032247421000280","http://dx.doi.org/10.1017/S0032247421000280")</f>
        <v>http://dx.doi.org/10.1017/S0032247421000280</v>
      </c>
      <c r="BG963" t="s">
        <v>74</v>
      </c>
      <c r="BH963" t="s">
        <v>74</v>
      </c>
      <c r="BI963">
        <v>2</v>
      </c>
      <c r="BJ963" t="s">
        <v>674</v>
      </c>
      <c r="BK963" t="s">
        <v>101</v>
      </c>
      <c r="BL963" t="s">
        <v>630</v>
      </c>
      <c r="BM963" t="s">
        <v>18640</v>
      </c>
      <c r="BN963" t="s">
        <v>74</v>
      </c>
      <c r="BO963" t="s">
        <v>74</v>
      </c>
      <c r="BP963" t="s">
        <v>74</v>
      </c>
      <c r="BQ963" t="s">
        <v>74</v>
      </c>
      <c r="BR963" t="s">
        <v>105</v>
      </c>
      <c r="BS963" t="s">
        <v>18641</v>
      </c>
      <c r="BT963" t="str">
        <f>HYPERLINK("https%3A%2F%2Fwww.webofscience.com%2Fwos%2Fwoscc%2Ffull-record%2FWOS:000684172800001","View Full Record in Web of Science")</f>
        <v>View Full Record in Web of Science</v>
      </c>
    </row>
    <row r="964" spans="1:72" x14ac:dyDescent="0.15">
      <c r="A964" t="s">
        <v>72</v>
      </c>
      <c r="B964" t="s">
        <v>18642</v>
      </c>
      <c r="C964" t="s">
        <v>74</v>
      </c>
      <c r="D964" t="s">
        <v>74</v>
      </c>
      <c r="E964" t="s">
        <v>74</v>
      </c>
      <c r="F964" t="s">
        <v>18643</v>
      </c>
      <c r="G964" t="s">
        <v>74</v>
      </c>
      <c r="H964" t="s">
        <v>74</v>
      </c>
      <c r="I964" t="s">
        <v>18644</v>
      </c>
      <c r="J964" t="s">
        <v>911</v>
      </c>
      <c r="K964" t="s">
        <v>74</v>
      </c>
      <c r="L964" t="s">
        <v>74</v>
      </c>
      <c r="M964" t="s">
        <v>78</v>
      </c>
      <c r="N964" t="s">
        <v>79</v>
      </c>
      <c r="O964" t="s">
        <v>74</v>
      </c>
      <c r="P964" t="s">
        <v>74</v>
      </c>
      <c r="Q964" t="s">
        <v>74</v>
      </c>
      <c r="R964" t="s">
        <v>74</v>
      </c>
      <c r="S964" t="s">
        <v>74</v>
      </c>
      <c r="T964" t="s">
        <v>18645</v>
      </c>
      <c r="U964" t="s">
        <v>18646</v>
      </c>
      <c r="V964" t="s">
        <v>18647</v>
      </c>
      <c r="W964" t="s">
        <v>18648</v>
      </c>
      <c r="X964" t="s">
        <v>18649</v>
      </c>
      <c r="Y964" t="s">
        <v>18650</v>
      </c>
      <c r="Z964" t="s">
        <v>18651</v>
      </c>
      <c r="AA964" t="s">
        <v>18652</v>
      </c>
      <c r="AB964" t="s">
        <v>74</v>
      </c>
      <c r="AC964" t="s">
        <v>18653</v>
      </c>
      <c r="AD964" t="s">
        <v>18654</v>
      </c>
      <c r="AE964" t="s">
        <v>18655</v>
      </c>
      <c r="AF964" t="s">
        <v>74</v>
      </c>
      <c r="AG964">
        <v>74</v>
      </c>
      <c r="AH964">
        <v>5</v>
      </c>
      <c r="AI964">
        <v>6</v>
      </c>
      <c r="AJ964">
        <v>10</v>
      </c>
      <c r="AK964">
        <v>64</v>
      </c>
      <c r="AL964" t="s">
        <v>169</v>
      </c>
      <c r="AM964" t="s">
        <v>170</v>
      </c>
      <c r="AN964" t="s">
        <v>171</v>
      </c>
      <c r="AO964" t="s">
        <v>924</v>
      </c>
      <c r="AP964" t="s">
        <v>925</v>
      </c>
      <c r="AQ964" t="s">
        <v>74</v>
      </c>
      <c r="AR964" t="s">
        <v>926</v>
      </c>
      <c r="AS964" t="s">
        <v>927</v>
      </c>
      <c r="AT964" t="s">
        <v>416</v>
      </c>
      <c r="AU964">
        <v>2022</v>
      </c>
      <c r="AV964">
        <v>58</v>
      </c>
      <c r="AW964" t="s">
        <v>18656</v>
      </c>
      <c r="AX964" t="s">
        <v>74</v>
      </c>
      <c r="AY964" t="s">
        <v>74</v>
      </c>
      <c r="AZ964" t="s">
        <v>74</v>
      </c>
      <c r="BA964" t="s">
        <v>74</v>
      </c>
      <c r="BB964">
        <v>329</v>
      </c>
      <c r="BC964">
        <v>349</v>
      </c>
      <c r="BD964" t="s">
        <v>74</v>
      </c>
      <c r="BE964" t="s">
        <v>18657</v>
      </c>
      <c r="BF964" t="str">
        <f>HYPERLINK("http://dx.doi.org/10.1007/s00382-021-05906-6","http://dx.doi.org/10.1007/s00382-021-05906-6")</f>
        <v>http://dx.doi.org/10.1007/s00382-021-05906-6</v>
      </c>
      <c r="BG964" t="s">
        <v>74</v>
      </c>
      <c r="BH964" t="s">
        <v>16043</v>
      </c>
      <c r="BI964">
        <v>21</v>
      </c>
      <c r="BJ964" t="s">
        <v>829</v>
      </c>
      <c r="BK964" t="s">
        <v>101</v>
      </c>
      <c r="BL964" t="s">
        <v>829</v>
      </c>
      <c r="BM964" t="s">
        <v>18658</v>
      </c>
      <c r="BN964" t="s">
        <v>74</v>
      </c>
      <c r="BO964" t="s">
        <v>74</v>
      </c>
      <c r="BP964" t="s">
        <v>74</v>
      </c>
      <c r="BQ964" t="s">
        <v>74</v>
      </c>
      <c r="BR964" t="s">
        <v>105</v>
      </c>
      <c r="BS964" t="s">
        <v>18659</v>
      </c>
      <c r="BT964" t="str">
        <f>HYPERLINK("https%3A%2F%2Fwww.webofscience.com%2Fwos%2Fwoscc%2Ffull-record%2FWOS:000684492100001","View Full Record in Web of Science")</f>
        <v>View Full Record in Web of Science</v>
      </c>
    </row>
    <row r="965" spans="1:72" x14ac:dyDescent="0.15">
      <c r="A965" t="s">
        <v>72</v>
      </c>
      <c r="B965" t="s">
        <v>18660</v>
      </c>
      <c r="C965" t="s">
        <v>74</v>
      </c>
      <c r="D965" t="s">
        <v>74</v>
      </c>
      <c r="E965" t="s">
        <v>74</v>
      </c>
      <c r="F965" t="s">
        <v>18661</v>
      </c>
      <c r="G965" t="s">
        <v>74</v>
      </c>
      <c r="H965" t="s">
        <v>74</v>
      </c>
      <c r="I965" t="s">
        <v>18662</v>
      </c>
      <c r="J965" t="s">
        <v>2451</v>
      </c>
      <c r="K965" t="s">
        <v>74</v>
      </c>
      <c r="L965" t="s">
        <v>74</v>
      </c>
      <c r="M965" t="s">
        <v>78</v>
      </c>
      <c r="N965" t="s">
        <v>79</v>
      </c>
      <c r="O965" t="s">
        <v>74</v>
      </c>
      <c r="P965" t="s">
        <v>74</v>
      </c>
      <c r="Q965" t="s">
        <v>74</v>
      </c>
      <c r="R965" t="s">
        <v>74</v>
      </c>
      <c r="S965" t="s">
        <v>74</v>
      </c>
      <c r="T965" t="s">
        <v>18663</v>
      </c>
      <c r="U965" t="s">
        <v>18664</v>
      </c>
      <c r="V965" t="s">
        <v>18665</v>
      </c>
      <c r="W965" t="s">
        <v>18666</v>
      </c>
      <c r="X965" t="s">
        <v>18667</v>
      </c>
      <c r="Y965" t="s">
        <v>18668</v>
      </c>
      <c r="Z965" t="s">
        <v>18669</v>
      </c>
      <c r="AA965" t="s">
        <v>74</v>
      </c>
      <c r="AB965" t="s">
        <v>18670</v>
      </c>
      <c r="AC965" t="s">
        <v>74</v>
      </c>
      <c r="AD965" t="s">
        <v>74</v>
      </c>
      <c r="AE965" t="s">
        <v>74</v>
      </c>
      <c r="AF965" t="s">
        <v>74</v>
      </c>
      <c r="AG965">
        <v>80</v>
      </c>
      <c r="AH965">
        <v>7</v>
      </c>
      <c r="AI965">
        <v>8</v>
      </c>
      <c r="AJ965">
        <v>5</v>
      </c>
      <c r="AK965">
        <v>20</v>
      </c>
      <c r="AL965" t="s">
        <v>847</v>
      </c>
      <c r="AM965" t="s">
        <v>848</v>
      </c>
      <c r="AN965" t="s">
        <v>849</v>
      </c>
      <c r="AO965" t="s">
        <v>2464</v>
      </c>
      <c r="AP965" t="s">
        <v>2465</v>
      </c>
      <c r="AQ965" t="s">
        <v>74</v>
      </c>
      <c r="AR965" t="s">
        <v>2466</v>
      </c>
      <c r="AS965" t="s">
        <v>2467</v>
      </c>
      <c r="AT965" t="s">
        <v>7760</v>
      </c>
      <c r="AU965">
        <v>2021</v>
      </c>
      <c r="AV965">
        <v>205</v>
      </c>
      <c r="AW965" t="s">
        <v>74</v>
      </c>
      <c r="AX965" t="s">
        <v>74</v>
      </c>
      <c r="AY965" t="s">
        <v>74</v>
      </c>
      <c r="AZ965" t="s">
        <v>74</v>
      </c>
      <c r="BA965" t="s">
        <v>74</v>
      </c>
      <c r="BB965" t="s">
        <v>74</v>
      </c>
      <c r="BC965" t="s">
        <v>74</v>
      </c>
      <c r="BD965">
        <v>103593</v>
      </c>
      <c r="BE965" t="s">
        <v>18671</v>
      </c>
      <c r="BF965" t="str">
        <f>HYPERLINK("http://dx.doi.org/10.1016/j.gloplacha.2021.103593","http://dx.doi.org/10.1016/j.gloplacha.2021.103593")</f>
        <v>http://dx.doi.org/10.1016/j.gloplacha.2021.103593</v>
      </c>
      <c r="BG965" t="s">
        <v>74</v>
      </c>
      <c r="BH965" t="s">
        <v>16043</v>
      </c>
      <c r="BI965">
        <v>15</v>
      </c>
      <c r="BJ965" t="s">
        <v>340</v>
      </c>
      <c r="BK965" t="s">
        <v>101</v>
      </c>
      <c r="BL965" t="s">
        <v>341</v>
      </c>
      <c r="BM965" t="s">
        <v>17130</v>
      </c>
      <c r="BN965" t="s">
        <v>74</v>
      </c>
      <c r="BO965" t="s">
        <v>74</v>
      </c>
      <c r="BP965" t="s">
        <v>74</v>
      </c>
      <c r="BQ965" t="s">
        <v>74</v>
      </c>
      <c r="BR965" t="s">
        <v>105</v>
      </c>
      <c r="BS965" t="s">
        <v>18672</v>
      </c>
      <c r="BT965" t="str">
        <f>HYPERLINK("https%3A%2F%2Fwww.webofscience.com%2Fwos%2Fwoscc%2Ffull-record%2FWOS:000694744000005","View Full Record in Web of Science")</f>
        <v>View Full Record in Web of Science</v>
      </c>
    </row>
    <row r="966" spans="1:72" x14ac:dyDescent="0.15">
      <c r="A966" t="s">
        <v>72</v>
      </c>
      <c r="B966" t="s">
        <v>18673</v>
      </c>
      <c r="C966" t="s">
        <v>74</v>
      </c>
      <c r="D966" t="s">
        <v>74</v>
      </c>
      <c r="E966" t="s">
        <v>74</v>
      </c>
      <c r="F966" t="s">
        <v>18674</v>
      </c>
      <c r="G966" t="s">
        <v>74</v>
      </c>
      <c r="H966" t="s">
        <v>74</v>
      </c>
      <c r="I966" t="s">
        <v>18675</v>
      </c>
      <c r="J966" t="s">
        <v>18676</v>
      </c>
      <c r="K966" t="s">
        <v>74</v>
      </c>
      <c r="L966" t="s">
        <v>74</v>
      </c>
      <c r="M966" t="s">
        <v>78</v>
      </c>
      <c r="N966" t="s">
        <v>79</v>
      </c>
      <c r="O966" t="s">
        <v>74</v>
      </c>
      <c r="P966" t="s">
        <v>74</v>
      </c>
      <c r="Q966" t="s">
        <v>74</v>
      </c>
      <c r="R966" t="s">
        <v>74</v>
      </c>
      <c r="S966" t="s">
        <v>74</v>
      </c>
      <c r="T966" t="s">
        <v>18677</v>
      </c>
      <c r="U966" t="s">
        <v>74</v>
      </c>
      <c r="V966" t="s">
        <v>18678</v>
      </c>
      <c r="W966" t="s">
        <v>18679</v>
      </c>
      <c r="X966" t="s">
        <v>18680</v>
      </c>
      <c r="Y966" t="s">
        <v>18681</v>
      </c>
      <c r="Z966" t="s">
        <v>18682</v>
      </c>
      <c r="AA966" t="s">
        <v>18683</v>
      </c>
      <c r="AB966" t="s">
        <v>18684</v>
      </c>
      <c r="AC966" t="s">
        <v>18685</v>
      </c>
      <c r="AD966" t="s">
        <v>18686</v>
      </c>
      <c r="AE966" t="s">
        <v>18687</v>
      </c>
      <c r="AF966" t="s">
        <v>74</v>
      </c>
      <c r="AG966">
        <v>22</v>
      </c>
      <c r="AH966">
        <v>4</v>
      </c>
      <c r="AI966">
        <v>5</v>
      </c>
      <c r="AJ966">
        <v>0</v>
      </c>
      <c r="AK966">
        <v>3</v>
      </c>
      <c r="AL966" t="s">
        <v>847</v>
      </c>
      <c r="AM966" t="s">
        <v>848</v>
      </c>
      <c r="AN966" t="s">
        <v>849</v>
      </c>
      <c r="AO966" t="s">
        <v>18688</v>
      </c>
      <c r="AP966" t="s">
        <v>18689</v>
      </c>
      <c r="AQ966" t="s">
        <v>74</v>
      </c>
      <c r="AR966" t="s">
        <v>18690</v>
      </c>
      <c r="AS966" t="s">
        <v>18691</v>
      </c>
      <c r="AT966" t="s">
        <v>98</v>
      </c>
      <c r="AU966">
        <v>2021</v>
      </c>
      <c r="AV966">
        <v>133</v>
      </c>
      <c r="AW966" t="s">
        <v>74</v>
      </c>
      <c r="AX966" t="s">
        <v>74</v>
      </c>
      <c r="AY966" t="s">
        <v>74</v>
      </c>
      <c r="AZ966" t="s">
        <v>74</v>
      </c>
      <c r="BA966" t="s">
        <v>74</v>
      </c>
      <c r="BB966" t="s">
        <v>74</v>
      </c>
      <c r="BC966" t="s">
        <v>74</v>
      </c>
      <c r="BD966">
        <v>102640</v>
      </c>
      <c r="BE966" t="s">
        <v>18692</v>
      </c>
      <c r="BF966" t="str">
        <f>HYPERLINK("http://dx.doi.org/10.1016/j.astropartphys.2021.102640","http://dx.doi.org/10.1016/j.astropartphys.2021.102640")</f>
        <v>http://dx.doi.org/10.1016/j.astropartphys.2021.102640</v>
      </c>
      <c r="BG966" t="s">
        <v>74</v>
      </c>
      <c r="BH966" t="s">
        <v>16043</v>
      </c>
      <c r="BI966">
        <v>11</v>
      </c>
      <c r="BJ966" t="s">
        <v>472</v>
      </c>
      <c r="BK966" t="s">
        <v>101</v>
      </c>
      <c r="BL966" t="s">
        <v>473</v>
      </c>
      <c r="BM966" t="s">
        <v>18693</v>
      </c>
      <c r="BN966" t="s">
        <v>74</v>
      </c>
      <c r="BO966" t="s">
        <v>367</v>
      </c>
      <c r="BP966" t="s">
        <v>74</v>
      </c>
      <c r="BQ966" t="s">
        <v>74</v>
      </c>
      <c r="BR966" t="s">
        <v>105</v>
      </c>
      <c r="BS966" t="s">
        <v>18694</v>
      </c>
      <c r="BT966" t="str">
        <f>HYPERLINK("https%3A%2F%2Fwww.webofscience.com%2Fwos%2Fwoscc%2Ffull-record%2FWOS:000692135400001","View Full Record in Web of Science")</f>
        <v>View Full Record in Web of Science</v>
      </c>
    </row>
    <row r="967" spans="1:72" x14ac:dyDescent="0.15">
      <c r="A967" t="s">
        <v>72</v>
      </c>
      <c r="B967" t="s">
        <v>18695</v>
      </c>
      <c r="C967" t="s">
        <v>74</v>
      </c>
      <c r="D967" t="s">
        <v>74</v>
      </c>
      <c r="E967" t="s">
        <v>74</v>
      </c>
      <c r="F967" t="s">
        <v>18696</v>
      </c>
      <c r="G967" t="s">
        <v>74</v>
      </c>
      <c r="H967" t="s">
        <v>74</v>
      </c>
      <c r="I967" t="s">
        <v>18697</v>
      </c>
      <c r="J967" t="s">
        <v>3228</v>
      </c>
      <c r="K967" t="s">
        <v>74</v>
      </c>
      <c r="L967" t="s">
        <v>74</v>
      </c>
      <c r="M967" t="s">
        <v>78</v>
      </c>
      <c r="N967" t="s">
        <v>79</v>
      </c>
      <c r="O967" t="s">
        <v>74</v>
      </c>
      <c r="P967" t="s">
        <v>74</v>
      </c>
      <c r="Q967" t="s">
        <v>74</v>
      </c>
      <c r="R967" t="s">
        <v>74</v>
      </c>
      <c r="S967" t="s">
        <v>74</v>
      </c>
      <c r="T967" t="s">
        <v>18698</v>
      </c>
      <c r="U967" t="s">
        <v>18699</v>
      </c>
      <c r="V967" t="s">
        <v>18700</v>
      </c>
      <c r="W967" t="s">
        <v>18701</v>
      </c>
      <c r="X967" t="s">
        <v>8405</v>
      </c>
      <c r="Y967" t="s">
        <v>8406</v>
      </c>
      <c r="Z967" t="s">
        <v>8407</v>
      </c>
      <c r="AA967" t="s">
        <v>74</v>
      </c>
      <c r="AB967" t="s">
        <v>18702</v>
      </c>
      <c r="AC967" t="s">
        <v>18703</v>
      </c>
      <c r="AD967" t="s">
        <v>18703</v>
      </c>
      <c r="AE967" t="s">
        <v>18704</v>
      </c>
      <c r="AF967" t="s">
        <v>74</v>
      </c>
      <c r="AG967">
        <v>83</v>
      </c>
      <c r="AH967">
        <v>9</v>
      </c>
      <c r="AI967">
        <v>9</v>
      </c>
      <c r="AJ967">
        <v>1</v>
      </c>
      <c r="AK967">
        <v>4</v>
      </c>
      <c r="AL967" t="s">
        <v>847</v>
      </c>
      <c r="AM967" t="s">
        <v>848</v>
      </c>
      <c r="AN967" t="s">
        <v>849</v>
      </c>
      <c r="AO967" t="s">
        <v>3238</v>
      </c>
      <c r="AP967" t="s">
        <v>3239</v>
      </c>
      <c r="AQ967" t="s">
        <v>74</v>
      </c>
      <c r="AR967" t="s">
        <v>3240</v>
      </c>
      <c r="AS967" t="s">
        <v>3241</v>
      </c>
      <c r="AT967" t="s">
        <v>7760</v>
      </c>
      <c r="AU967">
        <v>2021</v>
      </c>
      <c r="AV967">
        <v>440</v>
      </c>
      <c r="AW967" t="s">
        <v>74</v>
      </c>
      <c r="AX967" t="s">
        <v>74</v>
      </c>
      <c r="AY967" t="s">
        <v>74</v>
      </c>
      <c r="AZ967" t="s">
        <v>74</v>
      </c>
      <c r="BA967" t="s">
        <v>74</v>
      </c>
      <c r="BB967" t="s">
        <v>74</v>
      </c>
      <c r="BC967" t="s">
        <v>74</v>
      </c>
      <c r="BD967">
        <v>106567</v>
      </c>
      <c r="BE967" t="s">
        <v>18705</v>
      </c>
      <c r="BF967" t="str">
        <f>HYPERLINK("http://dx.doi.org/10.1016/j.margeo.2021.106567","http://dx.doi.org/10.1016/j.margeo.2021.106567")</f>
        <v>http://dx.doi.org/10.1016/j.margeo.2021.106567</v>
      </c>
      <c r="BG967" t="s">
        <v>74</v>
      </c>
      <c r="BH967" t="s">
        <v>16043</v>
      </c>
      <c r="BI967">
        <v>24</v>
      </c>
      <c r="BJ967" t="s">
        <v>177</v>
      </c>
      <c r="BK967" t="s">
        <v>101</v>
      </c>
      <c r="BL967" t="s">
        <v>178</v>
      </c>
      <c r="BM967" t="s">
        <v>18706</v>
      </c>
      <c r="BN967" t="s">
        <v>74</v>
      </c>
      <c r="BO967" t="s">
        <v>1471</v>
      </c>
      <c r="BP967" t="s">
        <v>74</v>
      </c>
      <c r="BQ967" t="s">
        <v>74</v>
      </c>
      <c r="BR967" t="s">
        <v>105</v>
      </c>
      <c r="BS967" t="s">
        <v>18707</v>
      </c>
      <c r="BT967" t="str">
        <f>HYPERLINK("https%3A%2F%2Fwww.webofscience.com%2Fwos%2Fwoscc%2Ffull-record%2FWOS:000689714900023","View Full Record in Web of Science")</f>
        <v>View Full Record in Web of Science</v>
      </c>
    </row>
    <row r="968" spans="1:72" x14ac:dyDescent="0.15">
      <c r="A968" t="s">
        <v>72</v>
      </c>
      <c r="B968" t="s">
        <v>18708</v>
      </c>
      <c r="C968" t="s">
        <v>74</v>
      </c>
      <c r="D968" t="s">
        <v>74</v>
      </c>
      <c r="E968" t="s">
        <v>74</v>
      </c>
      <c r="F968" t="s">
        <v>18709</v>
      </c>
      <c r="G968" t="s">
        <v>74</v>
      </c>
      <c r="H968" t="s">
        <v>74</v>
      </c>
      <c r="I968" t="s">
        <v>18710</v>
      </c>
      <c r="J968" t="s">
        <v>372</v>
      </c>
      <c r="K968" t="s">
        <v>74</v>
      </c>
      <c r="L968" t="s">
        <v>74</v>
      </c>
      <c r="M968" t="s">
        <v>78</v>
      </c>
      <c r="N968" t="s">
        <v>79</v>
      </c>
      <c r="O968" t="s">
        <v>74</v>
      </c>
      <c r="P968" t="s">
        <v>74</v>
      </c>
      <c r="Q968" t="s">
        <v>74</v>
      </c>
      <c r="R968" t="s">
        <v>74</v>
      </c>
      <c r="S968" t="s">
        <v>74</v>
      </c>
      <c r="T968" t="s">
        <v>18711</v>
      </c>
      <c r="U968" t="s">
        <v>18712</v>
      </c>
      <c r="V968" t="s">
        <v>18713</v>
      </c>
      <c r="W968" t="s">
        <v>18714</v>
      </c>
      <c r="X968" t="s">
        <v>18715</v>
      </c>
      <c r="Y968" t="s">
        <v>18716</v>
      </c>
      <c r="Z968" t="s">
        <v>18717</v>
      </c>
      <c r="AA968" t="s">
        <v>18718</v>
      </c>
      <c r="AB968" t="s">
        <v>18719</v>
      </c>
      <c r="AC968" t="s">
        <v>18720</v>
      </c>
      <c r="AD968" t="s">
        <v>18721</v>
      </c>
      <c r="AE968" t="s">
        <v>18722</v>
      </c>
      <c r="AF968" t="s">
        <v>74</v>
      </c>
      <c r="AG968">
        <v>32</v>
      </c>
      <c r="AH968">
        <v>4</v>
      </c>
      <c r="AI968">
        <v>4</v>
      </c>
      <c r="AJ968">
        <v>0</v>
      </c>
      <c r="AK968">
        <v>3</v>
      </c>
      <c r="AL968" t="s">
        <v>383</v>
      </c>
      <c r="AM968" t="s">
        <v>384</v>
      </c>
      <c r="AN968" t="s">
        <v>385</v>
      </c>
      <c r="AO968" t="s">
        <v>74</v>
      </c>
      <c r="AP968" t="s">
        <v>386</v>
      </c>
      <c r="AQ968" t="s">
        <v>74</v>
      </c>
      <c r="AR968" t="s">
        <v>387</v>
      </c>
      <c r="AS968" t="s">
        <v>388</v>
      </c>
      <c r="AT968" t="s">
        <v>18723</v>
      </c>
      <c r="AU968">
        <v>2021</v>
      </c>
      <c r="AV968">
        <v>8</v>
      </c>
      <c r="AW968" t="s">
        <v>74</v>
      </c>
      <c r="AX968" t="s">
        <v>74</v>
      </c>
      <c r="AY968" t="s">
        <v>74</v>
      </c>
      <c r="AZ968" t="s">
        <v>74</v>
      </c>
      <c r="BA968" t="s">
        <v>74</v>
      </c>
      <c r="BB968" t="s">
        <v>74</v>
      </c>
      <c r="BC968" t="s">
        <v>74</v>
      </c>
      <c r="BD968">
        <v>657119</v>
      </c>
      <c r="BE968" t="s">
        <v>18724</v>
      </c>
      <c r="BF968" t="str">
        <f>HYPERLINK("http://dx.doi.org/10.3389/fmars.2021.657119","http://dx.doi.org/10.3389/fmars.2021.657119")</f>
        <v>http://dx.doi.org/10.3389/fmars.2021.657119</v>
      </c>
      <c r="BG968" t="s">
        <v>74</v>
      </c>
      <c r="BH968" t="s">
        <v>74</v>
      </c>
      <c r="BI968">
        <v>18</v>
      </c>
      <c r="BJ968" t="s">
        <v>391</v>
      </c>
      <c r="BK968" t="s">
        <v>101</v>
      </c>
      <c r="BL968" t="s">
        <v>392</v>
      </c>
      <c r="BM968" t="s">
        <v>18725</v>
      </c>
      <c r="BN968" t="s">
        <v>74</v>
      </c>
      <c r="BO968" t="s">
        <v>210</v>
      </c>
      <c r="BP968" t="s">
        <v>74</v>
      </c>
      <c r="BQ968" t="s">
        <v>74</v>
      </c>
      <c r="BR968" t="s">
        <v>105</v>
      </c>
      <c r="BS968" t="s">
        <v>18726</v>
      </c>
      <c r="BT968" t="str">
        <f>HYPERLINK("https%3A%2F%2Fwww.webofscience.com%2Fwos%2Fwoscc%2Ffull-record%2FWOS:000686180000001","View Full Record in Web of Science")</f>
        <v>View Full Record in Web of Science</v>
      </c>
    </row>
    <row r="969" spans="1:72" x14ac:dyDescent="0.15">
      <c r="A969" t="s">
        <v>72</v>
      </c>
      <c r="B969" t="s">
        <v>18727</v>
      </c>
      <c r="C969" t="s">
        <v>74</v>
      </c>
      <c r="D969" t="s">
        <v>74</v>
      </c>
      <c r="E969" t="s">
        <v>74</v>
      </c>
      <c r="F969" t="s">
        <v>18728</v>
      </c>
      <c r="G969" t="s">
        <v>74</v>
      </c>
      <c r="H969" t="s">
        <v>74</v>
      </c>
      <c r="I969" t="s">
        <v>18729</v>
      </c>
      <c r="J969" t="s">
        <v>1556</v>
      </c>
      <c r="K969" t="s">
        <v>74</v>
      </c>
      <c r="L969" t="s">
        <v>74</v>
      </c>
      <c r="M969" t="s">
        <v>78</v>
      </c>
      <c r="N969" t="s">
        <v>79</v>
      </c>
      <c r="O969" t="s">
        <v>74</v>
      </c>
      <c r="P969" t="s">
        <v>74</v>
      </c>
      <c r="Q969" t="s">
        <v>74</v>
      </c>
      <c r="R969" t="s">
        <v>74</v>
      </c>
      <c r="S969" t="s">
        <v>74</v>
      </c>
      <c r="T969" t="s">
        <v>74</v>
      </c>
      <c r="U969" t="s">
        <v>18730</v>
      </c>
      <c r="V969" t="s">
        <v>18731</v>
      </c>
      <c r="W969" t="s">
        <v>18732</v>
      </c>
      <c r="X969" t="s">
        <v>18733</v>
      </c>
      <c r="Y969" t="s">
        <v>18734</v>
      </c>
      <c r="Z969" t="s">
        <v>18735</v>
      </c>
      <c r="AA969" t="s">
        <v>18736</v>
      </c>
      <c r="AB969" t="s">
        <v>18737</v>
      </c>
      <c r="AC969" t="s">
        <v>18738</v>
      </c>
      <c r="AD969" t="s">
        <v>18739</v>
      </c>
      <c r="AE969" t="s">
        <v>18740</v>
      </c>
      <c r="AF969" t="s">
        <v>74</v>
      </c>
      <c r="AG969">
        <v>96</v>
      </c>
      <c r="AH969">
        <v>6</v>
      </c>
      <c r="AI969">
        <v>7</v>
      </c>
      <c r="AJ969">
        <v>3</v>
      </c>
      <c r="AK969">
        <v>21</v>
      </c>
      <c r="AL969" t="s">
        <v>227</v>
      </c>
      <c r="AM969" t="s">
        <v>228</v>
      </c>
      <c r="AN969" t="s">
        <v>229</v>
      </c>
      <c r="AO969" t="s">
        <v>1568</v>
      </c>
      <c r="AP969" t="s">
        <v>1569</v>
      </c>
      <c r="AQ969" t="s">
        <v>74</v>
      </c>
      <c r="AR969" t="s">
        <v>1556</v>
      </c>
      <c r="AS969" t="s">
        <v>1570</v>
      </c>
      <c r="AT969" t="s">
        <v>18723</v>
      </c>
      <c r="AU969">
        <v>2021</v>
      </c>
      <c r="AV969">
        <v>18</v>
      </c>
      <c r="AW969">
        <v>15</v>
      </c>
      <c r="AX969" t="s">
        <v>74</v>
      </c>
      <c r="AY969" t="s">
        <v>74</v>
      </c>
      <c r="AZ969" t="s">
        <v>74</v>
      </c>
      <c r="BA969" t="s">
        <v>74</v>
      </c>
      <c r="BB969">
        <v>4587</v>
      </c>
      <c r="BC969">
        <v>4601</v>
      </c>
      <c r="BD969" t="s">
        <v>74</v>
      </c>
      <c r="BE969" t="s">
        <v>18741</v>
      </c>
      <c r="BF969" t="str">
        <f>HYPERLINK("http://dx.doi.org/10.5194/bg-18-4587-2021","http://dx.doi.org/10.5194/bg-18-4587-2021")</f>
        <v>http://dx.doi.org/10.5194/bg-18-4587-2021</v>
      </c>
      <c r="BG969" t="s">
        <v>74</v>
      </c>
      <c r="BH969" t="s">
        <v>74</v>
      </c>
      <c r="BI969">
        <v>15</v>
      </c>
      <c r="BJ969" t="s">
        <v>1572</v>
      </c>
      <c r="BK969" t="s">
        <v>101</v>
      </c>
      <c r="BL969" t="s">
        <v>1573</v>
      </c>
      <c r="BM969" t="s">
        <v>18742</v>
      </c>
      <c r="BN969" t="s">
        <v>74</v>
      </c>
      <c r="BO969" t="s">
        <v>4963</v>
      </c>
      <c r="BP969" t="s">
        <v>74</v>
      </c>
      <c r="BQ969" t="s">
        <v>74</v>
      </c>
      <c r="BR969" t="s">
        <v>105</v>
      </c>
      <c r="BS969" t="s">
        <v>18743</v>
      </c>
      <c r="BT969" t="str">
        <f>HYPERLINK("https%3A%2F%2Fwww.webofscience.com%2Fwos%2Fwoscc%2Ffull-record%2FWOS:000685170200001","View Full Record in Web of Science")</f>
        <v>View Full Record in Web of Science</v>
      </c>
    </row>
    <row r="970" spans="1:72" x14ac:dyDescent="0.15">
      <c r="A970" t="s">
        <v>72</v>
      </c>
      <c r="B970" t="s">
        <v>18744</v>
      </c>
      <c r="C970" t="s">
        <v>74</v>
      </c>
      <c r="D970" t="s">
        <v>74</v>
      </c>
      <c r="E970" t="s">
        <v>74</v>
      </c>
      <c r="F970" t="s">
        <v>18745</v>
      </c>
      <c r="G970" t="s">
        <v>74</v>
      </c>
      <c r="H970" t="s">
        <v>74</v>
      </c>
      <c r="I970" t="s">
        <v>18746</v>
      </c>
      <c r="J970" t="s">
        <v>1212</v>
      </c>
      <c r="K970" t="s">
        <v>74</v>
      </c>
      <c r="L970" t="s">
        <v>74</v>
      </c>
      <c r="M970" t="s">
        <v>78</v>
      </c>
      <c r="N970" t="s">
        <v>79</v>
      </c>
      <c r="O970" t="s">
        <v>74</v>
      </c>
      <c r="P970" t="s">
        <v>74</v>
      </c>
      <c r="Q970" t="s">
        <v>74</v>
      </c>
      <c r="R970" t="s">
        <v>74</v>
      </c>
      <c r="S970" t="s">
        <v>74</v>
      </c>
      <c r="T970" t="s">
        <v>74</v>
      </c>
      <c r="U970" t="s">
        <v>18747</v>
      </c>
      <c r="V970" t="s">
        <v>18748</v>
      </c>
      <c r="W970" t="s">
        <v>18749</v>
      </c>
      <c r="X970" t="s">
        <v>18750</v>
      </c>
      <c r="Y970" t="s">
        <v>18751</v>
      </c>
      <c r="Z970" t="s">
        <v>18752</v>
      </c>
      <c r="AA970" t="s">
        <v>18753</v>
      </c>
      <c r="AB970" t="s">
        <v>18754</v>
      </c>
      <c r="AC970" t="s">
        <v>18755</v>
      </c>
      <c r="AD970" t="s">
        <v>18756</v>
      </c>
      <c r="AE970" t="s">
        <v>18757</v>
      </c>
      <c r="AF970" t="s">
        <v>74</v>
      </c>
      <c r="AG970">
        <v>117</v>
      </c>
      <c r="AH970">
        <v>6</v>
      </c>
      <c r="AI970">
        <v>7</v>
      </c>
      <c r="AJ970">
        <v>0</v>
      </c>
      <c r="AK970">
        <v>9</v>
      </c>
      <c r="AL970" t="s">
        <v>492</v>
      </c>
      <c r="AM970" t="s">
        <v>493</v>
      </c>
      <c r="AN970" t="s">
        <v>494</v>
      </c>
      <c r="AO970" t="s">
        <v>1224</v>
      </c>
      <c r="AP970" t="s">
        <v>74</v>
      </c>
      <c r="AQ970" t="s">
        <v>74</v>
      </c>
      <c r="AR970" t="s">
        <v>1225</v>
      </c>
      <c r="AS970" t="s">
        <v>1226</v>
      </c>
      <c r="AT970" t="s">
        <v>18723</v>
      </c>
      <c r="AU970">
        <v>2021</v>
      </c>
      <c r="AV970">
        <v>11</v>
      </c>
      <c r="AW970">
        <v>1</v>
      </c>
      <c r="AX970" t="s">
        <v>74</v>
      </c>
      <c r="AY970" t="s">
        <v>74</v>
      </c>
      <c r="AZ970" t="s">
        <v>74</v>
      </c>
      <c r="BA970" t="s">
        <v>74</v>
      </c>
      <c r="BB970" t="s">
        <v>74</v>
      </c>
      <c r="BC970" t="s">
        <v>74</v>
      </c>
      <c r="BD970">
        <v>16266</v>
      </c>
      <c r="BE970" t="s">
        <v>18758</v>
      </c>
      <c r="BF970" t="str">
        <f>HYPERLINK("http://dx.doi.org/10.1038/s41598-021-95681-5","http://dx.doi.org/10.1038/s41598-021-95681-5")</f>
        <v>http://dx.doi.org/10.1038/s41598-021-95681-5</v>
      </c>
      <c r="BG970" t="s">
        <v>74</v>
      </c>
      <c r="BH970" t="s">
        <v>74</v>
      </c>
      <c r="BI970">
        <v>15</v>
      </c>
      <c r="BJ970" t="s">
        <v>126</v>
      </c>
      <c r="BK970" t="s">
        <v>101</v>
      </c>
      <c r="BL970" t="s">
        <v>127</v>
      </c>
      <c r="BM970" t="s">
        <v>18759</v>
      </c>
      <c r="BN970">
        <v>34381092</v>
      </c>
      <c r="BO970" t="s">
        <v>394</v>
      </c>
      <c r="BP970" t="s">
        <v>74</v>
      </c>
      <c r="BQ970" t="s">
        <v>74</v>
      </c>
      <c r="BR970" t="s">
        <v>105</v>
      </c>
      <c r="BS970" t="s">
        <v>18760</v>
      </c>
      <c r="BT970" t="str">
        <f>HYPERLINK("https%3A%2F%2Fwww.webofscience.com%2Fwos%2Fwoscc%2Ffull-record%2FWOS:000684343800007","View Full Record in Web of Science")</f>
        <v>View Full Record in Web of Science</v>
      </c>
    </row>
    <row r="971" spans="1:72" x14ac:dyDescent="0.15">
      <c r="A971" t="s">
        <v>72</v>
      </c>
      <c r="B971" t="s">
        <v>18761</v>
      </c>
      <c r="C971" t="s">
        <v>74</v>
      </c>
      <c r="D971" t="s">
        <v>74</v>
      </c>
      <c r="E971" t="s">
        <v>74</v>
      </c>
      <c r="F971" t="s">
        <v>18762</v>
      </c>
      <c r="G971" t="s">
        <v>74</v>
      </c>
      <c r="H971" t="s">
        <v>74</v>
      </c>
      <c r="I971" t="s">
        <v>18763</v>
      </c>
      <c r="J971" t="s">
        <v>18764</v>
      </c>
      <c r="K971" t="s">
        <v>74</v>
      </c>
      <c r="L971" t="s">
        <v>74</v>
      </c>
      <c r="M971" t="s">
        <v>78</v>
      </c>
      <c r="N971" t="s">
        <v>79</v>
      </c>
      <c r="O971" t="s">
        <v>74</v>
      </c>
      <c r="P971" t="s">
        <v>74</v>
      </c>
      <c r="Q971" t="s">
        <v>74</v>
      </c>
      <c r="R971" t="s">
        <v>74</v>
      </c>
      <c r="S971" t="s">
        <v>74</v>
      </c>
      <c r="T971" t="s">
        <v>18765</v>
      </c>
      <c r="U971" t="s">
        <v>18766</v>
      </c>
      <c r="V971" t="s">
        <v>18767</v>
      </c>
      <c r="W971" t="s">
        <v>18768</v>
      </c>
      <c r="X971" t="s">
        <v>18769</v>
      </c>
      <c r="Y971" t="s">
        <v>18770</v>
      </c>
      <c r="Z971" t="s">
        <v>18771</v>
      </c>
      <c r="AA971" t="s">
        <v>18772</v>
      </c>
      <c r="AB971" t="s">
        <v>18773</v>
      </c>
      <c r="AC971" t="s">
        <v>18774</v>
      </c>
      <c r="AD971" t="s">
        <v>18775</v>
      </c>
      <c r="AE971" t="s">
        <v>18776</v>
      </c>
      <c r="AF971" t="s">
        <v>74</v>
      </c>
      <c r="AG971">
        <v>55</v>
      </c>
      <c r="AH971">
        <v>12</v>
      </c>
      <c r="AI971">
        <v>12</v>
      </c>
      <c r="AJ971">
        <v>0</v>
      </c>
      <c r="AK971">
        <v>12</v>
      </c>
      <c r="AL971" t="s">
        <v>169</v>
      </c>
      <c r="AM971" t="s">
        <v>520</v>
      </c>
      <c r="AN971" t="s">
        <v>521</v>
      </c>
      <c r="AO971" t="s">
        <v>18777</v>
      </c>
      <c r="AP971" t="s">
        <v>18778</v>
      </c>
      <c r="AQ971" t="s">
        <v>74</v>
      </c>
      <c r="AR971" t="s">
        <v>18779</v>
      </c>
      <c r="AS971" t="s">
        <v>18780</v>
      </c>
      <c r="AT971" t="s">
        <v>416</v>
      </c>
      <c r="AU971">
        <v>2022</v>
      </c>
      <c r="AV971">
        <v>182</v>
      </c>
      <c r="AW971">
        <v>1</v>
      </c>
      <c r="AX971" t="s">
        <v>74</v>
      </c>
      <c r="AY971" t="s">
        <v>74</v>
      </c>
      <c r="AZ971" t="s">
        <v>74</v>
      </c>
      <c r="BA971" t="s">
        <v>74</v>
      </c>
      <c r="BB971">
        <v>119</v>
      </c>
      <c r="BC971">
        <v>146</v>
      </c>
      <c r="BD971" t="s">
        <v>74</v>
      </c>
      <c r="BE971" t="s">
        <v>18781</v>
      </c>
      <c r="BF971" t="str">
        <f>HYPERLINK("http://dx.doi.org/10.1007/s10546-021-00653-x","http://dx.doi.org/10.1007/s10546-021-00653-x")</f>
        <v>http://dx.doi.org/10.1007/s10546-021-00653-x</v>
      </c>
      <c r="BG971" t="s">
        <v>74</v>
      </c>
      <c r="BH971" t="s">
        <v>16043</v>
      </c>
      <c r="BI971">
        <v>28</v>
      </c>
      <c r="BJ971" t="s">
        <v>829</v>
      </c>
      <c r="BK971" t="s">
        <v>101</v>
      </c>
      <c r="BL971" t="s">
        <v>829</v>
      </c>
      <c r="BM971" t="s">
        <v>18782</v>
      </c>
      <c r="BN971">
        <v>35068494</v>
      </c>
      <c r="BO971" t="s">
        <v>180</v>
      </c>
      <c r="BP971" t="s">
        <v>74</v>
      </c>
      <c r="BQ971" t="s">
        <v>74</v>
      </c>
      <c r="BR971" t="s">
        <v>105</v>
      </c>
      <c r="BS971" t="s">
        <v>18783</v>
      </c>
      <c r="BT971" t="str">
        <f>HYPERLINK("https%3A%2F%2Fwww.webofscience.com%2Fwos%2Fwoscc%2Ffull-record%2FWOS:000684041600001","View Full Record in Web of Science")</f>
        <v>View Full Record in Web of Science</v>
      </c>
    </row>
    <row r="972" spans="1:72" x14ac:dyDescent="0.15">
      <c r="A972" t="s">
        <v>72</v>
      </c>
      <c r="B972" t="s">
        <v>18784</v>
      </c>
      <c r="C972" t="s">
        <v>74</v>
      </c>
      <c r="D972" t="s">
        <v>74</v>
      </c>
      <c r="E972" t="s">
        <v>74</v>
      </c>
      <c r="F972" t="s">
        <v>18785</v>
      </c>
      <c r="G972" t="s">
        <v>74</v>
      </c>
      <c r="H972" t="s">
        <v>74</v>
      </c>
      <c r="I972" t="s">
        <v>18786</v>
      </c>
      <c r="J972" t="s">
        <v>9191</v>
      </c>
      <c r="K972" t="s">
        <v>74</v>
      </c>
      <c r="L972" t="s">
        <v>74</v>
      </c>
      <c r="M972" t="s">
        <v>78</v>
      </c>
      <c r="N972" t="s">
        <v>79</v>
      </c>
      <c r="O972" t="s">
        <v>74</v>
      </c>
      <c r="P972" t="s">
        <v>74</v>
      </c>
      <c r="Q972" t="s">
        <v>74</v>
      </c>
      <c r="R972" t="s">
        <v>74</v>
      </c>
      <c r="S972" t="s">
        <v>74</v>
      </c>
      <c r="T972" t="s">
        <v>18787</v>
      </c>
      <c r="U972" t="s">
        <v>18788</v>
      </c>
      <c r="V972" t="s">
        <v>18789</v>
      </c>
      <c r="W972" t="s">
        <v>18790</v>
      </c>
      <c r="X972" t="s">
        <v>18791</v>
      </c>
      <c r="Y972" t="s">
        <v>18792</v>
      </c>
      <c r="Z972" t="s">
        <v>18793</v>
      </c>
      <c r="AA972" t="s">
        <v>18794</v>
      </c>
      <c r="AB972" t="s">
        <v>18795</v>
      </c>
      <c r="AC972" t="s">
        <v>18796</v>
      </c>
      <c r="AD972" t="s">
        <v>18797</v>
      </c>
      <c r="AE972" t="s">
        <v>18798</v>
      </c>
      <c r="AF972" t="s">
        <v>74</v>
      </c>
      <c r="AG972">
        <v>31</v>
      </c>
      <c r="AH972">
        <v>1</v>
      </c>
      <c r="AI972">
        <v>1</v>
      </c>
      <c r="AJ972">
        <v>3</v>
      </c>
      <c r="AK972">
        <v>23</v>
      </c>
      <c r="AL972" t="s">
        <v>572</v>
      </c>
      <c r="AM972" t="s">
        <v>573</v>
      </c>
      <c r="AN972" t="s">
        <v>9203</v>
      </c>
      <c r="AO972" t="s">
        <v>74</v>
      </c>
      <c r="AP972" t="s">
        <v>9204</v>
      </c>
      <c r="AQ972" t="s">
        <v>74</v>
      </c>
      <c r="AR972" t="s">
        <v>9205</v>
      </c>
      <c r="AS972" t="s">
        <v>9206</v>
      </c>
      <c r="AT972" t="s">
        <v>1000</v>
      </c>
      <c r="AU972">
        <v>2022</v>
      </c>
      <c r="AV972">
        <v>8</v>
      </c>
      <c r="AW972">
        <v>2</v>
      </c>
      <c r="AX972" t="s">
        <v>74</v>
      </c>
      <c r="AY972" t="s">
        <v>74</v>
      </c>
      <c r="AZ972" t="s">
        <v>74</v>
      </c>
      <c r="BA972" t="s">
        <v>74</v>
      </c>
      <c r="BB972">
        <v>151</v>
      </c>
      <c r="BC972">
        <v>165</v>
      </c>
      <c r="BD972" t="s">
        <v>74</v>
      </c>
      <c r="BE972" t="s">
        <v>18799</v>
      </c>
      <c r="BF972" t="str">
        <f>HYPERLINK("http://dx.doi.org/10.1002/rse2.233","http://dx.doi.org/10.1002/rse2.233")</f>
        <v>http://dx.doi.org/10.1002/rse2.233</v>
      </c>
      <c r="BG972" t="s">
        <v>74</v>
      </c>
      <c r="BH972" t="s">
        <v>16043</v>
      </c>
      <c r="BI972">
        <v>15</v>
      </c>
      <c r="BJ972" t="s">
        <v>9208</v>
      </c>
      <c r="BK972" t="s">
        <v>101</v>
      </c>
      <c r="BL972" t="s">
        <v>9209</v>
      </c>
      <c r="BM972" t="s">
        <v>9210</v>
      </c>
      <c r="BN972" t="s">
        <v>74</v>
      </c>
      <c r="BO972" t="s">
        <v>1902</v>
      </c>
      <c r="BP972" t="s">
        <v>74</v>
      </c>
      <c r="BQ972" t="s">
        <v>74</v>
      </c>
      <c r="BR972" t="s">
        <v>105</v>
      </c>
      <c r="BS972" t="s">
        <v>18800</v>
      </c>
      <c r="BT972" t="str">
        <f>HYPERLINK("https%3A%2F%2Fwww.webofscience.com%2Fwos%2Fwoscc%2Ffull-record%2FWOS:000683894600001","View Full Record in Web of Science")</f>
        <v>View Full Record in Web of Science</v>
      </c>
    </row>
    <row r="973" spans="1:72" x14ac:dyDescent="0.15">
      <c r="A973" t="s">
        <v>72</v>
      </c>
      <c r="B973" t="s">
        <v>18801</v>
      </c>
      <c r="C973" t="s">
        <v>74</v>
      </c>
      <c r="D973" t="s">
        <v>74</v>
      </c>
      <c r="E973" t="s">
        <v>74</v>
      </c>
      <c r="F973" t="s">
        <v>18802</v>
      </c>
      <c r="G973" t="s">
        <v>74</v>
      </c>
      <c r="H973" t="s">
        <v>74</v>
      </c>
      <c r="I973" t="s">
        <v>18803</v>
      </c>
      <c r="J973" t="s">
        <v>18804</v>
      </c>
      <c r="K973" t="s">
        <v>74</v>
      </c>
      <c r="L973" t="s">
        <v>74</v>
      </c>
      <c r="M973" t="s">
        <v>78</v>
      </c>
      <c r="N973" t="s">
        <v>79</v>
      </c>
      <c r="O973" t="s">
        <v>74</v>
      </c>
      <c r="P973" t="s">
        <v>74</v>
      </c>
      <c r="Q973" t="s">
        <v>74</v>
      </c>
      <c r="R973" t="s">
        <v>74</v>
      </c>
      <c r="S973" t="s">
        <v>74</v>
      </c>
      <c r="T973" t="s">
        <v>18805</v>
      </c>
      <c r="U973" t="s">
        <v>18806</v>
      </c>
      <c r="V973" t="s">
        <v>18807</v>
      </c>
      <c r="W973" t="s">
        <v>18808</v>
      </c>
      <c r="X973" t="s">
        <v>18809</v>
      </c>
      <c r="Y973" t="s">
        <v>18810</v>
      </c>
      <c r="Z973" t="s">
        <v>18811</v>
      </c>
      <c r="AA973" t="s">
        <v>18812</v>
      </c>
      <c r="AB973" t="s">
        <v>18813</v>
      </c>
      <c r="AC973" t="s">
        <v>18814</v>
      </c>
      <c r="AD973" t="s">
        <v>2598</v>
      </c>
      <c r="AE973" t="s">
        <v>18815</v>
      </c>
      <c r="AF973" t="s">
        <v>74</v>
      </c>
      <c r="AG973">
        <v>57</v>
      </c>
      <c r="AH973">
        <v>2</v>
      </c>
      <c r="AI973">
        <v>2</v>
      </c>
      <c r="AJ973">
        <v>0</v>
      </c>
      <c r="AK973">
        <v>6</v>
      </c>
      <c r="AL973" t="s">
        <v>1326</v>
      </c>
      <c r="AM973" t="s">
        <v>256</v>
      </c>
      <c r="AN973" t="s">
        <v>1327</v>
      </c>
      <c r="AO973" t="s">
        <v>18816</v>
      </c>
      <c r="AP973" t="s">
        <v>18817</v>
      </c>
      <c r="AQ973" t="s">
        <v>74</v>
      </c>
      <c r="AR973" t="s">
        <v>18818</v>
      </c>
      <c r="AS973" t="s">
        <v>18819</v>
      </c>
      <c r="AT973" t="s">
        <v>7760</v>
      </c>
      <c r="AU973">
        <v>2021</v>
      </c>
      <c r="AV973">
        <v>237</v>
      </c>
      <c r="AW973" t="s">
        <v>74</v>
      </c>
      <c r="AX973" t="s">
        <v>74</v>
      </c>
      <c r="AY973" t="s">
        <v>74</v>
      </c>
      <c r="AZ973" t="s">
        <v>74</v>
      </c>
      <c r="BA973" t="s">
        <v>74</v>
      </c>
      <c r="BB973" t="s">
        <v>74</v>
      </c>
      <c r="BC973" t="s">
        <v>74</v>
      </c>
      <c r="BD973">
        <v>106713</v>
      </c>
      <c r="BE973" t="s">
        <v>18820</v>
      </c>
      <c r="BF973" t="str">
        <f>HYPERLINK("http://dx.doi.org/10.1016/j.jenvrad.2021.106713","http://dx.doi.org/10.1016/j.jenvrad.2021.106713")</f>
        <v>http://dx.doi.org/10.1016/j.jenvrad.2021.106713</v>
      </c>
      <c r="BG973" t="s">
        <v>74</v>
      </c>
      <c r="BH973" t="s">
        <v>16043</v>
      </c>
      <c r="BI973">
        <v>9</v>
      </c>
      <c r="BJ973" t="s">
        <v>856</v>
      </c>
      <c r="BK973" t="s">
        <v>101</v>
      </c>
      <c r="BL973" t="s">
        <v>630</v>
      </c>
      <c r="BM973" t="s">
        <v>18821</v>
      </c>
      <c r="BN973">
        <v>34388521</v>
      </c>
      <c r="BO973" t="s">
        <v>74</v>
      </c>
      <c r="BP973" t="s">
        <v>74</v>
      </c>
      <c r="BQ973" t="s">
        <v>74</v>
      </c>
      <c r="BR973" t="s">
        <v>105</v>
      </c>
      <c r="BS973" t="s">
        <v>18822</v>
      </c>
      <c r="BT973" t="str">
        <f>HYPERLINK("https%3A%2F%2Fwww.webofscience.com%2Fwos%2Fwoscc%2Ffull-record%2FWOS:000692822400001","View Full Record in Web of Science")</f>
        <v>View Full Record in Web of Science</v>
      </c>
    </row>
    <row r="974" spans="1:72" x14ac:dyDescent="0.15">
      <c r="A974" t="s">
        <v>72</v>
      </c>
      <c r="B974" t="s">
        <v>18823</v>
      </c>
      <c r="C974" t="s">
        <v>74</v>
      </c>
      <c r="D974" t="s">
        <v>74</v>
      </c>
      <c r="E974" t="s">
        <v>74</v>
      </c>
      <c r="F974" t="s">
        <v>18824</v>
      </c>
      <c r="G974" t="s">
        <v>74</v>
      </c>
      <c r="H974" t="s">
        <v>74</v>
      </c>
      <c r="I974" t="s">
        <v>18825</v>
      </c>
      <c r="J974" t="s">
        <v>18826</v>
      </c>
      <c r="K974" t="s">
        <v>74</v>
      </c>
      <c r="L974" t="s">
        <v>74</v>
      </c>
      <c r="M974" t="s">
        <v>78</v>
      </c>
      <c r="N974" t="s">
        <v>79</v>
      </c>
      <c r="O974" t="s">
        <v>74</v>
      </c>
      <c r="P974" t="s">
        <v>74</v>
      </c>
      <c r="Q974" t="s">
        <v>74</v>
      </c>
      <c r="R974" t="s">
        <v>74</v>
      </c>
      <c r="S974" t="s">
        <v>74</v>
      </c>
      <c r="T974" t="s">
        <v>74</v>
      </c>
      <c r="U974" t="s">
        <v>18827</v>
      </c>
      <c r="V974" t="s">
        <v>18828</v>
      </c>
      <c r="W974" t="s">
        <v>18829</v>
      </c>
      <c r="X974" t="s">
        <v>18830</v>
      </c>
      <c r="Y974" t="s">
        <v>18831</v>
      </c>
      <c r="Z974" t="s">
        <v>18832</v>
      </c>
      <c r="AA974" t="s">
        <v>18833</v>
      </c>
      <c r="AB974" t="s">
        <v>18834</v>
      </c>
      <c r="AC974" t="s">
        <v>18835</v>
      </c>
      <c r="AD974" t="s">
        <v>18836</v>
      </c>
      <c r="AE974" t="s">
        <v>18837</v>
      </c>
      <c r="AF974" t="s">
        <v>74</v>
      </c>
      <c r="AG974">
        <v>55</v>
      </c>
      <c r="AH974">
        <v>4</v>
      </c>
      <c r="AI974">
        <v>4</v>
      </c>
      <c r="AJ974">
        <v>3</v>
      </c>
      <c r="AK974">
        <v>9</v>
      </c>
      <c r="AL974" t="s">
        <v>437</v>
      </c>
      <c r="AM974" t="s">
        <v>438</v>
      </c>
      <c r="AN974" t="s">
        <v>439</v>
      </c>
      <c r="AO974" t="s">
        <v>18838</v>
      </c>
      <c r="AP974" t="s">
        <v>18839</v>
      </c>
      <c r="AQ974" t="s">
        <v>74</v>
      </c>
      <c r="AR974" t="s">
        <v>18840</v>
      </c>
      <c r="AS974" t="s">
        <v>18841</v>
      </c>
      <c r="AT974" t="s">
        <v>17168</v>
      </c>
      <c r="AU974">
        <v>2021</v>
      </c>
      <c r="AV974">
        <v>61</v>
      </c>
      <c r="AW974">
        <v>8</v>
      </c>
      <c r="AX974" t="s">
        <v>74</v>
      </c>
      <c r="AY974" t="s">
        <v>74</v>
      </c>
      <c r="AZ974" t="s">
        <v>74</v>
      </c>
      <c r="BA974" t="s">
        <v>74</v>
      </c>
      <c r="BB974">
        <v>3988</v>
      </c>
      <c r="BC974">
        <v>3999</v>
      </c>
      <c r="BD974" t="s">
        <v>74</v>
      </c>
      <c r="BE974" t="s">
        <v>18842</v>
      </c>
      <c r="BF974" t="str">
        <f>HYPERLINK("http://dx.doi.org/10.1021/acs.jcim.1c00315","http://dx.doi.org/10.1021/acs.jcim.1c00315")</f>
        <v>http://dx.doi.org/10.1021/acs.jcim.1c00315</v>
      </c>
      <c r="BG974" t="s">
        <v>74</v>
      </c>
      <c r="BH974" t="s">
        <v>16043</v>
      </c>
      <c r="BI974">
        <v>12</v>
      </c>
      <c r="BJ974" t="s">
        <v>18843</v>
      </c>
      <c r="BK974" t="s">
        <v>101</v>
      </c>
      <c r="BL974" t="s">
        <v>18844</v>
      </c>
      <c r="BM974" t="s">
        <v>18845</v>
      </c>
      <c r="BN974">
        <v>34375114</v>
      </c>
      <c r="BO974" t="s">
        <v>343</v>
      </c>
      <c r="BP974" t="s">
        <v>74</v>
      </c>
      <c r="BQ974" t="s">
        <v>74</v>
      </c>
      <c r="BR974" t="s">
        <v>105</v>
      </c>
      <c r="BS974" t="s">
        <v>18846</v>
      </c>
      <c r="BT974" t="str">
        <f>HYPERLINK("https%3A%2F%2Fwww.webofscience.com%2Fwos%2Fwoscc%2Ffull-record%2FWOS:000688241800024","View Full Record in Web of Science")</f>
        <v>View Full Record in Web of Science</v>
      </c>
    </row>
    <row r="975" spans="1:72" x14ac:dyDescent="0.15">
      <c r="A975" t="s">
        <v>72</v>
      </c>
      <c r="B975" t="s">
        <v>18847</v>
      </c>
      <c r="C975" t="s">
        <v>74</v>
      </c>
      <c r="D975" t="s">
        <v>74</v>
      </c>
      <c r="E975" t="s">
        <v>74</v>
      </c>
      <c r="F975" t="s">
        <v>18848</v>
      </c>
      <c r="G975" t="s">
        <v>74</v>
      </c>
      <c r="H975" t="s">
        <v>74</v>
      </c>
      <c r="I975" t="s">
        <v>18849</v>
      </c>
      <c r="J975" t="s">
        <v>935</v>
      </c>
      <c r="K975" t="s">
        <v>74</v>
      </c>
      <c r="L975" t="s">
        <v>74</v>
      </c>
      <c r="M975" t="s">
        <v>78</v>
      </c>
      <c r="N975" t="s">
        <v>79</v>
      </c>
      <c r="O975" t="s">
        <v>74</v>
      </c>
      <c r="P975" t="s">
        <v>74</v>
      </c>
      <c r="Q975" t="s">
        <v>74</v>
      </c>
      <c r="R975" t="s">
        <v>74</v>
      </c>
      <c r="S975" t="s">
        <v>74</v>
      </c>
      <c r="T975" t="s">
        <v>18850</v>
      </c>
      <c r="U975" t="s">
        <v>18851</v>
      </c>
      <c r="V975" t="s">
        <v>18852</v>
      </c>
      <c r="W975" t="s">
        <v>18853</v>
      </c>
      <c r="X975" t="s">
        <v>18854</v>
      </c>
      <c r="Y975" t="s">
        <v>18855</v>
      </c>
      <c r="Z975" t="s">
        <v>18856</v>
      </c>
      <c r="AA975" t="s">
        <v>74</v>
      </c>
      <c r="AB975" t="s">
        <v>74</v>
      </c>
      <c r="AC975" t="s">
        <v>18857</v>
      </c>
      <c r="AD975" t="s">
        <v>18423</v>
      </c>
      <c r="AE975" t="s">
        <v>18858</v>
      </c>
      <c r="AF975" t="s">
        <v>74</v>
      </c>
      <c r="AG975">
        <v>84</v>
      </c>
      <c r="AH975">
        <v>7</v>
      </c>
      <c r="AI975">
        <v>7</v>
      </c>
      <c r="AJ975">
        <v>3</v>
      </c>
      <c r="AK975">
        <v>24</v>
      </c>
      <c r="AL975" t="s">
        <v>169</v>
      </c>
      <c r="AM975" t="s">
        <v>170</v>
      </c>
      <c r="AN975" t="s">
        <v>171</v>
      </c>
      <c r="AO975" t="s">
        <v>948</v>
      </c>
      <c r="AP975" t="s">
        <v>949</v>
      </c>
      <c r="AQ975" t="s">
        <v>74</v>
      </c>
      <c r="AR975" t="s">
        <v>950</v>
      </c>
      <c r="AS975" t="s">
        <v>951</v>
      </c>
      <c r="AT975" t="s">
        <v>627</v>
      </c>
      <c r="AU975">
        <v>2021</v>
      </c>
      <c r="AV975">
        <v>44</v>
      </c>
      <c r="AW975">
        <v>9</v>
      </c>
      <c r="AX975" t="s">
        <v>74</v>
      </c>
      <c r="AY975" t="s">
        <v>74</v>
      </c>
      <c r="AZ975" t="s">
        <v>74</v>
      </c>
      <c r="BA975" t="s">
        <v>74</v>
      </c>
      <c r="BB975">
        <v>1869</v>
      </c>
      <c r="BC975">
        <v>1881</v>
      </c>
      <c r="BD975" t="s">
        <v>74</v>
      </c>
      <c r="BE975" t="s">
        <v>18859</v>
      </c>
      <c r="BF975" t="str">
        <f>HYPERLINK("http://dx.doi.org/10.1007/s00300-021-02925-1","http://dx.doi.org/10.1007/s00300-021-02925-1")</f>
        <v>http://dx.doi.org/10.1007/s00300-021-02925-1</v>
      </c>
      <c r="BG975" t="s">
        <v>74</v>
      </c>
      <c r="BH975" t="s">
        <v>16043</v>
      </c>
      <c r="BI975">
        <v>13</v>
      </c>
      <c r="BJ975" t="s">
        <v>605</v>
      </c>
      <c r="BK975" t="s">
        <v>101</v>
      </c>
      <c r="BL975" t="s">
        <v>606</v>
      </c>
      <c r="BM975" t="s">
        <v>18860</v>
      </c>
      <c r="BN975" t="s">
        <v>74</v>
      </c>
      <c r="BO975" t="s">
        <v>180</v>
      </c>
      <c r="BP975" t="s">
        <v>74</v>
      </c>
      <c r="BQ975" t="s">
        <v>74</v>
      </c>
      <c r="BR975" t="s">
        <v>105</v>
      </c>
      <c r="BS975" t="s">
        <v>18861</v>
      </c>
      <c r="BT975" t="str">
        <f>HYPERLINK("https%3A%2F%2Fwww.webofscience.com%2Fwos%2Fwoscc%2Ffull-record%2FWOS:000683708300002","View Full Record in Web of Science")</f>
        <v>View Full Record in Web of Science</v>
      </c>
    </row>
    <row r="976" spans="1:72" x14ac:dyDescent="0.15">
      <c r="A976" t="s">
        <v>72</v>
      </c>
      <c r="B976" t="s">
        <v>18862</v>
      </c>
      <c r="C976" t="s">
        <v>74</v>
      </c>
      <c r="D976" t="s">
        <v>74</v>
      </c>
      <c r="E976" t="s">
        <v>74</v>
      </c>
      <c r="F976" t="s">
        <v>18863</v>
      </c>
      <c r="G976" t="s">
        <v>74</v>
      </c>
      <c r="H976" t="s">
        <v>74</v>
      </c>
      <c r="I976" t="s">
        <v>18864</v>
      </c>
      <c r="J976" t="s">
        <v>935</v>
      </c>
      <c r="K976" t="s">
        <v>74</v>
      </c>
      <c r="L976" t="s">
        <v>74</v>
      </c>
      <c r="M976" t="s">
        <v>78</v>
      </c>
      <c r="N976" t="s">
        <v>79</v>
      </c>
      <c r="O976" t="s">
        <v>74</v>
      </c>
      <c r="P976" t="s">
        <v>74</v>
      </c>
      <c r="Q976" t="s">
        <v>74</v>
      </c>
      <c r="R976" t="s">
        <v>74</v>
      </c>
      <c r="S976" t="s">
        <v>74</v>
      </c>
      <c r="T976" t="s">
        <v>18865</v>
      </c>
      <c r="U976" t="s">
        <v>18866</v>
      </c>
      <c r="V976" t="s">
        <v>18867</v>
      </c>
      <c r="W976" t="s">
        <v>18868</v>
      </c>
      <c r="X976" t="s">
        <v>18869</v>
      </c>
      <c r="Y976" t="s">
        <v>18870</v>
      </c>
      <c r="Z976" t="s">
        <v>18871</v>
      </c>
      <c r="AA976" t="s">
        <v>18872</v>
      </c>
      <c r="AB976" t="s">
        <v>18873</v>
      </c>
      <c r="AC976" t="s">
        <v>18874</v>
      </c>
      <c r="AD976" t="s">
        <v>18875</v>
      </c>
      <c r="AE976" t="s">
        <v>18876</v>
      </c>
      <c r="AF976" t="s">
        <v>74</v>
      </c>
      <c r="AG976">
        <v>58</v>
      </c>
      <c r="AH976">
        <v>4</v>
      </c>
      <c r="AI976">
        <v>4</v>
      </c>
      <c r="AJ976">
        <v>4</v>
      </c>
      <c r="AK976">
        <v>17</v>
      </c>
      <c r="AL976" t="s">
        <v>169</v>
      </c>
      <c r="AM976" t="s">
        <v>170</v>
      </c>
      <c r="AN976" t="s">
        <v>171</v>
      </c>
      <c r="AO976" t="s">
        <v>948</v>
      </c>
      <c r="AP976" t="s">
        <v>949</v>
      </c>
      <c r="AQ976" t="s">
        <v>74</v>
      </c>
      <c r="AR976" t="s">
        <v>950</v>
      </c>
      <c r="AS976" t="s">
        <v>951</v>
      </c>
      <c r="AT976" t="s">
        <v>627</v>
      </c>
      <c r="AU976">
        <v>2021</v>
      </c>
      <c r="AV976">
        <v>44</v>
      </c>
      <c r="AW976">
        <v>9</v>
      </c>
      <c r="AX976" t="s">
        <v>74</v>
      </c>
      <c r="AY976" t="s">
        <v>74</v>
      </c>
      <c r="AZ976" t="s">
        <v>74</v>
      </c>
      <c r="BA976" t="s">
        <v>74</v>
      </c>
      <c r="BB976">
        <v>1859</v>
      </c>
      <c r="BC976">
        <v>1868</v>
      </c>
      <c r="BD976" t="s">
        <v>74</v>
      </c>
      <c r="BE976" t="s">
        <v>18877</v>
      </c>
      <c r="BF976" t="str">
        <f>HYPERLINK("http://dx.doi.org/10.1007/s00300-021-02924-2","http://dx.doi.org/10.1007/s00300-021-02924-2")</f>
        <v>http://dx.doi.org/10.1007/s00300-021-02924-2</v>
      </c>
      <c r="BG976" t="s">
        <v>74</v>
      </c>
      <c r="BH976" t="s">
        <v>16043</v>
      </c>
      <c r="BI976">
        <v>10</v>
      </c>
      <c r="BJ976" t="s">
        <v>605</v>
      </c>
      <c r="BK976" t="s">
        <v>101</v>
      </c>
      <c r="BL976" t="s">
        <v>606</v>
      </c>
      <c r="BM976" t="s">
        <v>18860</v>
      </c>
      <c r="BN976" t="s">
        <v>74</v>
      </c>
      <c r="BO976" t="s">
        <v>419</v>
      </c>
      <c r="BP976" t="s">
        <v>74</v>
      </c>
      <c r="BQ976" t="s">
        <v>74</v>
      </c>
      <c r="BR976" t="s">
        <v>105</v>
      </c>
      <c r="BS976" t="s">
        <v>18878</v>
      </c>
      <c r="BT976" t="str">
        <f>HYPERLINK("https%3A%2F%2Fwww.webofscience.com%2Fwos%2Fwoscc%2Ffull-record%2FWOS:000683708300003","View Full Record in Web of Science")</f>
        <v>View Full Record in Web of Science</v>
      </c>
    </row>
    <row r="977" spans="1:72" x14ac:dyDescent="0.15">
      <c r="A977" t="s">
        <v>72</v>
      </c>
      <c r="B977" t="s">
        <v>18879</v>
      </c>
      <c r="C977" t="s">
        <v>74</v>
      </c>
      <c r="D977" t="s">
        <v>74</v>
      </c>
      <c r="E977" t="s">
        <v>74</v>
      </c>
      <c r="F977" t="s">
        <v>18880</v>
      </c>
      <c r="G977" t="s">
        <v>74</v>
      </c>
      <c r="H977" t="s">
        <v>74</v>
      </c>
      <c r="I977" t="s">
        <v>18881</v>
      </c>
      <c r="J977" t="s">
        <v>18882</v>
      </c>
      <c r="K977" t="s">
        <v>74</v>
      </c>
      <c r="L977" t="s">
        <v>74</v>
      </c>
      <c r="M977" t="s">
        <v>78</v>
      </c>
      <c r="N977" t="s">
        <v>79</v>
      </c>
      <c r="O977" t="s">
        <v>74</v>
      </c>
      <c r="P977" t="s">
        <v>74</v>
      </c>
      <c r="Q977" t="s">
        <v>74</v>
      </c>
      <c r="R977" t="s">
        <v>74</v>
      </c>
      <c r="S977" t="s">
        <v>74</v>
      </c>
      <c r="T977" t="s">
        <v>18883</v>
      </c>
      <c r="U977" t="s">
        <v>18884</v>
      </c>
      <c r="V977" t="s">
        <v>18885</v>
      </c>
      <c r="W977" t="s">
        <v>18886</v>
      </c>
      <c r="X977" t="s">
        <v>18887</v>
      </c>
      <c r="Y977" t="s">
        <v>18888</v>
      </c>
      <c r="Z977" t="s">
        <v>18889</v>
      </c>
      <c r="AA977" t="s">
        <v>18890</v>
      </c>
      <c r="AB977" t="s">
        <v>18891</v>
      </c>
      <c r="AC977" t="s">
        <v>18892</v>
      </c>
      <c r="AD977" t="s">
        <v>18893</v>
      </c>
      <c r="AE977" t="s">
        <v>18894</v>
      </c>
      <c r="AF977" t="s">
        <v>74</v>
      </c>
      <c r="AG977">
        <v>124</v>
      </c>
      <c r="AH977">
        <v>25</v>
      </c>
      <c r="AI977">
        <v>27</v>
      </c>
      <c r="AJ977">
        <v>5</v>
      </c>
      <c r="AK977">
        <v>42</v>
      </c>
      <c r="AL977" t="s">
        <v>572</v>
      </c>
      <c r="AM977" t="s">
        <v>573</v>
      </c>
      <c r="AN977" t="s">
        <v>574</v>
      </c>
      <c r="AO977" t="s">
        <v>18895</v>
      </c>
      <c r="AP977" t="s">
        <v>18896</v>
      </c>
      <c r="AQ977" t="s">
        <v>74</v>
      </c>
      <c r="AR977" t="s">
        <v>18882</v>
      </c>
      <c r="AS977" t="s">
        <v>18897</v>
      </c>
      <c r="AT977" t="s">
        <v>627</v>
      </c>
      <c r="AU977">
        <v>2021</v>
      </c>
      <c r="AV977">
        <v>44</v>
      </c>
      <c r="AW977">
        <v>9</v>
      </c>
      <c r="AX977" t="s">
        <v>74</v>
      </c>
      <c r="AY977" t="s">
        <v>74</v>
      </c>
      <c r="AZ977" t="s">
        <v>74</v>
      </c>
      <c r="BA977" t="s">
        <v>74</v>
      </c>
      <c r="BB977">
        <v>1283</v>
      </c>
      <c r="BC977">
        <v>1295</v>
      </c>
      <c r="BD977" t="s">
        <v>74</v>
      </c>
      <c r="BE977" t="s">
        <v>18898</v>
      </c>
      <c r="BF977" t="str">
        <f>HYPERLINK("http://dx.doi.org/10.1111/ecog.05545","http://dx.doi.org/10.1111/ecog.05545")</f>
        <v>http://dx.doi.org/10.1111/ecog.05545</v>
      </c>
      <c r="BG977" t="s">
        <v>74</v>
      </c>
      <c r="BH977" t="s">
        <v>16043</v>
      </c>
      <c r="BI977">
        <v>13</v>
      </c>
      <c r="BJ977" t="s">
        <v>605</v>
      </c>
      <c r="BK977" t="s">
        <v>101</v>
      </c>
      <c r="BL977" t="s">
        <v>606</v>
      </c>
      <c r="BM977" t="s">
        <v>18899</v>
      </c>
      <c r="BN977" t="s">
        <v>74</v>
      </c>
      <c r="BO977" t="s">
        <v>18900</v>
      </c>
      <c r="BP977" t="s">
        <v>74</v>
      </c>
      <c r="BQ977" t="s">
        <v>74</v>
      </c>
      <c r="BR977" t="s">
        <v>105</v>
      </c>
      <c r="BS977" t="s">
        <v>18901</v>
      </c>
      <c r="BT977" t="str">
        <f>HYPERLINK("https%3A%2F%2Fwww.webofscience.com%2Fwos%2Fwoscc%2Ffull-record%2FWOS:000683315200001","View Full Record in Web of Science")</f>
        <v>View Full Record in Web of Science</v>
      </c>
    </row>
    <row r="978" spans="1:72" x14ac:dyDescent="0.15">
      <c r="A978" t="s">
        <v>72</v>
      </c>
      <c r="B978" t="s">
        <v>18902</v>
      </c>
      <c r="C978" t="s">
        <v>74</v>
      </c>
      <c r="D978" t="s">
        <v>74</v>
      </c>
      <c r="E978" t="s">
        <v>74</v>
      </c>
      <c r="F978" t="s">
        <v>18903</v>
      </c>
      <c r="G978" t="s">
        <v>74</v>
      </c>
      <c r="H978" t="s">
        <v>74</v>
      </c>
      <c r="I978" t="s">
        <v>18904</v>
      </c>
      <c r="J978" t="s">
        <v>6168</v>
      </c>
      <c r="K978" t="s">
        <v>74</v>
      </c>
      <c r="L978" t="s">
        <v>74</v>
      </c>
      <c r="M978" t="s">
        <v>78</v>
      </c>
      <c r="N978" t="s">
        <v>79</v>
      </c>
      <c r="O978" t="s">
        <v>74</v>
      </c>
      <c r="P978" t="s">
        <v>74</v>
      </c>
      <c r="Q978" t="s">
        <v>74</v>
      </c>
      <c r="R978" t="s">
        <v>74</v>
      </c>
      <c r="S978" t="s">
        <v>74</v>
      </c>
      <c r="T978" t="s">
        <v>18905</v>
      </c>
      <c r="U978" t="s">
        <v>18906</v>
      </c>
      <c r="V978" t="s">
        <v>18907</v>
      </c>
      <c r="W978" t="s">
        <v>18908</v>
      </c>
      <c r="X978" t="s">
        <v>18909</v>
      </c>
      <c r="Y978" t="s">
        <v>18910</v>
      </c>
      <c r="Z978" t="s">
        <v>18911</v>
      </c>
      <c r="AA978" t="s">
        <v>18912</v>
      </c>
      <c r="AB978" t="s">
        <v>18913</v>
      </c>
      <c r="AC978" t="s">
        <v>18914</v>
      </c>
      <c r="AD978" t="s">
        <v>18915</v>
      </c>
      <c r="AE978" t="s">
        <v>18916</v>
      </c>
      <c r="AF978" t="s">
        <v>74</v>
      </c>
      <c r="AG978">
        <v>43</v>
      </c>
      <c r="AH978">
        <v>10</v>
      </c>
      <c r="AI978">
        <v>11</v>
      </c>
      <c r="AJ978">
        <v>3</v>
      </c>
      <c r="AK978">
        <v>22</v>
      </c>
      <c r="AL978" t="s">
        <v>6181</v>
      </c>
      <c r="AM978" t="s">
        <v>6182</v>
      </c>
      <c r="AN978" t="s">
        <v>6183</v>
      </c>
      <c r="AO978" t="s">
        <v>6184</v>
      </c>
      <c r="AP978" t="s">
        <v>6185</v>
      </c>
      <c r="AQ978" t="s">
        <v>74</v>
      </c>
      <c r="AR978" t="s">
        <v>6186</v>
      </c>
      <c r="AS978" t="s">
        <v>6187</v>
      </c>
      <c r="AT978" t="s">
        <v>7760</v>
      </c>
      <c r="AU978">
        <v>2021</v>
      </c>
      <c r="AV978">
        <v>167</v>
      </c>
      <c r="AW978" t="s">
        <v>74</v>
      </c>
      <c r="AX978" t="s">
        <v>74</v>
      </c>
      <c r="AY978" t="s">
        <v>74</v>
      </c>
      <c r="AZ978" t="s">
        <v>74</v>
      </c>
      <c r="BA978" t="s">
        <v>74</v>
      </c>
      <c r="BB978">
        <v>235</v>
      </c>
      <c r="BC978">
        <v>244</v>
      </c>
      <c r="BD978" t="s">
        <v>74</v>
      </c>
      <c r="BE978" t="s">
        <v>18917</v>
      </c>
      <c r="BF978" t="str">
        <f>HYPERLINK("http://dx.doi.org/10.1016/j.plaphy.2021.08.005","http://dx.doi.org/10.1016/j.plaphy.2021.08.005")</f>
        <v>http://dx.doi.org/10.1016/j.plaphy.2021.08.005</v>
      </c>
      <c r="BG978" t="s">
        <v>74</v>
      </c>
      <c r="BH978" t="s">
        <v>16043</v>
      </c>
      <c r="BI978">
        <v>10</v>
      </c>
      <c r="BJ978" t="s">
        <v>4148</v>
      </c>
      <c r="BK978" t="s">
        <v>101</v>
      </c>
      <c r="BL978" t="s">
        <v>4148</v>
      </c>
      <c r="BM978" t="s">
        <v>18918</v>
      </c>
      <c r="BN978">
        <v>34385002</v>
      </c>
      <c r="BO978" t="s">
        <v>74</v>
      </c>
      <c r="BP978" t="s">
        <v>74</v>
      </c>
      <c r="BQ978" t="s">
        <v>74</v>
      </c>
      <c r="BR978" t="s">
        <v>105</v>
      </c>
      <c r="BS978" t="s">
        <v>18919</v>
      </c>
      <c r="BT978" t="str">
        <f>HYPERLINK("https%3A%2F%2Fwww.webofscience.com%2Fwos%2Fwoscc%2Ffull-record%2FWOS:000703775900022","View Full Record in Web of Science")</f>
        <v>View Full Record in Web of Science</v>
      </c>
    </row>
    <row r="979" spans="1:72" x14ac:dyDescent="0.15">
      <c r="A979" t="s">
        <v>72</v>
      </c>
      <c r="B979" t="s">
        <v>18920</v>
      </c>
      <c r="C979" t="s">
        <v>74</v>
      </c>
      <c r="D979" t="s">
        <v>74</v>
      </c>
      <c r="E979" t="s">
        <v>74</v>
      </c>
      <c r="F979" t="s">
        <v>18921</v>
      </c>
      <c r="G979" t="s">
        <v>74</v>
      </c>
      <c r="H979" t="s">
        <v>74</v>
      </c>
      <c r="I979" t="s">
        <v>18922</v>
      </c>
      <c r="J979" t="s">
        <v>16071</v>
      </c>
      <c r="K979" t="s">
        <v>74</v>
      </c>
      <c r="L979" t="s">
        <v>74</v>
      </c>
      <c r="M979" t="s">
        <v>78</v>
      </c>
      <c r="N979" t="s">
        <v>79</v>
      </c>
      <c r="O979" t="s">
        <v>74</v>
      </c>
      <c r="P979" t="s">
        <v>74</v>
      </c>
      <c r="Q979" t="s">
        <v>74</v>
      </c>
      <c r="R979" t="s">
        <v>74</v>
      </c>
      <c r="S979" t="s">
        <v>74</v>
      </c>
      <c r="T979" t="s">
        <v>18923</v>
      </c>
      <c r="U979" t="s">
        <v>18924</v>
      </c>
      <c r="V979" t="s">
        <v>18925</v>
      </c>
      <c r="W979" t="s">
        <v>18926</v>
      </c>
      <c r="X979" t="s">
        <v>18927</v>
      </c>
      <c r="Y979" t="s">
        <v>18928</v>
      </c>
      <c r="Z979" t="s">
        <v>18929</v>
      </c>
      <c r="AA979" t="s">
        <v>18930</v>
      </c>
      <c r="AB979" t="s">
        <v>18931</v>
      </c>
      <c r="AC979" t="s">
        <v>18932</v>
      </c>
      <c r="AD979" t="s">
        <v>18933</v>
      </c>
      <c r="AE979" t="s">
        <v>18934</v>
      </c>
      <c r="AF979" t="s">
        <v>74</v>
      </c>
      <c r="AG979">
        <v>53</v>
      </c>
      <c r="AH979">
        <v>1</v>
      </c>
      <c r="AI979">
        <v>1</v>
      </c>
      <c r="AJ979">
        <v>3</v>
      </c>
      <c r="AK979">
        <v>24</v>
      </c>
      <c r="AL979" t="s">
        <v>1175</v>
      </c>
      <c r="AM979" t="s">
        <v>170</v>
      </c>
      <c r="AN979" t="s">
        <v>1176</v>
      </c>
      <c r="AO979" t="s">
        <v>16083</v>
      </c>
      <c r="AP979" t="s">
        <v>16084</v>
      </c>
      <c r="AQ979" t="s">
        <v>74</v>
      </c>
      <c r="AR979" t="s">
        <v>16085</v>
      </c>
      <c r="AS979" t="s">
        <v>16086</v>
      </c>
      <c r="AT979" t="s">
        <v>310</v>
      </c>
      <c r="AU979">
        <v>2021</v>
      </c>
      <c r="AV979">
        <v>262</v>
      </c>
      <c r="AW979" t="s">
        <v>74</v>
      </c>
      <c r="AX979" t="s">
        <v>74</v>
      </c>
      <c r="AY979" t="s">
        <v>74</v>
      </c>
      <c r="AZ979" t="s">
        <v>74</v>
      </c>
      <c r="BA979" t="s">
        <v>74</v>
      </c>
      <c r="BB979" t="s">
        <v>74</v>
      </c>
      <c r="BC979" t="s">
        <v>74</v>
      </c>
      <c r="BD979">
        <v>105790</v>
      </c>
      <c r="BE979" t="s">
        <v>18935</v>
      </c>
      <c r="BF979" t="str">
        <f>HYPERLINK("http://dx.doi.org/10.1016/j.atmosres.2021.105790","http://dx.doi.org/10.1016/j.atmosres.2021.105790")</f>
        <v>http://dx.doi.org/10.1016/j.atmosres.2021.105790</v>
      </c>
      <c r="BG979" t="s">
        <v>74</v>
      </c>
      <c r="BH979" t="s">
        <v>16043</v>
      </c>
      <c r="BI979">
        <v>14</v>
      </c>
      <c r="BJ979" t="s">
        <v>829</v>
      </c>
      <c r="BK979" t="s">
        <v>101</v>
      </c>
      <c r="BL979" t="s">
        <v>829</v>
      </c>
      <c r="BM979" t="s">
        <v>18936</v>
      </c>
      <c r="BN979" t="s">
        <v>74</v>
      </c>
      <c r="BO979" t="s">
        <v>1471</v>
      </c>
      <c r="BP979" t="s">
        <v>74</v>
      </c>
      <c r="BQ979" t="s">
        <v>74</v>
      </c>
      <c r="BR979" t="s">
        <v>105</v>
      </c>
      <c r="BS979" t="s">
        <v>18937</v>
      </c>
      <c r="BT979" t="str">
        <f>HYPERLINK("https%3A%2F%2Fwww.webofscience.com%2Fwos%2Fwoscc%2Ffull-record%2FWOS:000691483700003","View Full Record in Web of Science")</f>
        <v>View Full Record in Web of Science</v>
      </c>
    </row>
    <row r="980" spans="1:72" x14ac:dyDescent="0.15">
      <c r="A980" t="s">
        <v>72</v>
      </c>
      <c r="B980" t="s">
        <v>18938</v>
      </c>
      <c r="C980" t="s">
        <v>74</v>
      </c>
      <c r="D980" t="s">
        <v>74</v>
      </c>
      <c r="E980" t="s">
        <v>74</v>
      </c>
      <c r="F980" t="s">
        <v>18939</v>
      </c>
      <c r="G980" t="s">
        <v>74</v>
      </c>
      <c r="H980" t="s">
        <v>74</v>
      </c>
      <c r="I980" t="s">
        <v>18940</v>
      </c>
      <c r="J980" t="s">
        <v>18941</v>
      </c>
      <c r="K980" t="s">
        <v>74</v>
      </c>
      <c r="L980" t="s">
        <v>74</v>
      </c>
      <c r="M980" t="s">
        <v>78</v>
      </c>
      <c r="N980" t="s">
        <v>79</v>
      </c>
      <c r="O980" t="s">
        <v>74</v>
      </c>
      <c r="P980" t="s">
        <v>74</v>
      </c>
      <c r="Q980" t="s">
        <v>74</v>
      </c>
      <c r="R980" t="s">
        <v>74</v>
      </c>
      <c r="S980" t="s">
        <v>74</v>
      </c>
      <c r="T980" t="s">
        <v>18942</v>
      </c>
      <c r="U980" t="s">
        <v>18943</v>
      </c>
      <c r="V980" t="s">
        <v>18944</v>
      </c>
      <c r="W980" t="s">
        <v>18945</v>
      </c>
      <c r="X980" t="s">
        <v>18946</v>
      </c>
      <c r="Y980" t="s">
        <v>18947</v>
      </c>
      <c r="Z980" t="s">
        <v>18948</v>
      </c>
      <c r="AA980" t="s">
        <v>18949</v>
      </c>
      <c r="AB980" t="s">
        <v>18950</v>
      </c>
      <c r="AC980" t="s">
        <v>18951</v>
      </c>
      <c r="AD980" t="s">
        <v>18952</v>
      </c>
      <c r="AE980" t="s">
        <v>18953</v>
      </c>
      <c r="AF980" t="s">
        <v>74</v>
      </c>
      <c r="AG980">
        <v>21</v>
      </c>
      <c r="AH980">
        <v>7</v>
      </c>
      <c r="AI980">
        <v>7</v>
      </c>
      <c r="AJ980">
        <v>1</v>
      </c>
      <c r="AK980">
        <v>11</v>
      </c>
      <c r="AL980" t="s">
        <v>572</v>
      </c>
      <c r="AM980" t="s">
        <v>573</v>
      </c>
      <c r="AN980" t="s">
        <v>574</v>
      </c>
      <c r="AO980" t="s">
        <v>18954</v>
      </c>
      <c r="AP980" t="s">
        <v>18955</v>
      </c>
      <c r="AQ980" t="s">
        <v>74</v>
      </c>
      <c r="AR980" t="s">
        <v>18941</v>
      </c>
      <c r="AS980" t="s">
        <v>18956</v>
      </c>
      <c r="AT980" t="s">
        <v>98</v>
      </c>
      <c r="AU980">
        <v>2021</v>
      </c>
      <c r="AV980">
        <v>36</v>
      </c>
      <c r="AW980">
        <v>8</v>
      </c>
      <c r="AX980" t="s">
        <v>74</v>
      </c>
      <c r="AY980" t="s">
        <v>74</v>
      </c>
      <c r="AZ980" t="s">
        <v>74</v>
      </c>
      <c r="BA980" t="s">
        <v>74</v>
      </c>
      <c r="BB980">
        <v>1910</v>
      </c>
      <c r="BC980">
        <v>1921</v>
      </c>
      <c r="BD980" t="s">
        <v>74</v>
      </c>
      <c r="BE980" t="s">
        <v>18957</v>
      </c>
      <c r="BF980" t="str">
        <f>HYPERLINK("http://dx.doi.org/10.1002/bio.4125","http://dx.doi.org/10.1002/bio.4125")</f>
        <v>http://dx.doi.org/10.1002/bio.4125</v>
      </c>
      <c r="BG980" t="s">
        <v>74</v>
      </c>
      <c r="BH980" t="s">
        <v>16043</v>
      </c>
      <c r="BI980">
        <v>12</v>
      </c>
      <c r="BJ980" t="s">
        <v>18112</v>
      </c>
      <c r="BK980" t="s">
        <v>101</v>
      </c>
      <c r="BL980" t="s">
        <v>18113</v>
      </c>
      <c r="BM980" t="s">
        <v>18958</v>
      </c>
      <c r="BN980">
        <v>34322989</v>
      </c>
      <c r="BO980" t="s">
        <v>74</v>
      </c>
      <c r="BP980" t="s">
        <v>74</v>
      </c>
      <c r="BQ980" t="s">
        <v>74</v>
      </c>
      <c r="BR980" t="s">
        <v>105</v>
      </c>
      <c r="BS980" t="s">
        <v>18959</v>
      </c>
      <c r="BT980" t="str">
        <f>HYPERLINK("https%3A%2F%2Fwww.webofscience.com%2Fwos%2Fwoscc%2Ffull-record%2FWOS:000682960800001","View Full Record in Web of Science")</f>
        <v>View Full Record in Web of Science</v>
      </c>
    </row>
    <row r="981" spans="1:72" x14ac:dyDescent="0.15">
      <c r="A981" t="s">
        <v>72</v>
      </c>
      <c r="B981" t="s">
        <v>18960</v>
      </c>
      <c r="C981" t="s">
        <v>74</v>
      </c>
      <c r="D981" t="s">
        <v>74</v>
      </c>
      <c r="E981" t="s">
        <v>74</v>
      </c>
      <c r="F981" t="s">
        <v>18961</v>
      </c>
      <c r="G981" t="s">
        <v>74</v>
      </c>
      <c r="H981" t="s">
        <v>74</v>
      </c>
      <c r="I981" t="s">
        <v>18962</v>
      </c>
      <c r="J981" t="s">
        <v>536</v>
      </c>
      <c r="K981" t="s">
        <v>74</v>
      </c>
      <c r="L981" t="s">
        <v>74</v>
      </c>
      <c r="M981" t="s">
        <v>78</v>
      </c>
      <c r="N981" t="s">
        <v>79</v>
      </c>
      <c r="O981" t="s">
        <v>74</v>
      </c>
      <c r="P981" t="s">
        <v>74</v>
      </c>
      <c r="Q981" t="s">
        <v>74</v>
      </c>
      <c r="R981" t="s">
        <v>74</v>
      </c>
      <c r="S981" t="s">
        <v>74</v>
      </c>
      <c r="T981" t="s">
        <v>74</v>
      </c>
      <c r="U981" t="s">
        <v>18963</v>
      </c>
      <c r="V981" t="s">
        <v>18964</v>
      </c>
      <c r="W981" t="s">
        <v>18965</v>
      </c>
      <c r="X981" t="s">
        <v>18966</v>
      </c>
      <c r="Y981" t="s">
        <v>18967</v>
      </c>
      <c r="Z981" t="s">
        <v>18968</v>
      </c>
      <c r="AA981" t="s">
        <v>18969</v>
      </c>
      <c r="AB981" t="s">
        <v>18970</v>
      </c>
      <c r="AC981" t="s">
        <v>18971</v>
      </c>
      <c r="AD981" t="s">
        <v>18972</v>
      </c>
      <c r="AE981" t="s">
        <v>18973</v>
      </c>
      <c r="AF981" t="s">
        <v>74</v>
      </c>
      <c r="AG981">
        <v>66</v>
      </c>
      <c r="AH981">
        <v>2</v>
      </c>
      <c r="AI981">
        <v>2</v>
      </c>
      <c r="AJ981">
        <v>3</v>
      </c>
      <c r="AK981">
        <v>13</v>
      </c>
      <c r="AL981" t="s">
        <v>227</v>
      </c>
      <c r="AM981" t="s">
        <v>228</v>
      </c>
      <c r="AN981" t="s">
        <v>229</v>
      </c>
      <c r="AO981" t="s">
        <v>548</v>
      </c>
      <c r="AP981" t="s">
        <v>549</v>
      </c>
      <c r="AQ981" t="s">
        <v>74</v>
      </c>
      <c r="AR981" t="s">
        <v>550</v>
      </c>
      <c r="AS981" t="s">
        <v>551</v>
      </c>
      <c r="AT981" t="s">
        <v>18974</v>
      </c>
      <c r="AU981">
        <v>2021</v>
      </c>
      <c r="AV981">
        <v>21</v>
      </c>
      <c r="AW981">
        <v>15</v>
      </c>
      <c r="AX981" t="s">
        <v>74</v>
      </c>
      <c r="AY981" t="s">
        <v>74</v>
      </c>
      <c r="AZ981" t="s">
        <v>74</v>
      </c>
      <c r="BA981" t="s">
        <v>74</v>
      </c>
      <c r="BB981">
        <v>11829</v>
      </c>
      <c r="BC981">
        <v>11842</v>
      </c>
      <c r="BD981" t="s">
        <v>74</v>
      </c>
      <c r="BE981" t="s">
        <v>18975</v>
      </c>
      <c r="BF981" t="str">
        <f>HYPERLINK("http://dx.doi.org/10.5194/acp-21-11829-2021","http://dx.doi.org/10.5194/acp-21-11829-2021")</f>
        <v>http://dx.doi.org/10.5194/acp-21-11829-2021</v>
      </c>
      <c r="BG981" t="s">
        <v>74</v>
      </c>
      <c r="BH981" t="s">
        <v>74</v>
      </c>
      <c r="BI981">
        <v>14</v>
      </c>
      <c r="BJ981" t="s">
        <v>100</v>
      </c>
      <c r="BK981" t="s">
        <v>101</v>
      </c>
      <c r="BL981" t="s">
        <v>102</v>
      </c>
      <c r="BM981" t="s">
        <v>18976</v>
      </c>
      <c r="BN981" t="s">
        <v>74</v>
      </c>
      <c r="BO981" t="s">
        <v>554</v>
      </c>
      <c r="BP981" t="s">
        <v>74</v>
      </c>
      <c r="BQ981" t="s">
        <v>74</v>
      </c>
      <c r="BR981" t="s">
        <v>105</v>
      </c>
      <c r="BS981" t="s">
        <v>18977</v>
      </c>
      <c r="BT981" t="str">
        <f>HYPERLINK("https%3A%2F%2Fwww.webofscience.com%2Fwos%2Fwoscc%2Ffull-record%2FWOS:000684046700003","View Full Record in Web of Science")</f>
        <v>View Full Record in Web of Science</v>
      </c>
    </row>
    <row r="982" spans="1:72" x14ac:dyDescent="0.15">
      <c r="A982" t="s">
        <v>72</v>
      </c>
      <c r="B982" t="s">
        <v>18978</v>
      </c>
      <c r="C982" t="s">
        <v>74</v>
      </c>
      <c r="D982" t="s">
        <v>74</v>
      </c>
      <c r="E982" t="s">
        <v>74</v>
      </c>
      <c r="F982" t="s">
        <v>18979</v>
      </c>
      <c r="G982" t="s">
        <v>74</v>
      </c>
      <c r="H982" t="s">
        <v>74</v>
      </c>
      <c r="I982" t="s">
        <v>18980</v>
      </c>
      <c r="J982" t="s">
        <v>18981</v>
      </c>
      <c r="K982" t="s">
        <v>74</v>
      </c>
      <c r="L982" t="s">
        <v>74</v>
      </c>
      <c r="M982" t="s">
        <v>78</v>
      </c>
      <c r="N982" t="s">
        <v>79</v>
      </c>
      <c r="O982" t="s">
        <v>74</v>
      </c>
      <c r="P982" t="s">
        <v>74</v>
      </c>
      <c r="Q982" t="s">
        <v>74</v>
      </c>
      <c r="R982" t="s">
        <v>74</v>
      </c>
      <c r="S982" t="s">
        <v>74</v>
      </c>
      <c r="T982" t="s">
        <v>18982</v>
      </c>
      <c r="U982" t="s">
        <v>18983</v>
      </c>
      <c r="V982" t="s">
        <v>18984</v>
      </c>
      <c r="W982" t="s">
        <v>18985</v>
      </c>
      <c r="X982" t="s">
        <v>18986</v>
      </c>
      <c r="Y982" t="s">
        <v>18987</v>
      </c>
      <c r="Z982" t="s">
        <v>18988</v>
      </c>
      <c r="AA982" t="s">
        <v>18989</v>
      </c>
      <c r="AB982" t="s">
        <v>18990</v>
      </c>
      <c r="AC982" t="s">
        <v>18991</v>
      </c>
      <c r="AD982" t="s">
        <v>18992</v>
      </c>
      <c r="AE982" t="s">
        <v>18993</v>
      </c>
      <c r="AF982" t="s">
        <v>74</v>
      </c>
      <c r="AG982">
        <v>66</v>
      </c>
      <c r="AH982">
        <v>5</v>
      </c>
      <c r="AI982">
        <v>5</v>
      </c>
      <c r="AJ982">
        <v>18</v>
      </c>
      <c r="AK982">
        <v>125</v>
      </c>
      <c r="AL982" t="s">
        <v>1714</v>
      </c>
      <c r="AM982" t="s">
        <v>256</v>
      </c>
      <c r="AN982" t="s">
        <v>1715</v>
      </c>
      <c r="AO982" t="s">
        <v>18994</v>
      </c>
      <c r="AP982" t="s">
        <v>18995</v>
      </c>
      <c r="AQ982" t="s">
        <v>74</v>
      </c>
      <c r="AR982" t="s">
        <v>18981</v>
      </c>
      <c r="AS982" t="s">
        <v>18996</v>
      </c>
      <c r="AT982" t="s">
        <v>98</v>
      </c>
      <c r="AU982">
        <v>2021</v>
      </c>
      <c r="AV982">
        <v>75</v>
      </c>
      <c r="AW982">
        <v>12</v>
      </c>
      <c r="AX982" t="s">
        <v>74</v>
      </c>
      <c r="AY982" t="s">
        <v>74</v>
      </c>
      <c r="AZ982" t="s">
        <v>74</v>
      </c>
      <c r="BA982" t="s">
        <v>74</v>
      </c>
      <c r="BB982">
        <v>3181</v>
      </c>
      <c r="BC982">
        <v>3190</v>
      </c>
      <c r="BD982" t="s">
        <v>74</v>
      </c>
      <c r="BE982" t="s">
        <v>18997</v>
      </c>
      <c r="BF982" t="str">
        <f>HYPERLINK("http://dx.doi.org/10.1111/evo.14314","http://dx.doi.org/10.1111/evo.14314")</f>
        <v>http://dx.doi.org/10.1111/evo.14314</v>
      </c>
      <c r="BG982" t="s">
        <v>74</v>
      </c>
      <c r="BH982" t="s">
        <v>16043</v>
      </c>
      <c r="BI982">
        <v>10</v>
      </c>
      <c r="BJ982" t="s">
        <v>18998</v>
      </c>
      <c r="BK982" t="s">
        <v>101</v>
      </c>
      <c r="BL982" t="s">
        <v>18999</v>
      </c>
      <c r="BM982" t="s">
        <v>19000</v>
      </c>
      <c r="BN982">
        <v>34324706</v>
      </c>
      <c r="BO982" t="s">
        <v>74</v>
      </c>
      <c r="BP982" t="s">
        <v>74</v>
      </c>
      <c r="BQ982" t="s">
        <v>74</v>
      </c>
      <c r="BR982" t="s">
        <v>105</v>
      </c>
      <c r="BS982" t="s">
        <v>19001</v>
      </c>
      <c r="BT982" t="str">
        <f>HYPERLINK("https%3A%2F%2Fwww.webofscience.com%2Fwos%2Fwoscc%2Ffull-record%2FWOS:000683022300001","View Full Record in Web of Science")</f>
        <v>View Full Record in Web of Science</v>
      </c>
    </row>
    <row r="983" spans="1:72" x14ac:dyDescent="0.15">
      <c r="A983" t="s">
        <v>72</v>
      </c>
      <c r="B983" t="s">
        <v>19002</v>
      </c>
      <c r="C983" t="s">
        <v>74</v>
      </c>
      <c r="D983" t="s">
        <v>74</v>
      </c>
      <c r="E983" t="s">
        <v>74</v>
      </c>
      <c r="F983" t="s">
        <v>19003</v>
      </c>
      <c r="G983" t="s">
        <v>74</v>
      </c>
      <c r="H983" t="s">
        <v>74</v>
      </c>
      <c r="I983" t="s">
        <v>19004</v>
      </c>
      <c r="J983" t="s">
        <v>7126</v>
      </c>
      <c r="K983" t="s">
        <v>74</v>
      </c>
      <c r="L983" t="s">
        <v>74</v>
      </c>
      <c r="M983" t="s">
        <v>78</v>
      </c>
      <c r="N983" t="s">
        <v>79</v>
      </c>
      <c r="O983" t="s">
        <v>74</v>
      </c>
      <c r="P983" t="s">
        <v>74</v>
      </c>
      <c r="Q983" t="s">
        <v>74</v>
      </c>
      <c r="R983" t="s">
        <v>74</v>
      </c>
      <c r="S983" t="s">
        <v>74</v>
      </c>
      <c r="T983" t="s">
        <v>19005</v>
      </c>
      <c r="U983" t="s">
        <v>19006</v>
      </c>
      <c r="V983" t="s">
        <v>19007</v>
      </c>
      <c r="W983" t="s">
        <v>19008</v>
      </c>
      <c r="X983" t="s">
        <v>3995</v>
      </c>
      <c r="Y983" t="s">
        <v>19009</v>
      </c>
      <c r="Z983" t="s">
        <v>3997</v>
      </c>
      <c r="AA983" t="s">
        <v>19010</v>
      </c>
      <c r="AB983" t="s">
        <v>3999</v>
      </c>
      <c r="AC983" t="s">
        <v>19011</v>
      </c>
      <c r="AD983" t="s">
        <v>19012</v>
      </c>
      <c r="AE983" t="s">
        <v>19013</v>
      </c>
      <c r="AF983" t="s">
        <v>74</v>
      </c>
      <c r="AG983">
        <v>48</v>
      </c>
      <c r="AH983">
        <v>2</v>
      </c>
      <c r="AI983">
        <v>2</v>
      </c>
      <c r="AJ983">
        <v>5</v>
      </c>
      <c r="AK983">
        <v>19</v>
      </c>
      <c r="AL983" t="s">
        <v>169</v>
      </c>
      <c r="AM983" t="s">
        <v>520</v>
      </c>
      <c r="AN983" t="s">
        <v>521</v>
      </c>
      <c r="AO983" t="s">
        <v>7138</v>
      </c>
      <c r="AP983" t="s">
        <v>7139</v>
      </c>
      <c r="AQ983" t="s">
        <v>74</v>
      </c>
      <c r="AR983" t="s">
        <v>7140</v>
      </c>
      <c r="AS983" t="s">
        <v>7141</v>
      </c>
      <c r="AT983" t="s">
        <v>3636</v>
      </c>
      <c r="AU983">
        <v>2021</v>
      </c>
      <c r="AV983">
        <v>48</v>
      </c>
      <c r="AW983">
        <v>8</v>
      </c>
      <c r="AX983" t="s">
        <v>74</v>
      </c>
      <c r="AY983" t="s">
        <v>74</v>
      </c>
      <c r="AZ983" t="s">
        <v>74</v>
      </c>
      <c r="BA983" t="s">
        <v>74</v>
      </c>
      <c r="BB983">
        <v>5847</v>
      </c>
      <c r="BC983">
        <v>5855</v>
      </c>
      <c r="BD983" t="s">
        <v>74</v>
      </c>
      <c r="BE983" t="s">
        <v>19014</v>
      </c>
      <c r="BF983" t="str">
        <f>HYPERLINK("http://dx.doi.org/10.1007/s11033-021-06570-z","http://dx.doi.org/10.1007/s11033-021-06570-z")</f>
        <v>http://dx.doi.org/10.1007/s11033-021-06570-z</v>
      </c>
      <c r="BG983" t="s">
        <v>74</v>
      </c>
      <c r="BH983" t="s">
        <v>16043</v>
      </c>
      <c r="BI983">
        <v>9</v>
      </c>
      <c r="BJ983" t="s">
        <v>4007</v>
      </c>
      <c r="BK983" t="s">
        <v>101</v>
      </c>
      <c r="BL983" t="s">
        <v>4007</v>
      </c>
      <c r="BM983" t="s">
        <v>19015</v>
      </c>
      <c r="BN983">
        <v>34370208</v>
      </c>
      <c r="BO983" t="s">
        <v>419</v>
      </c>
      <c r="BP983" t="s">
        <v>74</v>
      </c>
      <c r="BQ983" t="s">
        <v>74</v>
      </c>
      <c r="BR983" t="s">
        <v>105</v>
      </c>
      <c r="BS983" t="s">
        <v>19016</v>
      </c>
      <c r="BT983" t="str">
        <f>HYPERLINK("https%3A%2F%2Fwww.webofscience.com%2Fwos%2Fwoscc%2Ffull-record%2FWOS:000683288300001","View Full Record in Web of Science")</f>
        <v>View Full Record in Web of Science</v>
      </c>
    </row>
    <row r="984" spans="1:72" x14ac:dyDescent="0.15">
      <c r="A984" t="s">
        <v>72</v>
      </c>
      <c r="B984" t="s">
        <v>19017</v>
      </c>
      <c r="C984" t="s">
        <v>74</v>
      </c>
      <c r="D984" t="s">
        <v>74</v>
      </c>
      <c r="E984" t="s">
        <v>74</v>
      </c>
      <c r="F984" t="s">
        <v>19018</v>
      </c>
      <c r="G984" t="s">
        <v>74</v>
      </c>
      <c r="H984" t="s">
        <v>74</v>
      </c>
      <c r="I984" t="s">
        <v>19019</v>
      </c>
      <c r="J984" t="s">
        <v>19020</v>
      </c>
      <c r="K984" t="s">
        <v>74</v>
      </c>
      <c r="L984" t="s">
        <v>74</v>
      </c>
      <c r="M984" t="s">
        <v>78</v>
      </c>
      <c r="N984" t="s">
        <v>373</v>
      </c>
      <c r="O984" t="s">
        <v>74</v>
      </c>
      <c r="P984" t="s">
        <v>74</v>
      </c>
      <c r="Q984" t="s">
        <v>74</v>
      </c>
      <c r="R984" t="s">
        <v>74</v>
      </c>
      <c r="S984" t="s">
        <v>74</v>
      </c>
      <c r="T984" t="s">
        <v>19021</v>
      </c>
      <c r="U984" t="s">
        <v>19022</v>
      </c>
      <c r="V984" t="s">
        <v>19023</v>
      </c>
      <c r="W984" t="s">
        <v>19024</v>
      </c>
      <c r="X984" t="s">
        <v>19025</v>
      </c>
      <c r="Y984" t="s">
        <v>19026</v>
      </c>
      <c r="Z984" t="s">
        <v>19027</v>
      </c>
      <c r="AA984" t="s">
        <v>19028</v>
      </c>
      <c r="AB984" t="s">
        <v>19029</v>
      </c>
      <c r="AC984" t="s">
        <v>19030</v>
      </c>
      <c r="AD984" t="s">
        <v>19031</v>
      </c>
      <c r="AE984" t="s">
        <v>19032</v>
      </c>
      <c r="AF984" t="s">
        <v>74</v>
      </c>
      <c r="AG984">
        <v>195</v>
      </c>
      <c r="AH984">
        <v>9</v>
      </c>
      <c r="AI984">
        <v>9</v>
      </c>
      <c r="AJ984">
        <v>10</v>
      </c>
      <c r="AK984">
        <v>71</v>
      </c>
      <c r="AL984" t="s">
        <v>383</v>
      </c>
      <c r="AM984" t="s">
        <v>384</v>
      </c>
      <c r="AN984" t="s">
        <v>385</v>
      </c>
      <c r="AO984" t="s">
        <v>19033</v>
      </c>
      <c r="AP984" t="s">
        <v>74</v>
      </c>
      <c r="AQ984" t="s">
        <v>74</v>
      </c>
      <c r="AR984" t="s">
        <v>19034</v>
      </c>
      <c r="AS984" t="s">
        <v>19035</v>
      </c>
      <c r="AT984" t="s">
        <v>18974</v>
      </c>
      <c r="AU984">
        <v>2021</v>
      </c>
      <c r="AV984">
        <v>11</v>
      </c>
      <c r="AW984" t="s">
        <v>74</v>
      </c>
      <c r="AX984" t="s">
        <v>74</v>
      </c>
      <c r="AY984" t="s">
        <v>74</v>
      </c>
      <c r="AZ984" t="s">
        <v>74</v>
      </c>
      <c r="BA984" t="s">
        <v>74</v>
      </c>
      <c r="BB984" t="s">
        <v>74</v>
      </c>
      <c r="BC984" t="s">
        <v>74</v>
      </c>
      <c r="BD984">
        <v>695087</v>
      </c>
      <c r="BE984" t="s">
        <v>19036</v>
      </c>
      <c r="BF984" t="str">
        <f>HYPERLINK("http://dx.doi.org/10.3389/fcimb.2021.695087","http://dx.doi.org/10.3389/fcimb.2021.695087")</f>
        <v>http://dx.doi.org/10.3389/fcimb.2021.695087</v>
      </c>
      <c r="BG984" t="s">
        <v>74</v>
      </c>
      <c r="BH984" t="s">
        <v>74</v>
      </c>
      <c r="BI984">
        <v>19</v>
      </c>
      <c r="BJ984" t="s">
        <v>19037</v>
      </c>
      <c r="BK984" t="s">
        <v>101</v>
      </c>
      <c r="BL984" t="s">
        <v>19037</v>
      </c>
      <c r="BM984" t="s">
        <v>19038</v>
      </c>
      <c r="BN984">
        <v>34434901</v>
      </c>
      <c r="BO984" t="s">
        <v>1094</v>
      </c>
      <c r="BP984" t="s">
        <v>74</v>
      </c>
      <c r="BQ984" t="s">
        <v>74</v>
      </c>
      <c r="BR984" t="s">
        <v>105</v>
      </c>
      <c r="BS984" t="s">
        <v>19039</v>
      </c>
      <c r="BT984" t="str">
        <f>HYPERLINK("https%3A%2F%2Fwww.webofscience.com%2Fwos%2Fwoscc%2Ffull-record%2FWOS:000685120200001","View Full Record in Web of Science")</f>
        <v>View Full Record in Web of Science</v>
      </c>
    </row>
    <row r="985" spans="1:72" x14ac:dyDescent="0.15">
      <c r="A985" t="s">
        <v>72</v>
      </c>
      <c r="B985" t="s">
        <v>19040</v>
      </c>
      <c r="C985" t="s">
        <v>74</v>
      </c>
      <c r="D985" t="s">
        <v>74</v>
      </c>
      <c r="E985" t="s">
        <v>74</v>
      </c>
      <c r="F985" t="s">
        <v>19041</v>
      </c>
      <c r="G985" t="s">
        <v>74</v>
      </c>
      <c r="H985" t="s">
        <v>74</v>
      </c>
      <c r="I985" t="s">
        <v>19042</v>
      </c>
      <c r="J985" t="s">
        <v>747</v>
      </c>
      <c r="K985" t="s">
        <v>74</v>
      </c>
      <c r="L985" t="s">
        <v>74</v>
      </c>
      <c r="M985" t="s">
        <v>78</v>
      </c>
      <c r="N985" t="s">
        <v>79</v>
      </c>
      <c r="O985" t="s">
        <v>74</v>
      </c>
      <c r="P985" t="s">
        <v>74</v>
      </c>
      <c r="Q985" t="s">
        <v>74</v>
      </c>
      <c r="R985" t="s">
        <v>74</v>
      </c>
      <c r="S985" t="s">
        <v>74</v>
      </c>
      <c r="T985" t="s">
        <v>19043</v>
      </c>
      <c r="U985" t="s">
        <v>19044</v>
      </c>
      <c r="V985" t="s">
        <v>19045</v>
      </c>
      <c r="W985" t="s">
        <v>19046</v>
      </c>
      <c r="X985" t="s">
        <v>19047</v>
      </c>
      <c r="Y985" t="s">
        <v>19048</v>
      </c>
      <c r="Z985" t="s">
        <v>19049</v>
      </c>
      <c r="AA985" t="s">
        <v>19050</v>
      </c>
      <c r="AB985" t="s">
        <v>19051</v>
      </c>
      <c r="AC985" t="s">
        <v>19052</v>
      </c>
      <c r="AD985" t="s">
        <v>19053</v>
      </c>
      <c r="AE985" t="s">
        <v>19054</v>
      </c>
      <c r="AF985" t="s">
        <v>74</v>
      </c>
      <c r="AG985">
        <v>57</v>
      </c>
      <c r="AH985">
        <v>6</v>
      </c>
      <c r="AI985">
        <v>6</v>
      </c>
      <c r="AJ985">
        <v>1</v>
      </c>
      <c r="AK985">
        <v>14</v>
      </c>
      <c r="AL985" t="s">
        <v>760</v>
      </c>
      <c r="AM985" t="s">
        <v>438</v>
      </c>
      <c r="AN985" t="s">
        <v>761</v>
      </c>
      <c r="AO985" t="s">
        <v>762</v>
      </c>
      <c r="AP985" t="s">
        <v>763</v>
      </c>
      <c r="AQ985" t="s">
        <v>74</v>
      </c>
      <c r="AR985" t="s">
        <v>764</v>
      </c>
      <c r="AS985" t="s">
        <v>765</v>
      </c>
      <c r="AT985" t="s">
        <v>19055</v>
      </c>
      <c r="AU985">
        <v>2021</v>
      </c>
      <c r="AV985">
        <v>48</v>
      </c>
      <c r="AW985">
        <v>15</v>
      </c>
      <c r="AX985" t="s">
        <v>74</v>
      </c>
      <c r="AY985" t="s">
        <v>74</v>
      </c>
      <c r="AZ985" t="s">
        <v>74</v>
      </c>
      <c r="BA985" t="s">
        <v>74</v>
      </c>
      <c r="BB985" t="s">
        <v>74</v>
      </c>
      <c r="BC985" t="s">
        <v>74</v>
      </c>
      <c r="BD985" t="s">
        <v>19056</v>
      </c>
      <c r="BE985" t="s">
        <v>19057</v>
      </c>
      <c r="BF985" t="str">
        <f>HYPERLINK("http://dx.doi.org/10.1029/2021GL094517","http://dx.doi.org/10.1029/2021GL094517")</f>
        <v>http://dx.doi.org/10.1029/2021GL094517</v>
      </c>
      <c r="BG985" t="s">
        <v>74</v>
      </c>
      <c r="BH985" t="s">
        <v>74</v>
      </c>
      <c r="BI985">
        <v>10</v>
      </c>
      <c r="BJ985" t="s">
        <v>236</v>
      </c>
      <c r="BK985" t="s">
        <v>101</v>
      </c>
      <c r="BL985" t="s">
        <v>237</v>
      </c>
      <c r="BM985" t="s">
        <v>19058</v>
      </c>
      <c r="BN985">
        <v>35844977</v>
      </c>
      <c r="BO985" t="s">
        <v>2241</v>
      </c>
      <c r="BP985" t="s">
        <v>74</v>
      </c>
      <c r="BQ985" t="s">
        <v>74</v>
      </c>
      <c r="BR985" t="s">
        <v>105</v>
      </c>
      <c r="BS985" t="s">
        <v>19059</v>
      </c>
      <c r="BT985" t="str">
        <f>HYPERLINK("https%3A%2F%2Fwww.webofscience.com%2Fwos%2Fwoscc%2Ffull-record%2FWOS:000683510400002","View Full Record in Web of Science")</f>
        <v>View Full Record in Web of Science</v>
      </c>
    </row>
    <row r="986" spans="1:72" x14ac:dyDescent="0.15">
      <c r="A986" t="s">
        <v>72</v>
      </c>
      <c r="B986" t="s">
        <v>19060</v>
      </c>
      <c r="C986" t="s">
        <v>74</v>
      </c>
      <c r="D986" t="s">
        <v>74</v>
      </c>
      <c r="E986" t="s">
        <v>74</v>
      </c>
      <c r="F986" t="s">
        <v>19061</v>
      </c>
      <c r="G986" t="s">
        <v>74</v>
      </c>
      <c r="H986" t="s">
        <v>74</v>
      </c>
      <c r="I986" t="s">
        <v>19062</v>
      </c>
      <c r="J986" t="s">
        <v>935</v>
      </c>
      <c r="K986" t="s">
        <v>74</v>
      </c>
      <c r="L986" t="s">
        <v>74</v>
      </c>
      <c r="M986" t="s">
        <v>78</v>
      </c>
      <c r="N986" t="s">
        <v>79</v>
      </c>
      <c r="O986" t="s">
        <v>74</v>
      </c>
      <c r="P986" t="s">
        <v>74</v>
      </c>
      <c r="Q986" t="s">
        <v>74</v>
      </c>
      <c r="R986" t="s">
        <v>74</v>
      </c>
      <c r="S986" t="s">
        <v>74</v>
      </c>
      <c r="T986" t="s">
        <v>19063</v>
      </c>
      <c r="U986" t="s">
        <v>19064</v>
      </c>
      <c r="V986" t="s">
        <v>19065</v>
      </c>
      <c r="W986" t="s">
        <v>19066</v>
      </c>
      <c r="X986" t="s">
        <v>19067</v>
      </c>
      <c r="Y986" t="s">
        <v>19068</v>
      </c>
      <c r="Z986" t="s">
        <v>19069</v>
      </c>
      <c r="AA986" t="s">
        <v>19070</v>
      </c>
      <c r="AB986" t="s">
        <v>19071</v>
      </c>
      <c r="AC986" t="s">
        <v>19072</v>
      </c>
      <c r="AD986" t="s">
        <v>19073</v>
      </c>
      <c r="AE986" t="s">
        <v>19074</v>
      </c>
      <c r="AF986" t="s">
        <v>74</v>
      </c>
      <c r="AG986">
        <v>38</v>
      </c>
      <c r="AH986">
        <v>1</v>
      </c>
      <c r="AI986">
        <v>1</v>
      </c>
      <c r="AJ986">
        <v>3</v>
      </c>
      <c r="AK986">
        <v>15</v>
      </c>
      <c r="AL986" t="s">
        <v>169</v>
      </c>
      <c r="AM986" t="s">
        <v>170</v>
      </c>
      <c r="AN986" t="s">
        <v>171</v>
      </c>
      <c r="AO986" t="s">
        <v>948</v>
      </c>
      <c r="AP986" t="s">
        <v>949</v>
      </c>
      <c r="AQ986" t="s">
        <v>74</v>
      </c>
      <c r="AR986" t="s">
        <v>950</v>
      </c>
      <c r="AS986" t="s">
        <v>951</v>
      </c>
      <c r="AT986" t="s">
        <v>627</v>
      </c>
      <c r="AU986">
        <v>2021</v>
      </c>
      <c r="AV986">
        <v>44</v>
      </c>
      <c r="AW986">
        <v>9</v>
      </c>
      <c r="AX986" t="s">
        <v>74</v>
      </c>
      <c r="AY986" t="s">
        <v>74</v>
      </c>
      <c r="AZ986" t="s">
        <v>74</v>
      </c>
      <c r="BA986" t="s">
        <v>74</v>
      </c>
      <c r="BB986">
        <v>1917</v>
      </c>
      <c r="BC986">
        <v>1923</v>
      </c>
      <c r="BD986" t="s">
        <v>74</v>
      </c>
      <c r="BE986" t="s">
        <v>19075</v>
      </c>
      <c r="BF986" t="str">
        <f>HYPERLINK("http://dx.doi.org/10.1007/s00300-021-02923-3","http://dx.doi.org/10.1007/s00300-021-02923-3")</f>
        <v>http://dx.doi.org/10.1007/s00300-021-02923-3</v>
      </c>
      <c r="BG986" t="s">
        <v>74</v>
      </c>
      <c r="BH986" t="s">
        <v>16043</v>
      </c>
      <c r="BI986">
        <v>7</v>
      </c>
      <c r="BJ986" t="s">
        <v>605</v>
      </c>
      <c r="BK986" t="s">
        <v>101</v>
      </c>
      <c r="BL986" t="s">
        <v>606</v>
      </c>
      <c r="BM986" t="s">
        <v>18860</v>
      </c>
      <c r="BN986" t="s">
        <v>74</v>
      </c>
      <c r="BO986" t="s">
        <v>1471</v>
      </c>
      <c r="BP986" t="s">
        <v>74</v>
      </c>
      <c r="BQ986" t="s">
        <v>74</v>
      </c>
      <c r="BR986" t="s">
        <v>105</v>
      </c>
      <c r="BS986" t="s">
        <v>19076</v>
      </c>
      <c r="BT986" t="str">
        <f>HYPERLINK("https%3A%2F%2Fwww.webofscience.com%2Fwos%2Fwoscc%2Ffull-record%2FWOS:000682643800001","View Full Record in Web of Science")</f>
        <v>View Full Record in Web of Science</v>
      </c>
    </row>
    <row r="987" spans="1:72" x14ac:dyDescent="0.15">
      <c r="A987" t="s">
        <v>72</v>
      </c>
      <c r="B987" t="s">
        <v>19077</v>
      </c>
      <c r="C987" t="s">
        <v>74</v>
      </c>
      <c r="D987" t="s">
        <v>74</v>
      </c>
      <c r="E987" t="s">
        <v>74</v>
      </c>
      <c r="F987" t="s">
        <v>19078</v>
      </c>
      <c r="G987" t="s">
        <v>74</v>
      </c>
      <c r="H987" t="s">
        <v>74</v>
      </c>
      <c r="I987" t="s">
        <v>19079</v>
      </c>
      <c r="J987" t="s">
        <v>12145</v>
      </c>
      <c r="K987" t="s">
        <v>74</v>
      </c>
      <c r="L987" t="s">
        <v>74</v>
      </c>
      <c r="M987" t="s">
        <v>78</v>
      </c>
      <c r="N987" t="s">
        <v>79</v>
      </c>
      <c r="O987" t="s">
        <v>74</v>
      </c>
      <c r="P987" t="s">
        <v>74</v>
      </c>
      <c r="Q987" t="s">
        <v>74</v>
      </c>
      <c r="R987" t="s">
        <v>74</v>
      </c>
      <c r="S987" t="s">
        <v>74</v>
      </c>
      <c r="T987" t="s">
        <v>19080</v>
      </c>
      <c r="U987" t="s">
        <v>19081</v>
      </c>
      <c r="V987" t="s">
        <v>19082</v>
      </c>
      <c r="W987" t="s">
        <v>19083</v>
      </c>
      <c r="X987" t="s">
        <v>19084</v>
      </c>
      <c r="Y987" t="s">
        <v>19085</v>
      </c>
      <c r="Z987" t="s">
        <v>19086</v>
      </c>
      <c r="AA987" t="s">
        <v>19087</v>
      </c>
      <c r="AB987" t="s">
        <v>19088</v>
      </c>
      <c r="AC987" t="s">
        <v>19089</v>
      </c>
      <c r="AD987" t="s">
        <v>19089</v>
      </c>
      <c r="AE987" t="s">
        <v>19090</v>
      </c>
      <c r="AF987" t="s">
        <v>74</v>
      </c>
      <c r="AG987">
        <v>52</v>
      </c>
      <c r="AH987">
        <v>2</v>
      </c>
      <c r="AI987">
        <v>3</v>
      </c>
      <c r="AJ987">
        <v>5</v>
      </c>
      <c r="AK987">
        <v>40</v>
      </c>
      <c r="AL987" t="s">
        <v>1326</v>
      </c>
      <c r="AM987" t="s">
        <v>256</v>
      </c>
      <c r="AN987" t="s">
        <v>1327</v>
      </c>
      <c r="AO987" t="s">
        <v>12157</v>
      </c>
      <c r="AP987" t="s">
        <v>12158</v>
      </c>
      <c r="AQ987" t="s">
        <v>74</v>
      </c>
      <c r="AR987" t="s">
        <v>12159</v>
      </c>
      <c r="AS987" t="s">
        <v>12160</v>
      </c>
      <c r="AT987" t="s">
        <v>3636</v>
      </c>
      <c r="AU987">
        <v>2021</v>
      </c>
      <c r="AV987">
        <v>170</v>
      </c>
      <c r="AW987" t="s">
        <v>74</v>
      </c>
      <c r="AX987" t="s">
        <v>74</v>
      </c>
      <c r="AY987" t="s">
        <v>74</v>
      </c>
      <c r="AZ987" t="s">
        <v>74</v>
      </c>
      <c r="BA987" t="s">
        <v>74</v>
      </c>
      <c r="BB987" t="s">
        <v>74</v>
      </c>
      <c r="BC987" t="s">
        <v>74</v>
      </c>
      <c r="BD987">
        <v>105439</v>
      </c>
      <c r="BE987" t="s">
        <v>19091</v>
      </c>
      <c r="BF987" t="str">
        <f>HYPERLINK("http://dx.doi.org/10.1016/j.marenvres.2021.105439","http://dx.doi.org/10.1016/j.marenvres.2021.105439")</f>
        <v>http://dx.doi.org/10.1016/j.marenvres.2021.105439</v>
      </c>
      <c r="BG987" t="s">
        <v>74</v>
      </c>
      <c r="BH987" t="s">
        <v>16043</v>
      </c>
      <c r="BI987">
        <v>7</v>
      </c>
      <c r="BJ987" t="s">
        <v>12162</v>
      </c>
      <c r="BK987" t="s">
        <v>101</v>
      </c>
      <c r="BL987" t="s">
        <v>12163</v>
      </c>
      <c r="BM987" t="s">
        <v>19092</v>
      </c>
      <c r="BN987">
        <v>34365122</v>
      </c>
      <c r="BO987" t="s">
        <v>74</v>
      </c>
      <c r="BP987" t="s">
        <v>74</v>
      </c>
      <c r="BQ987" t="s">
        <v>74</v>
      </c>
      <c r="BR987" t="s">
        <v>105</v>
      </c>
      <c r="BS987" t="s">
        <v>19093</v>
      </c>
      <c r="BT987" t="str">
        <f>HYPERLINK("https%3A%2F%2Fwww.webofscience.com%2Fwos%2Fwoscc%2Ffull-record%2FWOS:000691784700008","View Full Record in Web of Science")</f>
        <v>View Full Record in Web of Science</v>
      </c>
    </row>
    <row r="988" spans="1:72" x14ac:dyDescent="0.15">
      <c r="A988" t="s">
        <v>72</v>
      </c>
      <c r="B988" t="s">
        <v>19094</v>
      </c>
      <c r="C988" t="s">
        <v>74</v>
      </c>
      <c r="D988" t="s">
        <v>74</v>
      </c>
      <c r="E988" t="s">
        <v>74</v>
      </c>
      <c r="F988" t="s">
        <v>19095</v>
      </c>
      <c r="G988" t="s">
        <v>74</v>
      </c>
      <c r="H988" t="s">
        <v>74</v>
      </c>
      <c r="I988" t="s">
        <v>19096</v>
      </c>
      <c r="J988" t="s">
        <v>8796</v>
      </c>
      <c r="K988" t="s">
        <v>74</v>
      </c>
      <c r="L988" t="s">
        <v>74</v>
      </c>
      <c r="M988" t="s">
        <v>78</v>
      </c>
      <c r="N988" t="s">
        <v>79</v>
      </c>
      <c r="O988" t="s">
        <v>74</v>
      </c>
      <c r="P988" t="s">
        <v>74</v>
      </c>
      <c r="Q988" t="s">
        <v>74</v>
      </c>
      <c r="R988" t="s">
        <v>74</v>
      </c>
      <c r="S988" t="s">
        <v>74</v>
      </c>
      <c r="T988" t="s">
        <v>74</v>
      </c>
      <c r="U988" t="s">
        <v>19097</v>
      </c>
      <c r="V988" t="s">
        <v>19098</v>
      </c>
      <c r="W988" t="s">
        <v>19099</v>
      </c>
      <c r="X988" t="s">
        <v>19100</v>
      </c>
      <c r="Y988" t="s">
        <v>19101</v>
      </c>
      <c r="Z988" t="s">
        <v>19102</v>
      </c>
      <c r="AA988" t="s">
        <v>19103</v>
      </c>
      <c r="AB988" t="s">
        <v>19104</v>
      </c>
      <c r="AC988" t="s">
        <v>19105</v>
      </c>
      <c r="AD988" t="s">
        <v>19106</v>
      </c>
      <c r="AE988" t="s">
        <v>19107</v>
      </c>
      <c r="AF988" t="s">
        <v>74</v>
      </c>
      <c r="AG988">
        <v>21</v>
      </c>
      <c r="AH988">
        <v>19</v>
      </c>
      <c r="AI988">
        <v>19</v>
      </c>
      <c r="AJ988">
        <v>0</v>
      </c>
      <c r="AK988">
        <v>6</v>
      </c>
      <c r="AL988" t="s">
        <v>227</v>
      </c>
      <c r="AM988" t="s">
        <v>228</v>
      </c>
      <c r="AN988" t="s">
        <v>229</v>
      </c>
      <c r="AO988" t="s">
        <v>8808</v>
      </c>
      <c r="AP988" t="s">
        <v>8809</v>
      </c>
      <c r="AQ988" t="s">
        <v>74</v>
      </c>
      <c r="AR988" t="s">
        <v>8810</v>
      </c>
      <c r="AS988" t="s">
        <v>8811</v>
      </c>
      <c r="AT988" t="s">
        <v>19108</v>
      </c>
      <c r="AU988">
        <v>2021</v>
      </c>
      <c r="AV988">
        <v>14</v>
      </c>
      <c r="AW988">
        <v>8</v>
      </c>
      <c r="AX988" t="s">
        <v>74</v>
      </c>
      <c r="AY988" t="s">
        <v>74</v>
      </c>
      <c r="AZ988" t="s">
        <v>74</v>
      </c>
      <c r="BA988" t="s">
        <v>74</v>
      </c>
      <c r="BB988">
        <v>5415</v>
      </c>
      <c r="BC988">
        <v>5428</v>
      </c>
      <c r="BD988" t="s">
        <v>74</v>
      </c>
      <c r="BE988" t="s">
        <v>19109</v>
      </c>
      <c r="BF988" t="str">
        <f>HYPERLINK("http://dx.doi.org/10.5194/amt-14-5415-2021","http://dx.doi.org/10.5194/amt-14-5415-2021")</f>
        <v>http://dx.doi.org/10.5194/amt-14-5415-2021</v>
      </c>
      <c r="BG988" t="s">
        <v>74</v>
      </c>
      <c r="BH988" t="s">
        <v>74</v>
      </c>
      <c r="BI988">
        <v>14</v>
      </c>
      <c r="BJ988" t="s">
        <v>829</v>
      </c>
      <c r="BK988" t="s">
        <v>101</v>
      </c>
      <c r="BL988" t="s">
        <v>829</v>
      </c>
      <c r="BM988" t="s">
        <v>19110</v>
      </c>
      <c r="BN988" t="s">
        <v>74</v>
      </c>
      <c r="BO988" t="s">
        <v>554</v>
      </c>
      <c r="BP988" t="s">
        <v>74</v>
      </c>
      <c r="BQ988" t="s">
        <v>74</v>
      </c>
      <c r="BR988" t="s">
        <v>105</v>
      </c>
      <c r="BS988" t="s">
        <v>19111</v>
      </c>
      <c r="BT988" t="str">
        <f>HYPERLINK("https%3A%2F%2Fwww.webofscience.com%2Fwos%2Fwoscc%2Ffull-record%2FWOS:000683772700003","View Full Record in Web of Science")</f>
        <v>View Full Record in Web of Science</v>
      </c>
    </row>
    <row r="989" spans="1:72" x14ac:dyDescent="0.15">
      <c r="A989" t="s">
        <v>72</v>
      </c>
      <c r="B989" t="s">
        <v>19112</v>
      </c>
      <c r="C989" t="s">
        <v>74</v>
      </c>
      <c r="D989" t="s">
        <v>74</v>
      </c>
      <c r="E989" t="s">
        <v>74</v>
      </c>
      <c r="F989" t="s">
        <v>19113</v>
      </c>
      <c r="G989" t="s">
        <v>74</v>
      </c>
      <c r="H989" t="s">
        <v>74</v>
      </c>
      <c r="I989" t="s">
        <v>19114</v>
      </c>
      <c r="J989" t="s">
        <v>1058</v>
      </c>
      <c r="K989" t="s">
        <v>74</v>
      </c>
      <c r="L989" t="s">
        <v>74</v>
      </c>
      <c r="M989" t="s">
        <v>78</v>
      </c>
      <c r="N989" t="s">
        <v>79</v>
      </c>
      <c r="O989" t="s">
        <v>74</v>
      </c>
      <c r="P989" t="s">
        <v>74</v>
      </c>
      <c r="Q989" t="s">
        <v>74</v>
      </c>
      <c r="R989" t="s">
        <v>74</v>
      </c>
      <c r="S989" t="s">
        <v>74</v>
      </c>
      <c r="T989" t="s">
        <v>74</v>
      </c>
      <c r="U989" t="s">
        <v>19115</v>
      </c>
      <c r="V989" t="s">
        <v>19116</v>
      </c>
      <c r="W989" t="s">
        <v>19117</v>
      </c>
      <c r="X989" t="s">
        <v>19118</v>
      </c>
      <c r="Y989" t="s">
        <v>19119</v>
      </c>
      <c r="Z989" t="s">
        <v>19120</v>
      </c>
      <c r="AA989" t="s">
        <v>19121</v>
      </c>
      <c r="AB989" t="s">
        <v>19122</v>
      </c>
      <c r="AC989" t="s">
        <v>19123</v>
      </c>
      <c r="AD989" t="s">
        <v>19124</v>
      </c>
      <c r="AE989" t="s">
        <v>19125</v>
      </c>
      <c r="AF989" t="s">
        <v>74</v>
      </c>
      <c r="AG989">
        <v>88</v>
      </c>
      <c r="AH989">
        <v>2</v>
      </c>
      <c r="AI989">
        <v>2</v>
      </c>
      <c r="AJ989">
        <v>0</v>
      </c>
      <c r="AK989">
        <v>1</v>
      </c>
      <c r="AL989" t="s">
        <v>227</v>
      </c>
      <c r="AM989" t="s">
        <v>228</v>
      </c>
      <c r="AN989" t="s">
        <v>229</v>
      </c>
      <c r="AO989" t="s">
        <v>1065</v>
      </c>
      <c r="AP989" t="s">
        <v>1066</v>
      </c>
      <c r="AQ989" t="s">
        <v>74</v>
      </c>
      <c r="AR989" t="s">
        <v>1058</v>
      </c>
      <c r="AS989" t="s">
        <v>1067</v>
      </c>
      <c r="AT989" t="s">
        <v>19108</v>
      </c>
      <c r="AU989">
        <v>2021</v>
      </c>
      <c r="AV989">
        <v>15</v>
      </c>
      <c r="AW989">
        <v>8</v>
      </c>
      <c r="AX989" t="s">
        <v>74</v>
      </c>
      <c r="AY989" t="s">
        <v>74</v>
      </c>
      <c r="AZ989" t="s">
        <v>74</v>
      </c>
      <c r="BA989" t="s">
        <v>74</v>
      </c>
      <c r="BB989">
        <v>3615</v>
      </c>
      <c r="BC989">
        <v>3635</v>
      </c>
      <c r="BD989" t="s">
        <v>74</v>
      </c>
      <c r="BE989" t="s">
        <v>19126</v>
      </c>
      <c r="BF989" t="str">
        <f>HYPERLINK("http://dx.doi.org/10.5194/tc-15-3615-2021","http://dx.doi.org/10.5194/tc-15-3615-2021")</f>
        <v>http://dx.doi.org/10.5194/tc-15-3615-2021</v>
      </c>
      <c r="BG989" t="s">
        <v>74</v>
      </c>
      <c r="BH989" t="s">
        <v>74</v>
      </c>
      <c r="BI989">
        <v>21</v>
      </c>
      <c r="BJ989" t="s">
        <v>340</v>
      </c>
      <c r="BK989" t="s">
        <v>101</v>
      </c>
      <c r="BL989" t="s">
        <v>341</v>
      </c>
      <c r="BM989" t="s">
        <v>19127</v>
      </c>
      <c r="BN989" t="s">
        <v>74</v>
      </c>
      <c r="BO989" t="s">
        <v>554</v>
      </c>
      <c r="BP989" t="s">
        <v>74</v>
      </c>
      <c r="BQ989" t="s">
        <v>74</v>
      </c>
      <c r="BR989" t="s">
        <v>105</v>
      </c>
      <c r="BS989" t="s">
        <v>19128</v>
      </c>
      <c r="BT989" t="str">
        <f>HYPERLINK("https%3A%2F%2Fwww.webofscience.com%2Fwos%2Fwoscc%2Ffull-record%2FWOS:000683789900001","View Full Record in Web of Science")</f>
        <v>View Full Record in Web of Science</v>
      </c>
    </row>
    <row r="990" spans="1:72" x14ac:dyDescent="0.15">
      <c r="A990" t="s">
        <v>72</v>
      </c>
      <c r="B990" t="s">
        <v>19129</v>
      </c>
      <c r="C990" t="s">
        <v>74</v>
      </c>
      <c r="D990" t="s">
        <v>74</v>
      </c>
      <c r="E990" t="s">
        <v>74</v>
      </c>
      <c r="F990" t="s">
        <v>19130</v>
      </c>
      <c r="G990" t="s">
        <v>74</v>
      </c>
      <c r="H990" t="s">
        <v>74</v>
      </c>
      <c r="I990" t="s">
        <v>19131</v>
      </c>
      <c r="J990" t="s">
        <v>215</v>
      </c>
      <c r="K990" t="s">
        <v>74</v>
      </c>
      <c r="L990" t="s">
        <v>74</v>
      </c>
      <c r="M990" t="s">
        <v>78</v>
      </c>
      <c r="N990" t="s">
        <v>79</v>
      </c>
      <c r="O990" t="s">
        <v>74</v>
      </c>
      <c r="P990" t="s">
        <v>74</v>
      </c>
      <c r="Q990" t="s">
        <v>74</v>
      </c>
      <c r="R990" t="s">
        <v>74</v>
      </c>
      <c r="S990" t="s">
        <v>74</v>
      </c>
      <c r="T990" t="s">
        <v>74</v>
      </c>
      <c r="U990" t="s">
        <v>19132</v>
      </c>
      <c r="V990" t="s">
        <v>19133</v>
      </c>
      <c r="W990" t="s">
        <v>19134</v>
      </c>
      <c r="X990" t="s">
        <v>19135</v>
      </c>
      <c r="Y990" t="s">
        <v>19136</v>
      </c>
      <c r="Z990" t="s">
        <v>19137</v>
      </c>
      <c r="AA990" t="s">
        <v>19138</v>
      </c>
      <c r="AB990" t="s">
        <v>19139</v>
      </c>
      <c r="AC990" t="s">
        <v>19140</v>
      </c>
      <c r="AD990" t="s">
        <v>19141</v>
      </c>
      <c r="AE990" t="s">
        <v>19142</v>
      </c>
      <c r="AF990" t="s">
        <v>74</v>
      </c>
      <c r="AG990">
        <v>72</v>
      </c>
      <c r="AH990">
        <v>3</v>
      </c>
      <c r="AI990">
        <v>3</v>
      </c>
      <c r="AJ990">
        <v>1</v>
      </c>
      <c r="AK990">
        <v>4</v>
      </c>
      <c r="AL990" t="s">
        <v>227</v>
      </c>
      <c r="AM990" t="s">
        <v>228</v>
      </c>
      <c r="AN990" t="s">
        <v>229</v>
      </c>
      <c r="AO990" t="s">
        <v>230</v>
      </c>
      <c r="AP990" t="s">
        <v>231</v>
      </c>
      <c r="AQ990" t="s">
        <v>74</v>
      </c>
      <c r="AR990" t="s">
        <v>232</v>
      </c>
      <c r="AS990" t="s">
        <v>233</v>
      </c>
      <c r="AT990" t="s">
        <v>19108</v>
      </c>
      <c r="AU990">
        <v>2021</v>
      </c>
      <c r="AV990">
        <v>14</v>
      </c>
      <c r="AW990">
        <v>8</v>
      </c>
      <c r="AX990" t="s">
        <v>74</v>
      </c>
      <c r="AY990" t="s">
        <v>74</v>
      </c>
      <c r="AZ990" t="s">
        <v>74</v>
      </c>
      <c r="BA990" t="s">
        <v>74</v>
      </c>
      <c r="BB990">
        <v>4909</v>
      </c>
      <c r="BC990">
        <v>4924</v>
      </c>
      <c r="BD990" t="s">
        <v>74</v>
      </c>
      <c r="BE990" t="s">
        <v>19143</v>
      </c>
      <c r="BF990" t="str">
        <f>HYPERLINK("http://dx.doi.org/10.5194/gmd-14-4909-2021","http://dx.doi.org/10.5194/gmd-14-4909-2021")</f>
        <v>http://dx.doi.org/10.5194/gmd-14-4909-2021</v>
      </c>
      <c r="BG990" t="s">
        <v>74</v>
      </c>
      <c r="BH990" t="s">
        <v>74</v>
      </c>
      <c r="BI990">
        <v>16</v>
      </c>
      <c r="BJ990" t="s">
        <v>236</v>
      </c>
      <c r="BK990" t="s">
        <v>101</v>
      </c>
      <c r="BL990" t="s">
        <v>237</v>
      </c>
      <c r="BM990" t="s">
        <v>19144</v>
      </c>
      <c r="BN990" t="s">
        <v>74</v>
      </c>
      <c r="BO990" t="s">
        <v>554</v>
      </c>
      <c r="BP990" t="s">
        <v>74</v>
      </c>
      <c r="BQ990" t="s">
        <v>74</v>
      </c>
      <c r="BR990" t="s">
        <v>105</v>
      </c>
      <c r="BS990" t="s">
        <v>19145</v>
      </c>
      <c r="BT990" t="str">
        <f>HYPERLINK("https%3A%2F%2Fwww.webofscience.com%2Fwos%2Fwoscc%2Ffull-record%2FWOS:000683784900001","View Full Record in Web of Science")</f>
        <v>View Full Record in Web of Science</v>
      </c>
    </row>
    <row r="991" spans="1:72" x14ac:dyDescent="0.15">
      <c r="A991" t="s">
        <v>72</v>
      </c>
      <c r="B991" t="s">
        <v>19146</v>
      </c>
      <c r="C991" t="s">
        <v>74</v>
      </c>
      <c r="D991" t="s">
        <v>74</v>
      </c>
      <c r="E991" t="s">
        <v>74</v>
      </c>
      <c r="F991" t="s">
        <v>19147</v>
      </c>
      <c r="G991" t="s">
        <v>74</v>
      </c>
      <c r="H991" t="s">
        <v>74</v>
      </c>
      <c r="I991" t="s">
        <v>19148</v>
      </c>
      <c r="J991" t="s">
        <v>810</v>
      </c>
      <c r="K991" t="s">
        <v>74</v>
      </c>
      <c r="L991" t="s">
        <v>74</v>
      </c>
      <c r="M991" t="s">
        <v>78</v>
      </c>
      <c r="N991" t="s">
        <v>79</v>
      </c>
      <c r="O991" t="s">
        <v>74</v>
      </c>
      <c r="P991" t="s">
        <v>74</v>
      </c>
      <c r="Q991" t="s">
        <v>74</v>
      </c>
      <c r="R991" t="s">
        <v>74</v>
      </c>
      <c r="S991" t="s">
        <v>74</v>
      </c>
      <c r="T991" t="s">
        <v>19149</v>
      </c>
      <c r="U991" t="s">
        <v>19150</v>
      </c>
      <c r="V991" t="s">
        <v>19151</v>
      </c>
      <c r="W991" t="s">
        <v>19152</v>
      </c>
      <c r="X991" t="s">
        <v>19153</v>
      </c>
      <c r="Y991" t="s">
        <v>19154</v>
      </c>
      <c r="Z991" t="s">
        <v>19155</v>
      </c>
      <c r="AA991" t="s">
        <v>19156</v>
      </c>
      <c r="AB991" t="s">
        <v>19157</v>
      </c>
      <c r="AC991" t="s">
        <v>19158</v>
      </c>
      <c r="AD991" t="s">
        <v>19159</v>
      </c>
      <c r="AE991" t="s">
        <v>19160</v>
      </c>
      <c r="AF991" t="s">
        <v>74</v>
      </c>
      <c r="AG991">
        <v>82</v>
      </c>
      <c r="AH991">
        <v>6</v>
      </c>
      <c r="AI991">
        <v>6</v>
      </c>
      <c r="AJ991">
        <v>2</v>
      </c>
      <c r="AK991">
        <v>34</v>
      </c>
      <c r="AL991" t="s">
        <v>572</v>
      </c>
      <c r="AM991" t="s">
        <v>573</v>
      </c>
      <c r="AN991" t="s">
        <v>574</v>
      </c>
      <c r="AO991" t="s">
        <v>823</v>
      </c>
      <c r="AP991" t="s">
        <v>824</v>
      </c>
      <c r="AQ991" t="s">
        <v>74</v>
      </c>
      <c r="AR991" t="s">
        <v>825</v>
      </c>
      <c r="AS991" t="s">
        <v>826</v>
      </c>
      <c r="AT991" t="s">
        <v>525</v>
      </c>
      <c r="AU991">
        <v>2022</v>
      </c>
      <c r="AV991">
        <v>42</v>
      </c>
      <c r="AW991">
        <v>2</v>
      </c>
      <c r="AX991" t="s">
        <v>74</v>
      </c>
      <c r="AY991" t="s">
        <v>74</v>
      </c>
      <c r="AZ991" t="s">
        <v>74</v>
      </c>
      <c r="BA991" t="s">
        <v>74</v>
      </c>
      <c r="BB991">
        <v>1303</v>
      </c>
      <c r="BC991">
        <v>1325</v>
      </c>
      <c r="BD991" t="s">
        <v>74</v>
      </c>
      <c r="BE991" t="s">
        <v>19161</v>
      </c>
      <c r="BF991" t="str">
        <f>HYPERLINK("http://dx.doi.org/10.1002/joc.7304","http://dx.doi.org/10.1002/joc.7304")</f>
        <v>http://dx.doi.org/10.1002/joc.7304</v>
      </c>
      <c r="BG991" t="s">
        <v>74</v>
      </c>
      <c r="BH991" t="s">
        <v>16043</v>
      </c>
      <c r="BI991">
        <v>23</v>
      </c>
      <c r="BJ991" t="s">
        <v>829</v>
      </c>
      <c r="BK991" t="s">
        <v>101</v>
      </c>
      <c r="BL991" t="s">
        <v>829</v>
      </c>
      <c r="BM991" t="s">
        <v>19162</v>
      </c>
      <c r="BN991" t="s">
        <v>74</v>
      </c>
      <c r="BO991" t="s">
        <v>74</v>
      </c>
      <c r="BP991" t="s">
        <v>74</v>
      </c>
      <c r="BQ991" t="s">
        <v>74</v>
      </c>
      <c r="BR991" t="s">
        <v>105</v>
      </c>
      <c r="BS991" t="s">
        <v>19163</v>
      </c>
      <c r="BT991" t="str">
        <f>HYPERLINK("https%3A%2F%2Fwww.webofscience.com%2Fwos%2Fwoscc%2Ffull-record%2FWOS:000682099900001","View Full Record in Web of Science")</f>
        <v>View Full Record in Web of Science</v>
      </c>
    </row>
    <row r="992" spans="1:72" x14ac:dyDescent="0.15">
      <c r="A992" t="s">
        <v>72</v>
      </c>
      <c r="B992" t="s">
        <v>19164</v>
      </c>
      <c r="C992" t="s">
        <v>74</v>
      </c>
      <c r="D992" t="s">
        <v>74</v>
      </c>
      <c r="E992" t="s">
        <v>74</v>
      </c>
      <c r="F992" t="s">
        <v>19165</v>
      </c>
      <c r="G992" t="s">
        <v>74</v>
      </c>
      <c r="H992" t="s">
        <v>74</v>
      </c>
      <c r="I992" t="s">
        <v>19166</v>
      </c>
      <c r="J992" t="s">
        <v>19167</v>
      </c>
      <c r="K992" t="s">
        <v>74</v>
      </c>
      <c r="L992" t="s">
        <v>74</v>
      </c>
      <c r="M992" t="s">
        <v>78</v>
      </c>
      <c r="N992" t="s">
        <v>79</v>
      </c>
      <c r="O992" t="s">
        <v>74</v>
      </c>
      <c r="P992" t="s">
        <v>74</v>
      </c>
      <c r="Q992" t="s">
        <v>74</v>
      </c>
      <c r="R992" t="s">
        <v>74</v>
      </c>
      <c r="S992" t="s">
        <v>74</v>
      </c>
      <c r="T992" t="s">
        <v>19168</v>
      </c>
      <c r="U992" t="s">
        <v>19169</v>
      </c>
      <c r="V992" t="s">
        <v>19170</v>
      </c>
      <c r="W992" t="s">
        <v>19171</v>
      </c>
      <c r="X992" t="s">
        <v>19172</v>
      </c>
      <c r="Y992" t="s">
        <v>19173</v>
      </c>
      <c r="Z992" t="s">
        <v>19174</v>
      </c>
      <c r="AA992" t="s">
        <v>19175</v>
      </c>
      <c r="AB992" t="s">
        <v>74</v>
      </c>
      <c r="AC992" t="s">
        <v>19176</v>
      </c>
      <c r="AD992" t="s">
        <v>19177</v>
      </c>
      <c r="AE992" t="s">
        <v>19178</v>
      </c>
      <c r="AF992" t="s">
        <v>74</v>
      </c>
      <c r="AG992">
        <v>60</v>
      </c>
      <c r="AH992">
        <v>1</v>
      </c>
      <c r="AI992">
        <v>1</v>
      </c>
      <c r="AJ992">
        <v>0</v>
      </c>
      <c r="AK992">
        <v>2</v>
      </c>
      <c r="AL992" t="s">
        <v>8432</v>
      </c>
      <c r="AM992" t="s">
        <v>8433</v>
      </c>
      <c r="AN992" t="s">
        <v>8434</v>
      </c>
      <c r="AO992" t="s">
        <v>19179</v>
      </c>
      <c r="AP992" t="s">
        <v>19180</v>
      </c>
      <c r="AQ992" t="s">
        <v>74</v>
      </c>
      <c r="AR992" t="s">
        <v>19181</v>
      </c>
      <c r="AS992" t="s">
        <v>19182</v>
      </c>
      <c r="AT992" t="s">
        <v>627</v>
      </c>
      <c r="AU992">
        <v>2021</v>
      </c>
      <c r="AV992">
        <v>87</v>
      </c>
      <c r="AW992">
        <v>5</v>
      </c>
      <c r="AX992" t="s">
        <v>74</v>
      </c>
      <c r="AY992" t="s">
        <v>74</v>
      </c>
      <c r="AZ992" t="s">
        <v>74</v>
      </c>
      <c r="BA992" t="s">
        <v>74</v>
      </c>
      <c r="BB992">
        <v>627</v>
      </c>
      <c r="BC992">
        <v>638</v>
      </c>
      <c r="BD992" t="s">
        <v>74</v>
      </c>
      <c r="BE992" t="s">
        <v>19183</v>
      </c>
      <c r="BF992" t="str">
        <f>HYPERLINK("http://dx.doi.org/10.1007/s12562-021-01532-7","http://dx.doi.org/10.1007/s12562-021-01532-7")</f>
        <v>http://dx.doi.org/10.1007/s12562-021-01532-7</v>
      </c>
      <c r="BG992" t="s">
        <v>74</v>
      </c>
      <c r="BH992" t="s">
        <v>16043</v>
      </c>
      <c r="BI992">
        <v>12</v>
      </c>
      <c r="BJ992" t="s">
        <v>700</v>
      </c>
      <c r="BK992" t="s">
        <v>101</v>
      </c>
      <c r="BL992" t="s">
        <v>700</v>
      </c>
      <c r="BM992" t="s">
        <v>19184</v>
      </c>
      <c r="BN992" t="s">
        <v>74</v>
      </c>
      <c r="BO992" t="s">
        <v>74</v>
      </c>
      <c r="BP992" t="s">
        <v>74</v>
      </c>
      <c r="BQ992" t="s">
        <v>74</v>
      </c>
      <c r="BR992" t="s">
        <v>105</v>
      </c>
      <c r="BS992" t="s">
        <v>19185</v>
      </c>
      <c r="BT992" t="str">
        <f>HYPERLINK("https%3A%2F%2Fwww.webofscience.com%2Fwos%2Fwoscc%2Ffull-record%2FWOS:000682425200001","View Full Record in Web of Science")</f>
        <v>View Full Record in Web of Science</v>
      </c>
    </row>
    <row r="993" spans="1:72" x14ac:dyDescent="0.15">
      <c r="A993" t="s">
        <v>72</v>
      </c>
      <c r="B993" t="s">
        <v>19186</v>
      </c>
      <c r="C993" t="s">
        <v>74</v>
      </c>
      <c r="D993" t="s">
        <v>74</v>
      </c>
      <c r="E993" t="s">
        <v>74</v>
      </c>
      <c r="F993" t="s">
        <v>19187</v>
      </c>
      <c r="G993" t="s">
        <v>74</v>
      </c>
      <c r="H993" t="s">
        <v>74</v>
      </c>
      <c r="I993" t="s">
        <v>19188</v>
      </c>
      <c r="J993" t="s">
        <v>1338</v>
      </c>
      <c r="K993" t="s">
        <v>74</v>
      </c>
      <c r="L993" t="s">
        <v>74</v>
      </c>
      <c r="M993" t="s">
        <v>78</v>
      </c>
      <c r="N993" t="s">
        <v>79</v>
      </c>
      <c r="O993" t="s">
        <v>74</v>
      </c>
      <c r="P993" t="s">
        <v>74</v>
      </c>
      <c r="Q993" t="s">
        <v>74</v>
      </c>
      <c r="R993" t="s">
        <v>74</v>
      </c>
      <c r="S993" t="s">
        <v>74</v>
      </c>
      <c r="T993" t="s">
        <v>74</v>
      </c>
      <c r="U993" t="s">
        <v>19189</v>
      </c>
      <c r="V993" t="s">
        <v>19190</v>
      </c>
      <c r="W993" t="s">
        <v>19191</v>
      </c>
      <c r="X993" t="s">
        <v>19192</v>
      </c>
      <c r="Y993" t="s">
        <v>19193</v>
      </c>
      <c r="Z993" t="s">
        <v>19194</v>
      </c>
      <c r="AA993" t="s">
        <v>19195</v>
      </c>
      <c r="AB993" t="s">
        <v>19196</v>
      </c>
      <c r="AC993" t="s">
        <v>19197</v>
      </c>
      <c r="AD993" t="s">
        <v>19198</v>
      </c>
      <c r="AE993" t="s">
        <v>19199</v>
      </c>
      <c r="AF993" t="s">
        <v>74</v>
      </c>
      <c r="AG993">
        <v>33</v>
      </c>
      <c r="AH993">
        <v>13</v>
      </c>
      <c r="AI993">
        <v>13</v>
      </c>
      <c r="AJ993">
        <v>0</v>
      </c>
      <c r="AK993">
        <v>4</v>
      </c>
      <c r="AL993" t="s">
        <v>1347</v>
      </c>
      <c r="AM993" t="s">
        <v>333</v>
      </c>
      <c r="AN993" t="s">
        <v>1348</v>
      </c>
      <c r="AO993" t="s">
        <v>74</v>
      </c>
      <c r="AP993" t="s">
        <v>1349</v>
      </c>
      <c r="AQ993" t="s">
        <v>74</v>
      </c>
      <c r="AR993" t="s">
        <v>1350</v>
      </c>
      <c r="AS993" t="s">
        <v>1351</v>
      </c>
      <c r="AT993" t="s">
        <v>19108</v>
      </c>
      <c r="AU993">
        <v>2021</v>
      </c>
      <c r="AV993">
        <v>2</v>
      </c>
      <c r="AW993">
        <v>1</v>
      </c>
      <c r="AX993" t="s">
        <v>74</v>
      </c>
      <c r="AY993" t="s">
        <v>74</v>
      </c>
      <c r="AZ993" t="s">
        <v>74</v>
      </c>
      <c r="BA993" t="s">
        <v>74</v>
      </c>
      <c r="BB993" t="s">
        <v>74</v>
      </c>
      <c r="BC993" t="s">
        <v>74</v>
      </c>
      <c r="BD993">
        <v>153</v>
      </c>
      <c r="BE993" t="s">
        <v>19200</v>
      </c>
      <c r="BF993" t="str">
        <f>HYPERLINK("http://dx.doi.org/10.1038/s43247-021-00217-4","http://dx.doi.org/10.1038/s43247-021-00217-4")</f>
        <v>http://dx.doi.org/10.1038/s43247-021-00217-4</v>
      </c>
      <c r="BG993" t="s">
        <v>74</v>
      </c>
      <c r="BH993" t="s">
        <v>74</v>
      </c>
      <c r="BI993">
        <v>8</v>
      </c>
      <c r="BJ993" t="s">
        <v>1353</v>
      </c>
      <c r="BK993" t="s">
        <v>101</v>
      </c>
      <c r="BL993" t="s">
        <v>1354</v>
      </c>
      <c r="BM993" t="s">
        <v>19201</v>
      </c>
      <c r="BN993" t="s">
        <v>74</v>
      </c>
      <c r="BO993" t="s">
        <v>394</v>
      </c>
      <c r="BP993" t="s">
        <v>74</v>
      </c>
      <c r="BQ993" t="s">
        <v>74</v>
      </c>
      <c r="BR993" t="s">
        <v>105</v>
      </c>
      <c r="BS993" t="s">
        <v>19202</v>
      </c>
      <c r="BT993" t="str">
        <f>HYPERLINK("https%3A%2F%2Fwww.webofscience.com%2Fwos%2Fwoscc%2Ffull-record%2FWOS:000683824800003","View Full Record in Web of Science")</f>
        <v>View Full Record in Web of Science</v>
      </c>
    </row>
    <row r="994" spans="1:72" x14ac:dyDescent="0.15">
      <c r="A994" t="s">
        <v>72</v>
      </c>
      <c r="B994" t="s">
        <v>19203</v>
      </c>
      <c r="C994" t="s">
        <v>74</v>
      </c>
      <c r="D994" t="s">
        <v>74</v>
      </c>
      <c r="E994" t="s">
        <v>74</v>
      </c>
      <c r="F994" t="s">
        <v>19204</v>
      </c>
      <c r="G994" t="s">
        <v>74</v>
      </c>
      <c r="H994" t="s">
        <v>74</v>
      </c>
      <c r="I994" t="s">
        <v>19205</v>
      </c>
      <c r="J994" t="s">
        <v>399</v>
      </c>
      <c r="K994" t="s">
        <v>74</v>
      </c>
      <c r="L994" t="s">
        <v>74</v>
      </c>
      <c r="M994" t="s">
        <v>78</v>
      </c>
      <c r="N994" t="s">
        <v>79</v>
      </c>
      <c r="O994" t="s">
        <v>74</v>
      </c>
      <c r="P994" t="s">
        <v>74</v>
      </c>
      <c r="Q994" t="s">
        <v>74</v>
      </c>
      <c r="R994" t="s">
        <v>74</v>
      </c>
      <c r="S994" t="s">
        <v>74</v>
      </c>
      <c r="T994" t="s">
        <v>19206</v>
      </c>
      <c r="U994" t="s">
        <v>19207</v>
      </c>
      <c r="V994" t="s">
        <v>19208</v>
      </c>
      <c r="W994" t="s">
        <v>19209</v>
      </c>
      <c r="X994" t="s">
        <v>19210</v>
      </c>
      <c r="Y994" t="s">
        <v>19211</v>
      </c>
      <c r="Z994" t="s">
        <v>8167</v>
      </c>
      <c r="AA994" t="s">
        <v>19212</v>
      </c>
      <c r="AB994" t="s">
        <v>19213</v>
      </c>
      <c r="AC994" t="s">
        <v>74</v>
      </c>
      <c r="AD994" t="s">
        <v>74</v>
      </c>
      <c r="AE994" t="s">
        <v>74</v>
      </c>
      <c r="AF994" t="s">
        <v>74</v>
      </c>
      <c r="AG994">
        <v>68</v>
      </c>
      <c r="AH994">
        <v>2</v>
      </c>
      <c r="AI994">
        <v>2</v>
      </c>
      <c r="AJ994">
        <v>0</v>
      </c>
      <c r="AK994">
        <v>22</v>
      </c>
      <c r="AL994" t="s">
        <v>255</v>
      </c>
      <c r="AM994" t="s">
        <v>256</v>
      </c>
      <c r="AN994" t="s">
        <v>257</v>
      </c>
      <c r="AO994" t="s">
        <v>412</v>
      </c>
      <c r="AP994" t="s">
        <v>413</v>
      </c>
      <c r="AQ994" t="s">
        <v>74</v>
      </c>
      <c r="AR994" t="s">
        <v>414</v>
      </c>
      <c r="AS994" t="s">
        <v>415</v>
      </c>
      <c r="AT994" t="s">
        <v>310</v>
      </c>
      <c r="AU994">
        <v>2021</v>
      </c>
      <c r="AV994">
        <v>172</v>
      </c>
      <c r="AW994" t="s">
        <v>74</v>
      </c>
      <c r="AX994" t="s">
        <v>74</v>
      </c>
      <c r="AY994" t="s">
        <v>74</v>
      </c>
      <c r="AZ994" t="s">
        <v>74</v>
      </c>
      <c r="BA994" t="s">
        <v>74</v>
      </c>
      <c r="BB994" t="s">
        <v>74</v>
      </c>
      <c r="BC994" t="s">
        <v>74</v>
      </c>
      <c r="BD994">
        <v>112774</v>
      </c>
      <c r="BE994" t="s">
        <v>19214</v>
      </c>
      <c r="BF994" t="str">
        <f>HYPERLINK("http://dx.doi.org/10.1016/j.marpolbul.2021.112774","http://dx.doi.org/10.1016/j.marpolbul.2021.112774")</f>
        <v>http://dx.doi.org/10.1016/j.marpolbul.2021.112774</v>
      </c>
      <c r="BG994" t="s">
        <v>74</v>
      </c>
      <c r="BH994" t="s">
        <v>16043</v>
      </c>
      <c r="BI994">
        <v>6</v>
      </c>
      <c r="BJ994" t="s">
        <v>391</v>
      </c>
      <c r="BK994" t="s">
        <v>101</v>
      </c>
      <c r="BL994" t="s">
        <v>392</v>
      </c>
      <c r="BM994" t="s">
        <v>19215</v>
      </c>
      <c r="BN994">
        <v>34364143</v>
      </c>
      <c r="BO994" t="s">
        <v>74</v>
      </c>
      <c r="BP994" t="s">
        <v>74</v>
      </c>
      <c r="BQ994" t="s">
        <v>74</v>
      </c>
      <c r="BR994" t="s">
        <v>105</v>
      </c>
      <c r="BS994" t="s">
        <v>19216</v>
      </c>
      <c r="BT994" t="str">
        <f>HYPERLINK("https%3A%2F%2Fwww.webofscience.com%2Fwos%2Fwoscc%2Ffull-record%2FWOS:000701874400003","View Full Record in Web of Science")</f>
        <v>View Full Record in Web of Science</v>
      </c>
    </row>
    <row r="995" spans="1:72" x14ac:dyDescent="0.15">
      <c r="A995" t="s">
        <v>72</v>
      </c>
      <c r="B995" t="s">
        <v>19217</v>
      </c>
      <c r="C995" t="s">
        <v>74</v>
      </c>
      <c r="D995" t="s">
        <v>74</v>
      </c>
      <c r="E995" t="s">
        <v>74</v>
      </c>
      <c r="F995" t="s">
        <v>19218</v>
      </c>
      <c r="G995" t="s">
        <v>74</v>
      </c>
      <c r="H995" t="s">
        <v>74</v>
      </c>
      <c r="I995" t="s">
        <v>19219</v>
      </c>
      <c r="J995" t="s">
        <v>6339</v>
      </c>
      <c r="K995" t="s">
        <v>74</v>
      </c>
      <c r="L995" t="s">
        <v>74</v>
      </c>
      <c r="M995" t="s">
        <v>78</v>
      </c>
      <c r="N995" t="s">
        <v>79</v>
      </c>
      <c r="O995" t="s">
        <v>74</v>
      </c>
      <c r="P995" t="s">
        <v>74</v>
      </c>
      <c r="Q995" t="s">
        <v>74</v>
      </c>
      <c r="R995" t="s">
        <v>74</v>
      </c>
      <c r="S995" t="s">
        <v>74</v>
      </c>
      <c r="T995" t="s">
        <v>19220</v>
      </c>
      <c r="U995" t="s">
        <v>19221</v>
      </c>
      <c r="V995" t="s">
        <v>19222</v>
      </c>
      <c r="W995" t="s">
        <v>19223</v>
      </c>
      <c r="X995" t="s">
        <v>19224</v>
      </c>
      <c r="Y995" t="s">
        <v>19225</v>
      </c>
      <c r="Z995" t="s">
        <v>19226</v>
      </c>
      <c r="AA995" t="s">
        <v>19227</v>
      </c>
      <c r="AB995" t="s">
        <v>19228</v>
      </c>
      <c r="AC995" t="s">
        <v>19229</v>
      </c>
      <c r="AD995" t="s">
        <v>19230</v>
      </c>
      <c r="AE995" t="s">
        <v>19231</v>
      </c>
      <c r="AF995" t="s">
        <v>74</v>
      </c>
      <c r="AG995">
        <v>61</v>
      </c>
      <c r="AH995">
        <v>8</v>
      </c>
      <c r="AI995">
        <v>9</v>
      </c>
      <c r="AJ995">
        <v>5</v>
      </c>
      <c r="AK995">
        <v>36</v>
      </c>
      <c r="AL995" t="s">
        <v>6350</v>
      </c>
      <c r="AM995" t="s">
        <v>6351</v>
      </c>
      <c r="AN995" t="s">
        <v>6352</v>
      </c>
      <c r="AO995" t="s">
        <v>6353</v>
      </c>
      <c r="AP995" t="s">
        <v>6354</v>
      </c>
      <c r="AQ995" t="s">
        <v>74</v>
      </c>
      <c r="AR995" t="s">
        <v>6355</v>
      </c>
      <c r="AS995" t="s">
        <v>6356</v>
      </c>
      <c r="AT995" t="s">
        <v>19232</v>
      </c>
      <c r="AU995">
        <v>2021</v>
      </c>
      <c r="AV995">
        <v>671</v>
      </c>
      <c r="AW995" t="s">
        <v>74</v>
      </c>
      <c r="AX995" t="s">
        <v>74</v>
      </c>
      <c r="AY995" t="s">
        <v>74</v>
      </c>
      <c r="AZ995" t="s">
        <v>74</v>
      </c>
      <c r="BA995" t="s">
        <v>74</v>
      </c>
      <c r="BB995">
        <v>191</v>
      </c>
      <c r="BC995">
        <v>206</v>
      </c>
      <c r="BD995" t="s">
        <v>74</v>
      </c>
      <c r="BE995" t="s">
        <v>19233</v>
      </c>
      <c r="BF995" t="str">
        <f>HYPERLINK("http://dx.doi.org/10.3354/meps13779","http://dx.doi.org/10.3354/meps13779")</f>
        <v>http://dx.doi.org/10.3354/meps13779</v>
      </c>
      <c r="BG995" t="s">
        <v>74</v>
      </c>
      <c r="BH995" t="s">
        <v>74</v>
      </c>
      <c r="BI995">
        <v>16</v>
      </c>
      <c r="BJ995" t="s">
        <v>6358</v>
      </c>
      <c r="BK995" t="s">
        <v>101</v>
      </c>
      <c r="BL995" t="s">
        <v>6359</v>
      </c>
      <c r="BM995" t="s">
        <v>19234</v>
      </c>
      <c r="BN995" t="s">
        <v>74</v>
      </c>
      <c r="BO995" t="s">
        <v>74</v>
      </c>
      <c r="BP995" t="s">
        <v>74</v>
      </c>
      <c r="BQ995" t="s">
        <v>74</v>
      </c>
      <c r="BR995" t="s">
        <v>105</v>
      </c>
      <c r="BS995" t="s">
        <v>19235</v>
      </c>
      <c r="BT995" t="str">
        <f>HYPERLINK("https%3A%2F%2Fwww.webofscience.com%2Fwos%2Fwoscc%2Ffull-record%2FWOS:000691313900012","View Full Record in Web of Science")</f>
        <v>View Full Record in Web of Science</v>
      </c>
    </row>
    <row r="996" spans="1:72" x14ac:dyDescent="0.15">
      <c r="A996" t="s">
        <v>72</v>
      </c>
      <c r="B996" t="s">
        <v>19236</v>
      </c>
      <c r="C996" t="s">
        <v>74</v>
      </c>
      <c r="D996" t="s">
        <v>74</v>
      </c>
      <c r="E996" t="s">
        <v>74</v>
      </c>
      <c r="F996" t="s">
        <v>19237</v>
      </c>
      <c r="G996" t="s">
        <v>74</v>
      </c>
      <c r="H996" t="s">
        <v>74</v>
      </c>
      <c r="I996" t="s">
        <v>19238</v>
      </c>
      <c r="J996" t="s">
        <v>1009</v>
      </c>
      <c r="K996" t="s">
        <v>74</v>
      </c>
      <c r="L996" t="s">
        <v>74</v>
      </c>
      <c r="M996" t="s">
        <v>78</v>
      </c>
      <c r="N996" t="s">
        <v>79</v>
      </c>
      <c r="O996" t="s">
        <v>74</v>
      </c>
      <c r="P996" t="s">
        <v>74</v>
      </c>
      <c r="Q996" t="s">
        <v>74</v>
      </c>
      <c r="R996" t="s">
        <v>74</v>
      </c>
      <c r="S996" t="s">
        <v>74</v>
      </c>
      <c r="T996" t="s">
        <v>19239</v>
      </c>
      <c r="U996" t="s">
        <v>19240</v>
      </c>
      <c r="V996" t="s">
        <v>19241</v>
      </c>
      <c r="W996" t="s">
        <v>19242</v>
      </c>
      <c r="X996" t="s">
        <v>19243</v>
      </c>
      <c r="Y996" t="s">
        <v>19244</v>
      </c>
      <c r="Z996" t="s">
        <v>19245</v>
      </c>
      <c r="AA996" t="s">
        <v>19246</v>
      </c>
      <c r="AB996" t="s">
        <v>19247</v>
      </c>
      <c r="AC996" t="s">
        <v>19248</v>
      </c>
      <c r="AD996" t="s">
        <v>19249</v>
      </c>
      <c r="AE996" t="s">
        <v>19250</v>
      </c>
      <c r="AF996" t="s">
        <v>74</v>
      </c>
      <c r="AG996">
        <v>328</v>
      </c>
      <c r="AH996">
        <v>20</v>
      </c>
      <c r="AI996">
        <v>21</v>
      </c>
      <c r="AJ996">
        <v>14</v>
      </c>
      <c r="AK996">
        <v>45</v>
      </c>
      <c r="AL996" t="s">
        <v>383</v>
      </c>
      <c r="AM996" t="s">
        <v>384</v>
      </c>
      <c r="AN996" t="s">
        <v>385</v>
      </c>
      <c r="AO996" t="s">
        <v>1021</v>
      </c>
      <c r="AP996" t="s">
        <v>74</v>
      </c>
      <c r="AQ996" t="s">
        <v>74</v>
      </c>
      <c r="AR996" t="s">
        <v>1022</v>
      </c>
      <c r="AS996" t="s">
        <v>1023</v>
      </c>
      <c r="AT996" t="s">
        <v>19251</v>
      </c>
      <c r="AU996">
        <v>2021</v>
      </c>
      <c r="AV996">
        <v>9</v>
      </c>
      <c r="AW996" t="s">
        <v>74</v>
      </c>
      <c r="AX996" t="s">
        <v>74</v>
      </c>
      <c r="AY996" t="s">
        <v>74</v>
      </c>
      <c r="AZ996" t="s">
        <v>74</v>
      </c>
      <c r="BA996" t="s">
        <v>74</v>
      </c>
      <c r="BB996" t="s">
        <v>74</v>
      </c>
      <c r="BC996" t="s">
        <v>74</v>
      </c>
      <c r="BD996">
        <v>624451</v>
      </c>
      <c r="BE996" t="s">
        <v>19252</v>
      </c>
      <c r="BF996" t="str">
        <f>HYPERLINK("http://dx.doi.org/10.3389/fevo.2021.624451","http://dx.doi.org/10.3389/fevo.2021.624451")</f>
        <v>http://dx.doi.org/10.3389/fevo.2021.624451</v>
      </c>
      <c r="BG996" t="s">
        <v>74</v>
      </c>
      <c r="BH996" t="s">
        <v>74</v>
      </c>
      <c r="BI996">
        <v>29</v>
      </c>
      <c r="BJ996" t="s">
        <v>629</v>
      </c>
      <c r="BK996" t="s">
        <v>207</v>
      </c>
      <c r="BL996" t="s">
        <v>630</v>
      </c>
      <c r="BM996" t="s">
        <v>19253</v>
      </c>
      <c r="BN996" t="s">
        <v>74</v>
      </c>
      <c r="BO996" t="s">
        <v>1741</v>
      </c>
      <c r="BP996" t="s">
        <v>74</v>
      </c>
      <c r="BQ996" t="s">
        <v>74</v>
      </c>
      <c r="BR996" t="s">
        <v>105</v>
      </c>
      <c r="BS996" t="s">
        <v>19254</v>
      </c>
      <c r="BT996" t="str">
        <f>HYPERLINK("https%3A%2F%2Fwww.webofscience.com%2Fwos%2Fwoscc%2Ffull-record%2FWOS:000695235600002","View Full Record in Web of Science")</f>
        <v>View Full Record in Web of Science</v>
      </c>
    </row>
    <row r="997" spans="1:72" x14ac:dyDescent="0.15">
      <c r="A997" t="s">
        <v>72</v>
      </c>
      <c r="B997" t="s">
        <v>19255</v>
      </c>
      <c r="C997" t="s">
        <v>74</v>
      </c>
      <c r="D997" t="s">
        <v>74</v>
      </c>
      <c r="E997" t="s">
        <v>74</v>
      </c>
      <c r="F997" t="s">
        <v>19256</v>
      </c>
      <c r="G997" t="s">
        <v>74</v>
      </c>
      <c r="H997" t="s">
        <v>74</v>
      </c>
      <c r="I997" t="s">
        <v>19257</v>
      </c>
      <c r="J997" t="s">
        <v>17259</v>
      </c>
      <c r="K997" t="s">
        <v>74</v>
      </c>
      <c r="L997" t="s">
        <v>74</v>
      </c>
      <c r="M997" t="s">
        <v>78</v>
      </c>
      <c r="N997" t="s">
        <v>79</v>
      </c>
      <c r="O997" t="s">
        <v>74</v>
      </c>
      <c r="P997" t="s">
        <v>74</v>
      </c>
      <c r="Q997" t="s">
        <v>74</v>
      </c>
      <c r="R997" t="s">
        <v>74</v>
      </c>
      <c r="S997" t="s">
        <v>74</v>
      </c>
      <c r="T997" t="s">
        <v>19258</v>
      </c>
      <c r="U997" t="s">
        <v>19259</v>
      </c>
      <c r="V997" t="s">
        <v>19260</v>
      </c>
      <c r="W997" t="s">
        <v>19261</v>
      </c>
      <c r="X997" t="s">
        <v>19262</v>
      </c>
      <c r="Y997" t="s">
        <v>19263</v>
      </c>
      <c r="Z997" t="s">
        <v>19264</v>
      </c>
      <c r="AA997" t="s">
        <v>19265</v>
      </c>
      <c r="AB997" t="s">
        <v>19266</v>
      </c>
      <c r="AC997" t="s">
        <v>19267</v>
      </c>
      <c r="AD997" t="s">
        <v>19268</v>
      </c>
      <c r="AE997" t="s">
        <v>19269</v>
      </c>
      <c r="AF997" t="s">
        <v>74</v>
      </c>
      <c r="AG997">
        <v>71</v>
      </c>
      <c r="AH997">
        <v>3</v>
      </c>
      <c r="AI997">
        <v>3</v>
      </c>
      <c r="AJ997">
        <v>1</v>
      </c>
      <c r="AK997">
        <v>3</v>
      </c>
      <c r="AL997" t="s">
        <v>1852</v>
      </c>
      <c r="AM997" t="s">
        <v>333</v>
      </c>
      <c r="AN997" t="s">
        <v>1853</v>
      </c>
      <c r="AO997" t="s">
        <v>17271</v>
      </c>
      <c r="AP997" t="s">
        <v>17272</v>
      </c>
      <c r="AQ997" t="s">
        <v>74</v>
      </c>
      <c r="AR997" t="s">
        <v>17273</v>
      </c>
      <c r="AS997" t="s">
        <v>17274</v>
      </c>
      <c r="AT997" t="s">
        <v>9066</v>
      </c>
      <c r="AU997">
        <v>2021</v>
      </c>
      <c r="AV997">
        <v>260</v>
      </c>
      <c r="AW997" t="s">
        <v>74</v>
      </c>
      <c r="AX997" t="s">
        <v>74</v>
      </c>
      <c r="AY997" t="s">
        <v>74</v>
      </c>
      <c r="AZ997" t="s">
        <v>74</v>
      </c>
      <c r="BA997" t="s">
        <v>74</v>
      </c>
      <c r="BB997" t="s">
        <v>74</v>
      </c>
      <c r="BC997" t="s">
        <v>74</v>
      </c>
      <c r="BD997">
        <v>107447</v>
      </c>
      <c r="BE997" t="s">
        <v>19270</v>
      </c>
      <c r="BF997" t="str">
        <f>HYPERLINK("http://dx.doi.org/10.1016/j.ecss.2021.107447","http://dx.doi.org/10.1016/j.ecss.2021.107447")</f>
        <v>http://dx.doi.org/10.1016/j.ecss.2021.107447</v>
      </c>
      <c r="BG997" t="s">
        <v>74</v>
      </c>
      <c r="BH997" t="s">
        <v>16043</v>
      </c>
      <c r="BI997">
        <v>9</v>
      </c>
      <c r="BJ997" t="s">
        <v>3136</v>
      </c>
      <c r="BK997" t="s">
        <v>101</v>
      </c>
      <c r="BL997" t="s">
        <v>3136</v>
      </c>
      <c r="BM997" t="s">
        <v>19271</v>
      </c>
      <c r="BN997" t="s">
        <v>74</v>
      </c>
      <c r="BO997" t="s">
        <v>419</v>
      </c>
      <c r="BP997" t="s">
        <v>74</v>
      </c>
      <c r="BQ997" t="s">
        <v>74</v>
      </c>
      <c r="BR997" t="s">
        <v>105</v>
      </c>
      <c r="BS997" t="s">
        <v>19272</v>
      </c>
      <c r="BT997" t="str">
        <f>HYPERLINK("https%3A%2F%2Fwww.webofscience.com%2Fwos%2Fwoscc%2Ffull-record%2FWOS:000702688200008","View Full Record in Web of Science")</f>
        <v>View Full Record in Web of Science</v>
      </c>
    </row>
    <row r="998" spans="1:72" x14ac:dyDescent="0.15">
      <c r="A998" t="s">
        <v>72</v>
      </c>
      <c r="B998" t="s">
        <v>19273</v>
      </c>
      <c r="C998" t="s">
        <v>74</v>
      </c>
      <c r="D998" t="s">
        <v>74</v>
      </c>
      <c r="E998" t="s">
        <v>74</v>
      </c>
      <c r="F998" t="s">
        <v>19274</v>
      </c>
      <c r="G998" t="s">
        <v>74</v>
      </c>
      <c r="H998" t="s">
        <v>74</v>
      </c>
      <c r="I998" t="s">
        <v>19275</v>
      </c>
      <c r="J998" t="s">
        <v>5862</v>
      </c>
      <c r="K998" t="s">
        <v>74</v>
      </c>
      <c r="L998" t="s">
        <v>74</v>
      </c>
      <c r="M998" t="s">
        <v>78</v>
      </c>
      <c r="N998" t="s">
        <v>79</v>
      </c>
      <c r="O998" t="s">
        <v>74</v>
      </c>
      <c r="P998" t="s">
        <v>74</v>
      </c>
      <c r="Q998" t="s">
        <v>74</v>
      </c>
      <c r="R998" t="s">
        <v>74</v>
      </c>
      <c r="S998" t="s">
        <v>74</v>
      </c>
      <c r="T998" t="s">
        <v>19276</v>
      </c>
      <c r="U998" t="s">
        <v>19277</v>
      </c>
      <c r="V998" t="s">
        <v>19278</v>
      </c>
      <c r="W998" t="s">
        <v>19279</v>
      </c>
      <c r="X998" t="s">
        <v>19280</v>
      </c>
      <c r="Y998" t="s">
        <v>19281</v>
      </c>
      <c r="Z998" t="s">
        <v>19282</v>
      </c>
      <c r="AA998" t="s">
        <v>74</v>
      </c>
      <c r="AB998" t="s">
        <v>19283</v>
      </c>
      <c r="AC998" t="s">
        <v>19284</v>
      </c>
      <c r="AD998" t="s">
        <v>19285</v>
      </c>
      <c r="AE998" t="s">
        <v>19286</v>
      </c>
      <c r="AF998" t="s">
        <v>74</v>
      </c>
      <c r="AG998">
        <v>61</v>
      </c>
      <c r="AH998">
        <v>3</v>
      </c>
      <c r="AI998">
        <v>3</v>
      </c>
      <c r="AJ998">
        <v>2</v>
      </c>
      <c r="AK998">
        <v>9</v>
      </c>
      <c r="AL998" t="s">
        <v>847</v>
      </c>
      <c r="AM998" t="s">
        <v>848</v>
      </c>
      <c r="AN998" t="s">
        <v>849</v>
      </c>
      <c r="AO998" t="s">
        <v>5873</v>
      </c>
      <c r="AP998" t="s">
        <v>5874</v>
      </c>
      <c r="AQ998" t="s">
        <v>74</v>
      </c>
      <c r="AR998" t="s">
        <v>5875</v>
      </c>
      <c r="AS998" t="s">
        <v>5876</v>
      </c>
      <c r="AT998" t="s">
        <v>10375</v>
      </c>
      <c r="AU998">
        <v>2021</v>
      </c>
      <c r="AV998">
        <v>579</v>
      </c>
      <c r="AW998" t="s">
        <v>74</v>
      </c>
      <c r="AX998" t="s">
        <v>74</v>
      </c>
      <c r="AY998" t="s">
        <v>74</v>
      </c>
      <c r="AZ998" t="s">
        <v>74</v>
      </c>
      <c r="BA998" t="s">
        <v>74</v>
      </c>
      <c r="BB998" t="s">
        <v>74</v>
      </c>
      <c r="BC998" t="s">
        <v>74</v>
      </c>
      <c r="BD998">
        <v>110591</v>
      </c>
      <c r="BE998" t="s">
        <v>19287</v>
      </c>
      <c r="BF998" t="str">
        <f>HYPERLINK("http://dx.doi.org/10.1016/j.palaeo.2021.110591","http://dx.doi.org/10.1016/j.palaeo.2021.110591")</f>
        <v>http://dx.doi.org/10.1016/j.palaeo.2021.110591</v>
      </c>
      <c r="BG998" t="s">
        <v>74</v>
      </c>
      <c r="BH998" t="s">
        <v>16043</v>
      </c>
      <c r="BI998">
        <v>15</v>
      </c>
      <c r="BJ998" t="s">
        <v>5878</v>
      </c>
      <c r="BK998" t="s">
        <v>101</v>
      </c>
      <c r="BL998" t="s">
        <v>5879</v>
      </c>
      <c r="BM998" t="s">
        <v>19288</v>
      </c>
      <c r="BN998" t="s">
        <v>74</v>
      </c>
      <c r="BO998" t="s">
        <v>74</v>
      </c>
      <c r="BP998" t="s">
        <v>74</v>
      </c>
      <c r="BQ998" t="s">
        <v>74</v>
      </c>
      <c r="BR998" t="s">
        <v>105</v>
      </c>
      <c r="BS998" t="s">
        <v>19289</v>
      </c>
      <c r="BT998" t="str">
        <f>HYPERLINK("https%3A%2F%2Fwww.webofscience.com%2Fwos%2Fwoscc%2Ffull-record%2FWOS:000691385900009","View Full Record in Web of Science")</f>
        <v>View Full Record in Web of Science</v>
      </c>
    </row>
    <row r="999" spans="1:72" x14ac:dyDescent="0.15">
      <c r="A999" t="s">
        <v>72</v>
      </c>
      <c r="B999" t="s">
        <v>19290</v>
      </c>
      <c r="C999" t="s">
        <v>74</v>
      </c>
      <c r="D999" t="s">
        <v>74</v>
      </c>
      <c r="E999" t="s">
        <v>74</v>
      </c>
      <c r="F999" t="s">
        <v>19291</v>
      </c>
      <c r="G999" t="s">
        <v>74</v>
      </c>
      <c r="H999" t="s">
        <v>74</v>
      </c>
      <c r="I999" t="s">
        <v>19292</v>
      </c>
      <c r="J999" t="s">
        <v>19293</v>
      </c>
      <c r="K999" t="s">
        <v>74</v>
      </c>
      <c r="L999" t="s">
        <v>74</v>
      </c>
      <c r="M999" t="s">
        <v>78</v>
      </c>
      <c r="N999" t="s">
        <v>79</v>
      </c>
      <c r="O999" t="s">
        <v>74</v>
      </c>
      <c r="P999" t="s">
        <v>74</v>
      </c>
      <c r="Q999" t="s">
        <v>74</v>
      </c>
      <c r="R999" t="s">
        <v>74</v>
      </c>
      <c r="S999" t="s">
        <v>74</v>
      </c>
      <c r="T999" t="s">
        <v>19294</v>
      </c>
      <c r="U999" t="s">
        <v>19295</v>
      </c>
      <c r="V999" t="s">
        <v>19296</v>
      </c>
      <c r="W999" t="s">
        <v>19297</v>
      </c>
      <c r="X999" t="s">
        <v>19298</v>
      </c>
      <c r="Y999" t="s">
        <v>19299</v>
      </c>
      <c r="Z999" t="s">
        <v>19300</v>
      </c>
      <c r="AA999" t="s">
        <v>19301</v>
      </c>
      <c r="AB999" t="s">
        <v>19302</v>
      </c>
      <c r="AC999" t="s">
        <v>19303</v>
      </c>
      <c r="AD999" t="s">
        <v>19304</v>
      </c>
      <c r="AE999" t="s">
        <v>19305</v>
      </c>
      <c r="AF999" t="s">
        <v>74</v>
      </c>
      <c r="AG999">
        <v>54</v>
      </c>
      <c r="AH999">
        <v>3</v>
      </c>
      <c r="AI999">
        <v>3</v>
      </c>
      <c r="AJ999">
        <v>2</v>
      </c>
      <c r="AK999">
        <v>4</v>
      </c>
      <c r="AL999" t="s">
        <v>3310</v>
      </c>
      <c r="AM999" t="s">
        <v>3311</v>
      </c>
      <c r="AN999" t="s">
        <v>8016</v>
      </c>
      <c r="AO999" t="s">
        <v>19306</v>
      </c>
      <c r="AP999" t="s">
        <v>19307</v>
      </c>
      <c r="AQ999" t="s">
        <v>74</v>
      </c>
      <c r="AR999" t="s">
        <v>19293</v>
      </c>
      <c r="AS999" t="s">
        <v>19308</v>
      </c>
      <c r="AT999" t="s">
        <v>19251</v>
      </c>
      <c r="AU999">
        <v>2021</v>
      </c>
      <c r="AV999">
        <v>513</v>
      </c>
      <c r="AW999">
        <v>2</v>
      </c>
      <c r="AX999" t="s">
        <v>74</v>
      </c>
      <c r="AY999" t="s">
        <v>74</v>
      </c>
      <c r="AZ999" t="s">
        <v>74</v>
      </c>
      <c r="BA999" t="s">
        <v>74</v>
      </c>
      <c r="BB999">
        <v>81</v>
      </c>
      <c r="BC999">
        <v>98</v>
      </c>
      <c r="BD999" t="s">
        <v>74</v>
      </c>
      <c r="BE999" t="s">
        <v>19309</v>
      </c>
      <c r="BF999" t="str">
        <f>HYPERLINK("http://dx.doi.org/10.11646/phytotaxa.513.2.1","http://dx.doi.org/10.11646/phytotaxa.513.2.1")</f>
        <v>http://dx.doi.org/10.11646/phytotaxa.513.2.1</v>
      </c>
      <c r="BG999" t="s">
        <v>74</v>
      </c>
      <c r="BH999" t="s">
        <v>74</v>
      </c>
      <c r="BI999">
        <v>18</v>
      </c>
      <c r="BJ999" t="s">
        <v>4148</v>
      </c>
      <c r="BK999" t="s">
        <v>101</v>
      </c>
      <c r="BL999" t="s">
        <v>4148</v>
      </c>
      <c r="BM999" t="s">
        <v>19310</v>
      </c>
      <c r="BN999" t="s">
        <v>74</v>
      </c>
      <c r="BO999" t="s">
        <v>74</v>
      </c>
      <c r="BP999" t="s">
        <v>74</v>
      </c>
      <c r="BQ999" t="s">
        <v>74</v>
      </c>
      <c r="BR999" t="s">
        <v>105</v>
      </c>
      <c r="BS999" t="s">
        <v>19311</v>
      </c>
      <c r="BT999" t="str">
        <f>HYPERLINK("https%3A%2F%2Fwww.webofscience.com%2Fwos%2Fwoscc%2Ffull-record%2FWOS:000687290000001","View Full Record in Web of Science")</f>
        <v>View Full Record in Web of Science</v>
      </c>
    </row>
    <row r="1000" spans="1:72" x14ac:dyDescent="0.15">
      <c r="A1000" t="s">
        <v>72</v>
      </c>
      <c r="B1000" t="s">
        <v>19312</v>
      </c>
      <c r="C1000" t="s">
        <v>74</v>
      </c>
      <c r="D1000" t="s">
        <v>74</v>
      </c>
      <c r="E1000" t="s">
        <v>74</v>
      </c>
      <c r="F1000" t="s">
        <v>19313</v>
      </c>
      <c r="G1000" t="s">
        <v>74</v>
      </c>
      <c r="H1000" t="s">
        <v>74</v>
      </c>
      <c r="I1000" t="s">
        <v>19314</v>
      </c>
      <c r="J1000" t="s">
        <v>9254</v>
      </c>
      <c r="K1000" t="s">
        <v>74</v>
      </c>
      <c r="L1000" t="s">
        <v>74</v>
      </c>
      <c r="M1000" t="s">
        <v>78</v>
      </c>
      <c r="N1000" t="s">
        <v>7574</v>
      </c>
      <c r="O1000" t="s">
        <v>74</v>
      </c>
      <c r="P1000" t="s">
        <v>74</v>
      </c>
      <c r="Q1000" t="s">
        <v>74</v>
      </c>
      <c r="R1000" t="s">
        <v>74</v>
      </c>
      <c r="S1000" t="s">
        <v>74</v>
      </c>
      <c r="T1000" t="s">
        <v>19315</v>
      </c>
      <c r="U1000" t="s">
        <v>19316</v>
      </c>
      <c r="V1000" t="s">
        <v>19317</v>
      </c>
      <c r="W1000" t="s">
        <v>19318</v>
      </c>
      <c r="X1000" t="s">
        <v>19319</v>
      </c>
      <c r="Y1000" t="s">
        <v>19320</v>
      </c>
      <c r="Z1000" t="s">
        <v>19321</v>
      </c>
      <c r="AA1000" t="s">
        <v>8106</v>
      </c>
      <c r="AB1000" t="s">
        <v>19322</v>
      </c>
      <c r="AC1000" t="s">
        <v>19323</v>
      </c>
      <c r="AD1000" t="s">
        <v>19324</v>
      </c>
      <c r="AE1000" t="s">
        <v>19325</v>
      </c>
      <c r="AF1000" t="s">
        <v>74</v>
      </c>
      <c r="AG1000">
        <v>45</v>
      </c>
      <c r="AH1000">
        <v>1</v>
      </c>
      <c r="AI1000">
        <v>1</v>
      </c>
      <c r="AJ1000">
        <v>0</v>
      </c>
      <c r="AK1000">
        <v>2</v>
      </c>
      <c r="AL1000" t="s">
        <v>9264</v>
      </c>
      <c r="AM1000" t="s">
        <v>9265</v>
      </c>
      <c r="AN1000" t="s">
        <v>9266</v>
      </c>
      <c r="AO1000" t="s">
        <v>9267</v>
      </c>
      <c r="AP1000" t="s">
        <v>9268</v>
      </c>
      <c r="AQ1000" t="s">
        <v>74</v>
      </c>
      <c r="AR1000" t="s">
        <v>9254</v>
      </c>
      <c r="AS1000" t="s">
        <v>9269</v>
      </c>
      <c r="AT1000" t="s">
        <v>19251</v>
      </c>
      <c r="AU1000">
        <v>2021</v>
      </c>
      <c r="AV1000" t="s">
        <v>74</v>
      </c>
      <c r="AW1000">
        <v>1054</v>
      </c>
      <c r="AX1000" t="s">
        <v>74</v>
      </c>
      <c r="AY1000" t="s">
        <v>74</v>
      </c>
      <c r="AZ1000" t="s">
        <v>74</v>
      </c>
      <c r="BA1000" t="s">
        <v>74</v>
      </c>
      <c r="BB1000">
        <v>155</v>
      </c>
      <c r="BC1000">
        <v>172</v>
      </c>
      <c r="BD1000" t="s">
        <v>74</v>
      </c>
      <c r="BE1000" t="s">
        <v>19326</v>
      </c>
      <c r="BF1000" t="str">
        <f>HYPERLINK("http://dx.doi.org/10.3897/zookeys.1054.59584","http://dx.doi.org/10.3897/zookeys.1054.59584")</f>
        <v>http://dx.doi.org/10.3897/zookeys.1054.59584</v>
      </c>
      <c r="BG1000" t="s">
        <v>74</v>
      </c>
      <c r="BH1000" t="s">
        <v>74</v>
      </c>
      <c r="BI1000">
        <v>18</v>
      </c>
      <c r="BJ1000" t="s">
        <v>1612</v>
      </c>
      <c r="BK1000" t="s">
        <v>101</v>
      </c>
      <c r="BL1000" t="s">
        <v>1612</v>
      </c>
      <c r="BM1000" t="s">
        <v>19327</v>
      </c>
      <c r="BN1000">
        <v>34393567</v>
      </c>
      <c r="BO1000" t="s">
        <v>14304</v>
      </c>
      <c r="BP1000" t="s">
        <v>74</v>
      </c>
      <c r="BQ1000" t="s">
        <v>74</v>
      </c>
      <c r="BR1000" t="s">
        <v>105</v>
      </c>
      <c r="BS1000" t="s">
        <v>19328</v>
      </c>
      <c r="BT1000" t="str">
        <f>HYPERLINK("https%3A%2F%2Fwww.webofscience.com%2Fwos%2Fwoscc%2Ffull-record%2FWOS:000685546400001","View Full Record in Web of Science")</f>
        <v>View Full Record in Web of Science</v>
      </c>
    </row>
    <row r="1001" spans="1:72" x14ac:dyDescent="0.15">
      <c r="A1001" t="s">
        <v>72</v>
      </c>
      <c r="B1001" t="s">
        <v>19329</v>
      </c>
      <c r="C1001" t="s">
        <v>74</v>
      </c>
      <c r="D1001" t="s">
        <v>74</v>
      </c>
      <c r="E1001" t="s">
        <v>74</v>
      </c>
      <c r="F1001" t="s">
        <v>19330</v>
      </c>
      <c r="G1001" t="s">
        <v>74</v>
      </c>
      <c r="H1001" t="s">
        <v>74</v>
      </c>
      <c r="I1001" t="s">
        <v>19331</v>
      </c>
      <c r="J1001" t="s">
        <v>12305</v>
      </c>
      <c r="K1001" t="s">
        <v>74</v>
      </c>
      <c r="L1001" t="s">
        <v>74</v>
      </c>
      <c r="M1001" t="s">
        <v>78</v>
      </c>
      <c r="N1001" t="s">
        <v>79</v>
      </c>
      <c r="O1001" t="s">
        <v>74</v>
      </c>
      <c r="P1001" t="s">
        <v>74</v>
      </c>
      <c r="Q1001" t="s">
        <v>74</v>
      </c>
      <c r="R1001" t="s">
        <v>74</v>
      </c>
      <c r="S1001" t="s">
        <v>74</v>
      </c>
      <c r="T1001" t="s">
        <v>19332</v>
      </c>
      <c r="U1001" t="s">
        <v>19333</v>
      </c>
      <c r="V1001" t="s">
        <v>19334</v>
      </c>
      <c r="W1001" t="s">
        <v>19335</v>
      </c>
      <c r="X1001" t="s">
        <v>19336</v>
      </c>
      <c r="Y1001" t="s">
        <v>19337</v>
      </c>
      <c r="Z1001" t="s">
        <v>19338</v>
      </c>
      <c r="AA1001" t="s">
        <v>19339</v>
      </c>
      <c r="AB1001" t="s">
        <v>19340</v>
      </c>
      <c r="AC1001" t="s">
        <v>19341</v>
      </c>
      <c r="AD1001" t="s">
        <v>19341</v>
      </c>
      <c r="AE1001" t="s">
        <v>19342</v>
      </c>
      <c r="AF1001" t="s">
        <v>74</v>
      </c>
      <c r="AG1001">
        <v>206</v>
      </c>
      <c r="AH1001">
        <v>22</v>
      </c>
      <c r="AI1001">
        <v>24</v>
      </c>
      <c r="AJ1001">
        <v>4</v>
      </c>
      <c r="AK1001">
        <v>55</v>
      </c>
      <c r="AL1001" t="s">
        <v>169</v>
      </c>
      <c r="AM1001" t="s">
        <v>520</v>
      </c>
      <c r="AN1001" t="s">
        <v>521</v>
      </c>
      <c r="AO1001" t="s">
        <v>12317</v>
      </c>
      <c r="AP1001" t="s">
        <v>12318</v>
      </c>
      <c r="AQ1001" t="s">
        <v>74</v>
      </c>
      <c r="AR1001" t="s">
        <v>12319</v>
      </c>
      <c r="AS1001" t="s">
        <v>12320</v>
      </c>
      <c r="AT1001" t="s">
        <v>338</v>
      </c>
      <c r="AU1001">
        <v>2022</v>
      </c>
      <c r="AV1001">
        <v>32</v>
      </c>
      <c r="AW1001">
        <v>1</v>
      </c>
      <c r="AX1001" t="s">
        <v>74</v>
      </c>
      <c r="AY1001" t="s">
        <v>74</v>
      </c>
      <c r="AZ1001" t="s">
        <v>526</v>
      </c>
      <c r="BA1001" t="s">
        <v>74</v>
      </c>
      <c r="BB1001">
        <v>161</v>
      </c>
      <c r="BC1001">
        <v>187</v>
      </c>
      <c r="BD1001" t="s">
        <v>74</v>
      </c>
      <c r="BE1001" t="s">
        <v>19343</v>
      </c>
      <c r="BF1001" t="str">
        <f>HYPERLINK("http://dx.doi.org/10.1007/s11160-021-09669-5","http://dx.doi.org/10.1007/s11160-021-09669-5")</f>
        <v>http://dx.doi.org/10.1007/s11160-021-09669-5</v>
      </c>
      <c r="BG1001" t="s">
        <v>74</v>
      </c>
      <c r="BH1001" t="s">
        <v>16043</v>
      </c>
      <c r="BI1001">
        <v>27</v>
      </c>
      <c r="BJ1001" t="s">
        <v>2624</v>
      </c>
      <c r="BK1001" t="s">
        <v>207</v>
      </c>
      <c r="BL1001" t="s">
        <v>2624</v>
      </c>
      <c r="BM1001" t="s">
        <v>12322</v>
      </c>
      <c r="BN1001">
        <v>34366579</v>
      </c>
      <c r="BO1001" t="s">
        <v>5800</v>
      </c>
      <c r="BP1001" t="s">
        <v>74</v>
      </c>
      <c r="BQ1001" t="s">
        <v>74</v>
      </c>
      <c r="BR1001" t="s">
        <v>105</v>
      </c>
      <c r="BS1001" t="s">
        <v>19344</v>
      </c>
      <c r="BT1001" t="str">
        <f>HYPERLINK("https%3A%2F%2Fwww.webofscience.com%2Fwos%2Fwoscc%2Ffull-record%2FWOS:000681149500001","View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2024-07-28T15:23:36Z</dcterms:created>
  <dcterms:modified xsi:type="dcterms:W3CDTF">2024-07-28T15:23:36Z</dcterms:modified>
</cp:coreProperties>
</file>